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IIB new\Nallathanniya Project\Final BOQ and Design &amp; TD\"/>
    </mc:Choice>
  </mc:AlternateContent>
  <xr:revisionPtr revIDLastSave="0" documentId="13_ncr:1_{D813AA8C-02DD-4921-BD11-60003C37FEA2}" xr6:coauthVersionLast="47" xr6:coauthVersionMax="47" xr10:uidLastSave="{00000000-0000-0000-0000-000000000000}"/>
  <bookViews>
    <workbookView xWindow="-108" yWindow="-108" windowWidth="23256" windowHeight="12576" tabRatio="921" firstSheet="1" activeTab="6" xr2:uid="{00000000-000D-0000-FFFF-FFFF00000000}"/>
  </bookViews>
  <sheets>
    <sheet name="Cover" sheetId="45" state="hidden" r:id="rId1"/>
    <sheet name="BOQ summary" sheetId="230" r:id="rId2"/>
    <sheet name="Bill No 1" sheetId="235" r:id="rId3"/>
    <sheet name="Bill No 2" sheetId="231" r:id="rId4"/>
    <sheet name="Bill No 3" sheetId="232" r:id="rId5"/>
    <sheet name="Bill No 4" sheetId="233" r:id="rId6"/>
    <sheet name="Bill No 5" sheetId="234" r:id="rId7"/>
    <sheet name="Bill No.Dayworks" sheetId="236" r:id="rId8"/>
    <sheet name="4 QTY Final" sheetId="89" state="hidden" r:id="rId9"/>
    <sheet name="Sheet1" sheetId="84" state="hidden" r:id="rId10"/>
    <sheet name="QTY" sheetId="57" state="hidden" r:id="rId11"/>
    <sheet name="Qty 2" sheetId="86" state="hidden" r:id="rId12"/>
    <sheet name="Qty.bill 4" sheetId="85" state="hidden" r:id="rId13"/>
    <sheet name="QTY 5" sheetId="80" state="hidden" r:id="rId14"/>
    <sheet name="Qty  2,4 i" sheetId="81" state="hidden" r:id="rId15"/>
    <sheet name="Qty 2,4 ii" sheetId="82" state="hidden" r:id="rId16"/>
    <sheet name="2100" sheetId="59" state="hidden" r:id="rId17"/>
    <sheet name="2x2 net" sheetId="60" state="hidden" r:id="rId18"/>
    <sheet name="Gabion base" sheetId="83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A" localSheetId="8">#REF!</definedName>
    <definedName name="A" localSheetId="2">#REF!</definedName>
    <definedName name="A" localSheetId="7">#REF!</definedName>
    <definedName name="A" localSheetId="14">#REF!</definedName>
    <definedName name="A">#REF!</definedName>
    <definedName name="aa" localSheetId="8">#REF!</definedName>
    <definedName name="aa" localSheetId="2">#REF!</definedName>
    <definedName name="aa" localSheetId="7">#REF!</definedName>
    <definedName name="aa" localSheetId="14">#REF!</definedName>
    <definedName name="aa">#REF!</definedName>
    <definedName name="athula" localSheetId="8">#REF!</definedName>
    <definedName name="athula" localSheetId="2">#REF!</definedName>
    <definedName name="athula" localSheetId="7">#REF!</definedName>
    <definedName name="athula">#REF!</definedName>
    <definedName name="B" localSheetId="8">#REF!</definedName>
    <definedName name="B" localSheetId="2">#REF!</definedName>
    <definedName name="B" localSheetId="7">#REF!</definedName>
    <definedName name="B" localSheetId="14">#REF!</definedName>
    <definedName name="B">#REF!</definedName>
    <definedName name="bbb" localSheetId="8">#REF!</definedName>
    <definedName name="bbb" localSheetId="2">#REF!</definedName>
    <definedName name="bbb" localSheetId="7">#REF!</definedName>
    <definedName name="bbb" localSheetId="14">#REF!</definedName>
    <definedName name="bbb">#REF!</definedName>
    <definedName name="bill1" localSheetId="8">#REF!</definedName>
    <definedName name="bill1" localSheetId="2">#REF!</definedName>
    <definedName name="bill1" localSheetId="7">#REF!</definedName>
    <definedName name="bill1" localSheetId="14">#REF!</definedName>
    <definedName name="bill1">#REF!</definedName>
    <definedName name="C_" localSheetId="8">#REF!</definedName>
    <definedName name="C_" localSheetId="2">#REF!</definedName>
    <definedName name="C_" localSheetId="7">#REF!</definedName>
    <definedName name="C_" localSheetId="14">#REF!</definedName>
    <definedName name="C_">#REF!</definedName>
    <definedName name="Columns">[1]Schedules!$A$5:$E$25</definedName>
    <definedName name="d" localSheetId="8">#REF!</definedName>
    <definedName name="d" localSheetId="2">#REF!</definedName>
    <definedName name="d" localSheetId="7">#REF!</definedName>
    <definedName name="d" localSheetId="14">#REF!</definedName>
    <definedName name="d">#REF!</definedName>
    <definedName name="Excel_BuiltIn_Print_Area_12_1">"$#REF!.$A$2:$R$18"</definedName>
    <definedName name="Excel_BuiltIn_Print_Area_12_1_1">"$#REF!.$A$2:$R$12"</definedName>
    <definedName name="Excel_BuiltIn_Print_Area_12_1_1_1">"$#REF!.$A$2:$C$18"</definedName>
    <definedName name="Excel_BuiltIn_Print_Titles_2_1_1">"$#REF!.$A$4:$AMJ$6"</definedName>
    <definedName name="f" localSheetId="8">#REF!</definedName>
    <definedName name="f" localSheetId="2">#REF!</definedName>
    <definedName name="f" localSheetId="7">#REF!</definedName>
    <definedName name="f" localSheetId="14">#REF!</definedName>
    <definedName name="f">#REF!</definedName>
    <definedName name="fff">#REF!</definedName>
    <definedName name="fg" localSheetId="8">#REF!</definedName>
    <definedName name="fg" localSheetId="2">#REF!</definedName>
    <definedName name="fg" localSheetId="7">#REF!</definedName>
    <definedName name="fg" localSheetId="14">#REF!</definedName>
    <definedName name="fg">#REF!</definedName>
    <definedName name="g" localSheetId="8">#REF!</definedName>
    <definedName name="g" localSheetId="2">#REF!</definedName>
    <definedName name="g" localSheetId="7">#REF!</definedName>
    <definedName name="g" localSheetId="14">#REF!</definedName>
    <definedName name="g">#REF!</definedName>
    <definedName name="H" localSheetId="8">#REF!</definedName>
    <definedName name="H" localSheetId="2">#REF!</definedName>
    <definedName name="H" localSheetId="7">#REF!</definedName>
    <definedName name="H" localSheetId="14">#REF!</definedName>
    <definedName name="H">#REF!</definedName>
    <definedName name="I" localSheetId="8">#REF!</definedName>
    <definedName name="I" localSheetId="2">#REF!</definedName>
    <definedName name="I" localSheetId="7">#REF!</definedName>
    <definedName name="I" localSheetId="14">#REF!</definedName>
    <definedName name="I">#REF!</definedName>
    <definedName name="InsD1" localSheetId="8">#REF!</definedName>
    <definedName name="InsD1" localSheetId="2">#REF!</definedName>
    <definedName name="InsD1" localSheetId="7">#REF!</definedName>
    <definedName name="InsD1" localSheetId="14">#REF!</definedName>
    <definedName name="InsD1">#REF!</definedName>
    <definedName name="InsD2" localSheetId="8">#REF!</definedName>
    <definedName name="InsD2" localSheetId="2">#REF!</definedName>
    <definedName name="InsD2" localSheetId="7">#REF!</definedName>
    <definedName name="InsD2" localSheetId="14">#REF!</definedName>
    <definedName name="InsD2">#REF!</definedName>
    <definedName name="j" localSheetId="8">#REF!</definedName>
    <definedName name="j" localSheetId="2">#REF!</definedName>
    <definedName name="j" localSheetId="7">#REF!</definedName>
    <definedName name="j" localSheetId="14">#REF!</definedName>
    <definedName name="j">#REF!</definedName>
    <definedName name="mhgg" localSheetId="14">#REF!</definedName>
    <definedName name="n" localSheetId="14">#REF!</definedName>
    <definedName name="nn" localSheetId="14">#REF!</definedName>
    <definedName name="P" localSheetId="14">#REF!</definedName>
    <definedName name="plumb">[2]Schedules!$A$5:$E$25</definedName>
    <definedName name="_xlnm.Print_Area" localSheetId="16">'2100'!$A$1:$F$219</definedName>
    <definedName name="_xlnm.Print_Area" localSheetId="17">'2x2 net'!$A$1:$H$33</definedName>
    <definedName name="_xlnm.Print_Area" localSheetId="8">'4 QTY Final'!$A$1:$J$167</definedName>
    <definedName name="_xlnm.Print_Area" localSheetId="2">'Bill No 1'!$A$1:$G$34</definedName>
    <definedName name="_xlnm.Print_Area" localSheetId="3">'Bill No 2'!$A$1:$G$16</definedName>
    <definedName name="_xlnm.Print_Area" localSheetId="4">'Bill No 3'!$A$1:$G$12</definedName>
    <definedName name="_xlnm.Print_Area" localSheetId="5">'Bill No 4'!$A$1:$G$11</definedName>
    <definedName name="_xlnm.Print_Area" localSheetId="6">'Bill No 5'!$A$1:$G$15</definedName>
    <definedName name="_xlnm.Print_Area" localSheetId="7">'Bill No.Dayworks'!$A$1:$F$35</definedName>
    <definedName name="_xlnm.Print_Area" localSheetId="1">'BOQ summary'!$A$1:$F$27</definedName>
    <definedName name="_xlnm.Print_Area" localSheetId="0">Cover!$A$1:$J$54</definedName>
    <definedName name="_xlnm.Print_Area" localSheetId="18">'Gabion base'!$A$1:$H$32</definedName>
    <definedName name="_xlnm.Print_Area" localSheetId="10">QTY!$A$1:$J$294</definedName>
    <definedName name="_xlnm.Print_Area" localSheetId="14">'Qty  2,4 i'!$A$1:$J$557</definedName>
    <definedName name="_xlnm.Print_Area" localSheetId="13">'QTY 5'!$A$1:$J$314</definedName>
    <definedName name="PRINT_AREA_MI">#N/A</definedName>
    <definedName name="_xlnm.Print_Titles" localSheetId="8">#REF!</definedName>
    <definedName name="_xlnm.Print_Titles" localSheetId="2">'Bill No 1'!$1:$3</definedName>
    <definedName name="_xlnm.Print_Titles" localSheetId="7">#REF!</definedName>
    <definedName name="_xlnm.Print_Titles" localSheetId="14">#REF!</definedName>
    <definedName name="_xlnm.Print_Titles">#REF!</definedName>
    <definedName name="PRINT_TITLES_MI" localSheetId="8">#REF!</definedName>
    <definedName name="PRINT_TITLES_MI" localSheetId="2">#REF!</definedName>
    <definedName name="PRINT_TITLES_MI" localSheetId="7">#REF!</definedName>
    <definedName name="PRINT_TITLES_MI" localSheetId="14">#REF!</definedName>
    <definedName name="PRINT_TITLES_MI">#REF!</definedName>
    <definedName name="QTY" localSheetId="8">#REF!</definedName>
    <definedName name="QTY" localSheetId="2">#REF!</definedName>
    <definedName name="QTY">#REF!</definedName>
    <definedName name="s" localSheetId="8">#REF!</definedName>
    <definedName name="s" localSheetId="2">#REF!</definedName>
    <definedName name="s" localSheetId="7">#REF!</definedName>
    <definedName name="s" localSheetId="14">#REF!</definedName>
    <definedName name="s">#REF!</definedName>
    <definedName name="Stmms">[3]Schedules!$A$5:$E$25</definedName>
    <definedName name="Sum" localSheetId="8">#REF!</definedName>
    <definedName name="Sum" localSheetId="2">#REF!</definedName>
    <definedName name="Sum" localSheetId="7">#REF!</definedName>
    <definedName name="Sum" localSheetId="14">#REF!</definedName>
    <definedName name="Sum">#REF!</definedName>
    <definedName name="SupD1" localSheetId="8">#REF!</definedName>
    <definedName name="SupD1" localSheetId="2">#REF!</definedName>
    <definedName name="SupD1" localSheetId="7">#REF!</definedName>
    <definedName name="SupD1" localSheetId="14">#REF!</definedName>
    <definedName name="SupD1">#REF!</definedName>
    <definedName name="SupD2" localSheetId="8">#REF!</definedName>
    <definedName name="SupD2" localSheetId="2">#REF!</definedName>
    <definedName name="SupD2" localSheetId="7">#REF!</definedName>
    <definedName name="SupD2" localSheetId="14">#REF!</definedName>
    <definedName name="SupD2">#REF!</definedName>
    <definedName name="w" localSheetId="8">#REF!</definedName>
    <definedName name="w" localSheetId="2">#REF!</definedName>
    <definedName name="w" localSheetId="7">#REF!</definedName>
    <definedName name="w" localSheetId="14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30" l="1"/>
  <c r="B11" i="230"/>
  <c r="Y6" i="234"/>
  <c r="Y7" i="234"/>
  <c r="Y8" i="234"/>
  <c r="B10" i="230" l="1"/>
  <c r="F34" i="236"/>
  <c r="F33" i="236"/>
  <c r="F32" i="236"/>
  <c r="F31" i="236"/>
  <c r="J30" i="236"/>
  <c r="F30" i="236"/>
  <c r="J29" i="236"/>
  <c r="F29" i="236"/>
  <c r="J28" i="236"/>
  <c r="F28" i="236"/>
  <c r="F27" i="236"/>
  <c r="F26" i="236"/>
  <c r="F25" i="236"/>
  <c r="F23" i="236"/>
  <c r="F22" i="236"/>
  <c r="F21" i="236"/>
  <c r="F20" i="236"/>
  <c r="F19" i="236"/>
  <c r="F18" i="236"/>
  <c r="F17" i="236"/>
  <c r="F16" i="236"/>
  <c r="F15" i="236"/>
  <c r="F14" i="236"/>
  <c r="F12" i="236"/>
  <c r="F11" i="236"/>
  <c r="F10" i="236"/>
  <c r="F9" i="236"/>
  <c r="F8" i="236"/>
  <c r="F7" i="236"/>
  <c r="F6" i="236"/>
  <c r="F5" i="236"/>
  <c r="F4" i="236"/>
  <c r="F35" i="236" l="1"/>
  <c r="F10" i="230" s="1"/>
  <c r="G9" i="234" l="1"/>
  <c r="A9" i="234"/>
  <c r="H4" i="233"/>
  <c r="H10" i="233"/>
  <c r="K6" i="233"/>
  <c r="J6" i="233"/>
  <c r="I6" i="233"/>
  <c r="L6" i="233" l="1"/>
  <c r="M6" i="233"/>
  <c r="L29" i="235" l="1"/>
  <c r="G13" i="235"/>
  <c r="G40" i="235" l="1"/>
  <c r="F14" i="230"/>
  <c r="B13" i="230" l="1"/>
  <c r="B5" i="230"/>
  <c r="G37" i="235" l="1"/>
  <c r="L34" i="235" l="1"/>
  <c r="L33" i="235"/>
  <c r="L32" i="235"/>
  <c r="L31" i="235"/>
  <c r="L30" i="235"/>
  <c r="H24" i="235"/>
  <c r="J23" i="235"/>
  <c r="J21" i="235"/>
  <c r="J14" i="235"/>
  <c r="H7" i="235"/>
  <c r="H6" i="235"/>
  <c r="H5" i="235"/>
  <c r="H4" i="235"/>
  <c r="K2" i="235"/>
  <c r="J20" i="235" l="1"/>
  <c r="G34" i="235" l="1"/>
  <c r="F5" i="230" s="1"/>
  <c r="I1" i="235" l="1"/>
  <c r="H13" i="234"/>
  <c r="N10" i="232" l="1"/>
  <c r="G13" i="234"/>
  <c r="H7" i="232" l="1"/>
  <c r="H6" i="232"/>
  <c r="H8" i="234" l="1"/>
  <c r="H5" i="232" l="1"/>
  <c r="D1" i="231"/>
  <c r="D1" i="234" s="1"/>
  <c r="C1" i="236" s="1"/>
  <c r="L13" i="234"/>
  <c r="M13" i="234" s="1"/>
  <c r="L14" i="234"/>
  <c r="M14" i="234" s="1"/>
  <c r="A1" i="234"/>
  <c r="B9" i="230" s="1"/>
  <c r="A1" i="233"/>
  <c r="A1" i="232"/>
  <c r="B7" i="230" s="1"/>
  <c r="A1" i="231"/>
  <c r="B6" i="230" s="1"/>
  <c r="I5" i="231"/>
  <c r="A4" i="233"/>
  <c r="A9" i="233" s="1"/>
  <c r="A10" i="233" s="1"/>
  <c r="A4" i="232"/>
  <c r="A8" i="232" s="1"/>
  <c r="A9" i="232" s="1"/>
  <c r="A10" i="232" s="1"/>
  <c r="A11" i="232" s="1"/>
  <c r="A4" i="231"/>
  <c r="A5" i="231" s="1"/>
  <c r="A10" i="234"/>
  <c r="A11" i="234" s="1"/>
  <c r="A4" i="234"/>
  <c r="A5" i="234" s="1"/>
  <c r="A6" i="234" s="1"/>
  <c r="A7" i="234" s="1"/>
  <c r="A8" i="234" s="1"/>
  <c r="L9" i="233"/>
  <c r="R18" i="233"/>
  <c r="B11" i="233" l="1"/>
  <c r="B8" i="230"/>
  <c r="A6" i="231"/>
  <c r="A12" i="234"/>
  <c r="A13" i="234" s="1"/>
  <c r="A14" i="234" s="1"/>
  <c r="A5" i="233"/>
  <c r="A6" i="233" s="1"/>
  <c r="A7" i="233" s="1"/>
  <c r="A8" i="233" s="1"/>
  <c r="A5" i="232"/>
  <c r="A6" i="232" s="1"/>
  <c r="A7" i="232" s="1"/>
  <c r="A7" i="231" l="1"/>
  <c r="A8" i="231" s="1"/>
  <c r="A9" i="231" s="1"/>
  <c r="A10" i="231" s="1"/>
  <c r="A11" i="231" s="1"/>
  <c r="A12" i="231" s="1"/>
  <c r="A13" i="231"/>
  <c r="A14" i="231" s="1"/>
  <c r="A15" i="231" s="1"/>
  <c r="N6" i="233"/>
  <c r="H5" i="231" l="1"/>
  <c r="M11" i="234"/>
  <c r="L12" i="234"/>
  <c r="M17" i="234"/>
  <c r="M16" i="234"/>
  <c r="G14" i="234"/>
  <c r="G11" i="234"/>
  <c r="U10" i="234"/>
  <c r="Q10" i="234"/>
  <c r="M10" i="234"/>
  <c r="U8" i="234"/>
  <c r="Q8" i="234"/>
  <c r="M8" i="234"/>
  <c r="G8" i="234"/>
  <c r="U7" i="234"/>
  <c r="Q7" i="234"/>
  <c r="M7" i="234"/>
  <c r="G7" i="234"/>
  <c r="G6" i="234"/>
  <c r="I2" i="234"/>
  <c r="G10" i="233"/>
  <c r="AD11" i="233"/>
  <c r="H8" i="233" s="1"/>
  <c r="AD10" i="233"/>
  <c r="H7" i="233" s="1"/>
  <c r="AD9" i="233"/>
  <c r="H6" i="233" s="1"/>
  <c r="G8" i="233"/>
  <c r="AD8" i="233"/>
  <c r="H5" i="233" s="1"/>
  <c r="G7" i="233"/>
  <c r="AD7" i="233"/>
  <c r="G6" i="233"/>
  <c r="G5" i="233"/>
  <c r="I2" i="233"/>
  <c r="G11" i="232"/>
  <c r="G10" i="232"/>
  <c r="G9" i="232"/>
  <c r="G7" i="232"/>
  <c r="G6" i="232"/>
  <c r="G5" i="232"/>
  <c r="I2" i="232"/>
  <c r="G15" i="231"/>
  <c r="I3" i="233"/>
  <c r="I2" i="231"/>
  <c r="B12" i="230"/>
  <c r="G15" i="234" l="1"/>
  <c r="F9" i="230" s="1"/>
  <c r="G11" i="233"/>
  <c r="F8" i="230" s="1"/>
  <c r="G12" i="232"/>
  <c r="F7" i="230" s="1"/>
  <c r="M12" i="234"/>
  <c r="H6" i="234" s="1"/>
  <c r="U12" i="234"/>
  <c r="O10" i="232"/>
  <c r="Q12" i="234"/>
  <c r="H11" i="234" s="1"/>
  <c r="M15" i="234"/>
  <c r="P10" i="232"/>
  <c r="H10" i="232" s="1"/>
  <c r="D1" i="232"/>
  <c r="D1" i="233"/>
  <c r="H11" i="232" l="1"/>
  <c r="H9" i="232" s="1"/>
  <c r="H7" i="234"/>
  <c r="H14" i="234" s="1"/>
  <c r="B15" i="234"/>
  <c r="B16" i="231"/>
  <c r="B12" i="232" l="1"/>
  <c r="G14" i="231" l="1"/>
  <c r="G7" i="231"/>
  <c r="G9" i="231"/>
  <c r="G5" i="231"/>
  <c r="G8" i="231"/>
  <c r="G10" i="231"/>
  <c r="G12" i="231"/>
  <c r="G11" i="231"/>
  <c r="G16" i="231" l="1"/>
  <c r="F6" i="230" s="1"/>
  <c r="F11" i="230" s="1"/>
  <c r="J15" i="230" s="1"/>
  <c r="F13" i="230" l="1"/>
  <c r="F12" i="230"/>
  <c r="C90" i="57"/>
  <c r="C91" i="57"/>
  <c r="C92" i="57"/>
  <c r="C89" i="57"/>
  <c r="B90" i="57"/>
  <c r="B91" i="57"/>
  <c r="B89" i="57"/>
  <c r="F44" i="57"/>
  <c r="F43" i="57"/>
  <c r="F42" i="57"/>
  <c r="B45" i="57"/>
  <c r="F45" i="57" s="1"/>
  <c r="F10" i="57"/>
  <c r="F8" i="57"/>
  <c r="F7" i="57"/>
  <c r="B9" i="57"/>
  <c r="F9" i="57" s="1"/>
  <c r="G4" i="57" l="1"/>
  <c r="I4" i="57" s="1"/>
  <c r="J4" i="57" s="1"/>
  <c r="B92" i="57"/>
  <c r="L14" i="80"/>
  <c r="L130" i="80" s="1"/>
  <c r="J13" i="230" l="1"/>
  <c r="F165" i="89"/>
  <c r="J165" i="89" s="1"/>
  <c r="O164" i="89"/>
  <c r="F164" i="89"/>
  <c r="J164" i="89" s="1"/>
  <c r="D159" i="89"/>
  <c r="F159" i="89" s="1"/>
  <c r="I159" i="89" s="1"/>
  <c r="J159" i="89" s="1"/>
  <c r="D158" i="89"/>
  <c r="F158" i="89" s="1"/>
  <c r="I158" i="89" s="1"/>
  <c r="J158" i="89" s="1"/>
  <c r="C155" i="89"/>
  <c r="B155" i="89"/>
  <c r="F137" i="89"/>
  <c r="I137" i="89" s="1"/>
  <c r="J137" i="89" s="1"/>
  <c r="F136" i="89"/>
  <c r="I136" i="89" s="1"/>
  <c r="J136" i="89" s="1"/>
  <c r="E132" i="89"/>
  <c r="D132" i="89"/>
  <c r="F125" i="89"/>
  <c r="I125" i="89" s="1"/>
  <c r="J125" i="89" s="1"/>
  <c r="F124" i="89"/>
  <c r="I124" i="89" s="1"/>
  <c r="J124" i="89" s="1"/>
  <c r="F121" i="89"/>
  <c r="I121" i="89" s="1"/>
  <c r="J121" i="89" s="1"/>
  <c r="M113" i="89"/>
  <c r="D99" i="89"/>
  <c r="C98" i="89" s="1"/>
  <c r="F98" i="89" s="1"/>
  <c r="I98" i="89" s="1"/>
  <c r="J98" i="89" s="1"/>
  <c r="C99" i="89"/>
  <c r="E95" i="89"/>
  <c r="C95" i="89"/>
  <c r="E94" i="89"/>
  <c r="E91" i="89"/>
  <c r="D91" i="89"/>
  <c r="C90" i="89" s="1"/>
  <c r="C91" i="89"/>
  <c r="E90" i="89"/>
  <c r="E87" i="89"/>
  <c r="C87" i="89"/>
  <c r="E86" i="89"/>
  <c r="Q84" i="89"/>
  <c r="B65" i="89"/>
  <c r="F65" i="89" s="1"/>
  <c r="I65" i="89" s="1"/>
  <c r="J65" i="89" s="1"/>
  <c r="J66" i="89" s="1"/>
  <c r="A38" i="89"/>
  <c r="B37" i="89"/>
  <c r="F37" i="89" s="1"/>
  <c r="I37" i="89" s="1"/>
  <c r="J37" i="89" s="1"/>
  <c r="A37" i="89"/>
  <c r="A65" i="89" s="1"/>
  <c r="B36" i="89"/>
  <c r="F36" i="89" s="1"/>
  <c r="I36" i="89" s="1"/>
  <c r="J36" i="89" s="1"/>
  <c r="A36" i="89"/>
  <c r="A50" i="89" s="1"/>
  <c r="A68" i="89" s="1"/>
  <c r="F33" i="89"/>
  <c r="I33" i="89" s="1"/>
  <c r="J33" i="89" s="1"/>
  <c r="A33" i="89"/>
  <c r="A32" i="89"/>
  <c r="A49" i="89" s="1"/>
  <c r="A61" i="89" s="1"/>
  <c r="B31" i="89"/>
  <c r="B48" i="89" s="1"/>
  <c r="A31" i="89"/>
  <c r="A48" i="89" s="1"/>
  <c r="A57" i="89" s="1"/>
  <c r="A30" i="89"/>
  <c r="A47" i="89" s="1"/>
  <c r="A103" i="89" s="1"/>
  <c r="F22" i="89"/>
  <c r="I22" i="89" s="1"/>
  <c r="J22" i="89" s="1"/>
  <c r="F18" i="89"/>
  <c r="I18" i="89" s="1"/>
  <c r="J18" i="89" s="1"/>
  <c r="B16" i="89"/>
  <c r="F14" i="89"/>
  <c r="I14" i="89" s="1"/>
  <c r="J14" i="89" s="1"/>
  <c r="F12" i="89"/>
  <c r="I12" i="89" s="1"/>
  <c r="J12" i="89" s="1"/>
  <c r="B10" i="89"/>
  <c r="F10" i="89" s="1"/>
  <c r="I10" i="89" s="1"/>
  <c r="J10" i="89" s="1"/>
  <c r="F8" i="89"/>
  <c r="I8" i="89" s="1"/>
  <c r="J8" i="89" s="1"/>
  <c r="C6" i="89"/>
  <c r="B6" i="89"/>
  <c r="B30" i="89" s="1"/>
  <c r="J160" i="89" l="1"/>
  <c r="F99" i="89"/>
  <c r="I99" i="89" s="1"/>
  <c r="J99" i="89" s="1"/>
  <c r="F91" i="89"/>
  <c r="I91" i="89" s="1"/>
  <c r="J91" i="89" s="1"/>
  <c r="J166" i="89"/>
  <c r="A116" i="89"/>
  <c r="A71" i="89"/>
  <c r="A97" i="89" s="1"/>
  <c r="B32" i="89"/>
  <c r="F32" i="89" s="1"/>
  <c r="I32" i="89" s="1"/>
  <c r="J32" i="89" s="1"/>
  <c r="J126" i="89"/>
  <c r="J138" i="89"/>
  <c r="F31" i="89"/>
  <c r="I31" i="89" s="1"/>
  <c r="J31" i="89" s="1"/>
  <c r="F90" i="89"/>
  <c r="I90" i="89" s="1"/>
  <c r="J90" i="89" s="1"/>
  <c r="J92" i="89" s="1"/>
  <c r="F132" i="89"/>
  <c r="I132" i="89" s="1"/>
  <c r="J132" i="89" s="1"/>
  <c r="J133" i="89" s="1"/>
  <c r="A107" i="89"/>
  <c r="A108" i="89" s="1"/>
  <c r="A89" i="89"/>
  <c r="B47" i="89"/>
  <c r="F30" i="89"/>
  <c r="I30" i="89" s="1"/>
  <c r="J30" i="89" s="1"/>
  <c r="B50" i="89"/>
  <c r="F6" i="89"/>
  <c r="I6" i="89" s="1"/>
  <c r="J6" i="89" s="1"/>
  <c r="B42" i="89"/>
  <c r="A53" i="89"/>
  <c r="A93" i="89"/>
  <c r="A112" i="89"/>
  <c r="A113" i="89" s="1"/>
  <c r="B49" i="89"/>
  <c r="B143" i="89"/>
  <c r="F16" i="89"/>
  <c r="I16" i="89" s="1"/>
  <c r="J16" i="89" s="1"/>
  <c r="B38" i="89"/>
  <c r="F38" i="89" s="1"/>
  <c r="I38" i="89" s="1"/>
  <c r="J38" i="89" s="1"/>
  <c r="J39" i="89" s="1"/>
  <c r="B57" i="89"/>
  <c r="F48" i="89"/>
  <c r="I48" i="89" s="1"/>
  <c r="J48" i="89" s="1"/>
  <c r="J100" i="89"/>
  <c r="A42" i="89"/>
  <c r="B146" i="89" l="1"/>
  <c r="F143" i="89"/>
  <c r="I143" i="89" s="1"/>
  <c r="J143" i="89" s="1"/>
  <c r="J144" i="89" s="1"/>
  <c r="D155" i="89"/>
  <c r="F155" i="89" s="1"/>
  <c r="I155" i="89" s="1"/>
  <c r="J155" i="89" s="1"/>
  <c r="J156" i="89" s="1"/>
  <c r="B68" i="89"/>
  <c r="F50" i="89"/>
  <c r="I50" i="89" s="1"/>
  <c r="J50" i="89" s="1"/>
  <c r="B53" i="89"/>
  <c r="F47" i="89"/>
  <c r="I47" i="89" s="1"/>
  <c r="J47" i="89" s="1"/>
  <c r="B61" i="89"/>
  <c r="F49" i="89"/>
  <c r="I49" i="89" s="1"/>
  <c r="J49" i="89" s="1"/>
  <c r="J19" i="89"/>
  <c r="B107" i="89"/>
  <c r="B58" i="89"/>
  <c r="F58" i="89" s="1"/>
  <c r="I58" i="89" s="1"/>
  <c r="J58" i="89" s="1"/>
  <c r="F57" i="89"/>
  <c r="I57" i="89" s="1"/>
  <c r="J57" i="89" s="1"/>
  <c r="A85" i="89"/>
  <c r="A104" i="89"/>
  <c r="J34" i="89"/>
  <c r="B112" i="89" l="1"/>
  <c r="D95" i="89"/>
  <c r="B62" i="89"/>
  <c r="F62" i="89" s="1"/>
  <c r="I62" i="89" s="1"/>
  <c r="J62" i="89" s="1"/>
  <c r="F61" i="89"/>
  <c r="I61" i="89" s="1"/>
  <c r="J61" i="89" s="1"/>
  <c r="B116" i="89"/>
  <c r="F116" i="89" s="1"/>
  <c r="I116" i="89" s="1"/>
  <c r="J116" i="89" s="1"/>
  <c r="J117" i="89" s="1"/>
  <c r="B71" i="89"/>
  <c r="F68" i="89"/>
  <c r="I68" i="89" s="1"/>
  <c r="J68" i="89" s="1"/>
  <c r="J69" i="89" s="1"/>
  <c r="B108" i="89"/>
  <c r="F107" i="89"/>
  <c r="I107" i="89" s="1"/>
  <c r="J107" i="89" s="1"/>
  <c r="B54" i="89"/>
  <c r="F54" i="89" s="1"/>
  <c r="I54" i="89" s="1"/>
  <c r="J54" i="89" s="1"/>
  <c r="B103" i="89"/>
  <c r="D87" i="89"/>
  <c r="F53" i="89"/>
  <c r="I53" i="89" s="1"/>
  <c r="J53" i="89" s="1"/>
  <c r="J55" i="89" s="1"/>
  <c r="J59" i="89"/>
  <c r="B149" i="89"/>
  <c r="F146" i="89"/>
  <c r="I146" i="89" s="1"/>
  <c r="J146" i="89" s="1"/>
  <c r="J147" i="89" s="1"/>
  <c r="J63" i="89" l="1"/>
  <c r="C86" i="89"/>
  <c r="F86" i="89" s="1"/>
  <c r="I86" i="89" s="1"/>
  <c r="J86" i="89" s="1"/>
  <c r="F87" i="89"/>
  <c r="I87" i="89" s="1"/>
  <c r="J87" i="89" s="1"/>
  <c r="F108" i="89"/>
  <c r="I108" i="89" s="1"/>
  <c r="J108" i="89" s="1"/>
  <c r="B109" i="89"/>
  <c r="F109" i="89" s="1"/>
  <c r="I109" i="89" s="1"/>
  <c r="J109" i="89" s="1"/>
  <c r="B152" i="89"/>
  <c r="F152" i="89" s="1"/>
  <c r="I152" i="89" s="1"/>
  <c r="J152" i="89" s="1"/>
  <c r="J153" i="89" s="1"/>
  <c r="F149" i="89"/>
  <c r="I149" i="89" s="1"/>
  <c r="J149" i="89" s="1"/>
  <c r="J150" i="89" s="1"/>
  <c r="B104" i="89"/>
  <c r="F104" i="89" s="1"/>
  <c r="I104" i="89" s="1"/>
  <c r="J104" i="89" s="1"/>
  <c r="F103" i="89"/>
  <c r="I103" i="89" s="1"/>
  <c r="J103" i="89" s="1"/>
  <c r="B74" i="89"/>
  <c r="F71" i="89"/>
  <c r="I71" i="89" s="1"/>
  <c r="J71" i="89" s="1"/>
  <c r="J72" i="89" s="1"/>
  <c r="F42" i="89" s="1"/>
  <c r="I42" i="89" s="1"/>
  <c r="J42" i="89" s="1"/>
  <c r="C94" i="89"/>
  <c r="F94" i="89" s="1"/>
  <c r="I94" i="89" s="1"/>
  <c r="J94" i="89" s="1"/>
  <c r="F95" i="89"/>
  <c r="I95" i="89" s="1"/>
  <c r="J95" i="89" s="1"/>
  <c r="B113" i="89"/>
  <c r="F113" i="89" s="1"/>
  <c r="I113" i="89" s="1"/>
  <c r="J113" i="89" s="1"/>
  <c r="F112" i="89"/>
  <c r="I112" i="89" s="1"/>
  <c r="J112" i="89" s="1"/>
  <c r="J88" i="89" l="1"/>
  <c r="J105" i="89"/>
  <c r="J114" i="89"/>
  <c r="J110" i="89"/>
  <c r="J96" i="89"/>
  <c r="B77" i="89"/>
  <c r="F74" i="89"/>
  <c r="I74" i="89" s="1"/>
  <c r="J74" i="89" s="1"/>
  <c r="J75" i="89" s="1"/>
  <c r="F77" i="89" l="1"/>
  <c r="I77" i="89" s="1"/>
  <c r="J77" i="89" s="1"/>
  <c r="J78" i="89" s="1"/>
  <c r="B80" i="89"/>
  <c r="F80" i="89" s="1"/>
  <c r="I80" i="89" s="1"/>
  <c r="J80" i="89" s="1"/>
  <c r="J81" i="89" s="1"/>
  <c r="L22" i="80" l="1"/>
  <c r="P22" i="80" s="1"/>
  <c r="Q21" i="80" s="1"/>
  <c r="L7" i="80" l="1"/>
  <c r="N212" i="80"/>
  <c r="M138" i="80"/>
  <c r="M126" i="80"/>
  <c r="M44" i="80"/>
  <c r="M9" i="80"/>
  <c r="Q314" i="80" l="1"/>
  <c r="M324" i="80"/>
  <c r="M327" i="80" s="1"/>
  <c r="L324" i="80"/>
  <c r="L327" i="80" s="1"/>
  <c r="L330" i="80" s="1"/>
  <c r="Q330" i="80" s="1"/>
  <c r="AE326" i="80"/>
  <c r="AD331" i="80" s="1"/>
  <c r="Z326" i="80"/>
  <c r="Y331" i="80" s="1"/>
  <c r="AE331" i="80"/>
  <c r="AF331" i="80" s="1"/>
  <c r="Z331" i="80"/>
  <c r="AA331" i="80" s="1"/>
  <c r="AF326" i="80" l="1"/>
  <c r="Q327" i="80"/>
  <c r="AE328" i="80"/>
  <c r="Y328" i="80" s="1"/>
  <c r="AI331" i="80"/>
  <c r="Q324" i="80"/>
  <c r="Z328" i="80"/>
  <c r="AD328" i="80" s="1"/>
  <c r="AF328" i="80" s="1"/>
  <c r="AA326" i="80"/>
  <c r="AI326" i="80" s="1"/>
  <c r="P322" i="80"/>
  <c r="M321" i="80"/>
  <c r="L321" i="80"/>
  <c r="Q317" i="80"/>
  <c r="P312" i="80"/>
  <c r="P310" i="80"/>
  <c r="P298" i="80"/>
  <c r="P321" i="80" l="1"/>
  <c r="Q321" i="80" s="1"/>
  <c r="AA328" i="80"/>
  <c r="AI328" i="80" s="1"/>
  <c r="Q319" i="80" s="1"/>
  <c r="AR13" i="85" l="1"/>
  <c r="AU13" i="85" s="1"/>
  <c r="AR12" i="85"/>
  <c r="AT11" i="85"/>
  <c r="AR11" i="85"/>
  <c r="AU9" i="85"/>
  <c r="AU8" i="85"/>
  <c r="AJ2" i="85"/>
  <c r="AJ5" i="85" s="1"/>
  <c r="AL2" i="85"/>
  <c r="AU11" i="85" l="1"/>
  <c r="AU17" i="85" s="1"/>
  <c r="AT15" i="85"/>
  <c r="AU15" i="85" s="1"/>
  <c r="AT16" i="85" l="1"/>
  <c r="AU16" i="85" s="1"/>
  <c r="AU18" i="85" s="1"/>
  <c r="AU19" i="85" s="1"/>
  <c r="AU20" i="85" s="1"/>
  <c r="AU21" i="85" s="1"/>
  <c r="C34" i="85" l="1"/>
  <c r="AA21" i="85"/>
  <c r="Z21" i="85"/>
  <c r="Z23" i="85"/>
  <c r="Y21" i="85"/>
  <c r="X21" i="85"/>
  <c r="T21" i="85"/>
  <c r="O21" i="85"/>
  <c r="Q21" i="85"/>
  <c r="R21" i="85" s="1"/>
  <c r="N21" i="85"/>
  <c r="M21" i="85"/>
  <c r="L22" i="85"/>
  <c r="F21" i="85"/>
  <c r="L21" i="85" s="1"/>
  <c r="K21" i="85"/>
  <c r="D21" i="85"/>
  <c r="J21" i="85" s="1"/>
  <c r="E13" i="85"/>
  <c r="E26" i="85"/>
  <c r="E31" i="85" s="1"/>
  <c r="M34" i="85" l="1"/>
  <c r="U21" i="85"/>
  <c r="V21" i="85" s="1"/>
  <c r="C9" i="85" l="1"/>
  <c r="L9" i="85" s="1"/>
  <c r="H31" i="85"/>
  <c r="Q9" i="85"/>
  <c r="O9" i="85" l="1"/>
  <c r="M9" i="85"/>
  <c r="R9" i="85"/>
  <c r="J9" i="85"/>
  <c r="N9" i="85"/>
  <c r="T9" i="85"/>
  <c r="U9" i="85" s="1"/>
  <c r="K9" i="85"/>
  <c r="V9" i="85" l="1"/>
  <c r="H26" i="85" l="1"/>
  <c r="E27" i="85"/>
  <c r="H27" i="85" l="1"/>
  <c r="E28" i="85"/>
  <c r="E29" i="85" l="1"/>
  <c r="H28" i="85"/>
  <c r="E30" i="85" l="1"/>
  <c r="H30" i="85" s="1"/>
  <c r="H29" i="85"/>
  <c r="P306" i="80"/>
  <c r="P307" i="80"/>
  <c r="P308" i="80"/>
  <c r="Q305" i="80" l="1"/>
  <c r="L68" i="80" l="1"/>
  <c r="P68" i="80" s="1"/>
  <c r="Q66" i="80" s="1"/>
  <c r="L10" i="80" l="1"/>
  <c r="O245" i="80" s="1"/>
  <c r="L9" i="80"/>
  <c r="L8" i="80"/>
  <c r="P7" i="80"/>
  <c r="L5" i="80"/>
  <c r="L44" i="80" l="1"/>
  <c r="P302" i="80"/>
  <c r="L288" i="80"/>
  <c r="P46" i="86" l="1"/>
  <c r="S46" i="86"/>
  <c r="E68" i="86" l="1"/>
  <c r="L73" i="86"/>
  <c r="F207" i="86" s="1"/>
  <c r="A181" i="86"/>
  <c r="F167" i="86"/>
  <c r="C93" i="86"/>
  <c r="E84" i="86"/>
  <c r="E83" i="86"/>
  <c r="G74" i="86"/>
  <c r="G75" i="86"/>
  <c r="G73" i="86"/>
  <c r="C68" i="86"/>
  <c r="K68" i="86" s="1"/>
  <c r="C90" i="86"/>
  <c r="C66" i="86"/>
  <c r="K66" i="86" s="1"/>
  <c r="C51" i="86"/>
  <c r="O51" i="86" s="1"/>
  <c r="Q49" i="86"/>
  <c r="Q48" i="86"/>
  <c r="R48" i="86" s="1"/>
  <c r="C56" i="86"/>
  <c r="C49" i="86"/>
  <c r="O49" i="86" s="1"/>
  <c r="C48" i="86"/>
  <c r="O48" i="86" s="1"/>
  <c r="C46" i="86"/>
  <c r="O46" i="86" s="1"/>
  <c r="C43" i="86"/>
  <c r="O43" i="86" s="1"/>
  <c r="C44" i="86"/>
  <c r="O44" i="86" s="1"/>
  <c r="C38" i="86"/>
  <c r="K38" i="86" s="1"/>
  <c r="C30" i="86"/>
  <c r="O30" i="86" s="1"/>
  <c r="F160" i="86"/>
  <c r="C27" i="86"/>
  <c r="O27" i="86" s="1"/>
  <c r="G28" i="86"/>
  <c r="M28" i="86" s="1"/>
  <c r="Q27" i="86"/>
  <c r="C25" i="86"/>
  <c r="L25" i="86" s="1"/>
  <c r="G26" i="86"/>
  <c r="N26" i="86" s="1"/>
  <c r="Q25" i="86"/>
  <c r="R25" i="86" s="1"/>
  <c r="C23" i="86"/>
  <c r="O23" i="86" s="1"/>
  <c r="G24" i="86"/>
  <c r="N24" i="86" s="1"/>
  <c r="Q23" i="86"/>
  <c r="R23" i="86" s="1"/>
  <c r="C21" i="86"/>
  <c r="O21" i="86" s="1"/>
  <c r="G22" i="86"/>
  <c r="M22" i="86" s="1"/>
  <c r="Q21" i="86"/>
  <c r="C19" i="86"/>
  <c r="O19" i="86" s="1"/>
  <c r="C15" i="86"/>
  <c r="O15" i="86" s="1"/>
  <c r="C13" i="86"/>
  <c r="O13" i="86" s="1"/>
  <c r="C7" i="86"/>
  <c r="C6" i="86"/>
  <c r="C5" i="86"/>
  <c r="C4" i="86"/>
  <c r="C9" i="86" l="1"/>
  <c r="L21" i="86"/>
  <c r="L23" i="86"/>
  <c r="K48" i="86"/>
  <c r="M49" i="86"/>
  <c r="N28" i="86"/>
  <c r="L38" i="86"/>
  <c r="F176" i="86" s="1"/>
  <c r="L49" i="86"/>
  <c r="M73" i="86"/>
  <c r="F208" i="86" s="1"/>
  <c r="O25" i="86"/>
  <c r="K49" i="86"/>
  <c r="T49" i="86"/>
  <c r="U49" i="86" s="1"/>
  <c r="V49" i="86" s="1"/>
  <c r="M38" i="86"/>
  <c r="L48" i="86"/>
  <c r="T48" i="86"/>
  <c r="U48" i="86" s="1"/>
  <c r="V48" i="86" s="1"/>
  <c r="N38" i="86"/>
  <c r="M48" i="86"/>
  <c r="F117" i="86"/>
  <c r="N22" i="86"/>
  <c r="J48" i="86"/>
  <c r="N48" i="86"/>
  <c r="J49" i="86"/>
  <c r="N49" i="86"/>
  <c r="R49" i="86"/>
  <c r="L27" i="86"/>
  <c r="M27" i="86"/>
  <c r="R27" i="86"/>
  <c r="C28" i="86"/>
  <c r="J27" i="86"/>
  <c r="N27" i="86"/>
  <c r="T27" i="86"/>
  <c r="U27" i="86" s="1"/>
  <c r="V27" i="86" s="1"/>
  <c r="K27" i="86"/>
  <c r="J25" i="86"/>
  <c r="N25" i="86"/>
  <c r="T25" i="86"/>
  <c r="U25" i="86" s="1"/>
  <c r="V25" i="86" s="1"/>
  <c r="K25" i="86"/>
  <c r="M26" i="86"/>
  <c r="M25" i="86"/>
  <c r="C26" i="86"/>
  <c r="M23" i="86"/>
  <c r="C24" i="86"/>
  <c r="J23" i="86"/>
  <c r="N23" i="86"/>
  <c r="T23" i="86"/>
  <c r="U23" i="86" s="1"/>
  <c r="V23" i="86" s="1"/>
  <c r="K23" i="86"/>
  <c r="M24" i="86"/>
  <c r="M21" i="86"/>
  <c r="R21" i="86"/>
  <c r="C22" i="86"/>
  <c r="J21" i="86"/>
  <c r="N21" i="86"/>
  <c r="T21" i="86"/>
  <c r="U21" i="86" s="1"/>
  <c r="V21" i="86" s="1"/>
  <c r="K21" i="86"/>
  <c r="F145" i="86" l="1"/>
  <c r="F146" i="86"/>
  <c r="F144" i="86"/>
  <c r="N73" i="86"/>
  <c r="F147" i="86"/>
  <c r="O73" i="86"/>
  <c r="F209" i="86"/>
  <c r="P303" i="80"/>
  <c r="L295" i="80"/>
  <c r="P273" i="80"/>
  <c r="N228" i="80"/>
  <c r="M143" i="80"/>
  <c r="M125" i="80"/>
  <c r="N106" i="80"/>
  <c r="Q301" i="80" l="1"/>
  <c r="P100" i="80"/>
  <c r="N91" i="80"/>
  <c r="M78" i="80"/>
  <c r="N53" i="80"/>
  <c r="M53" i="80"/>
  <c r="N48" i="80"/>
  <c r="M48" i="80"/>
  <c r="M47" i="80"/>
  <c r="M45" i="80" l="1"/>
  <c r="N44" i="80"/>
  <c r="N43" i="80"/>
  <c r="M43" i="80"/>
  <c r="B22" i="80" l="1"/>
  <c r="M16" i="80"/>
  <c r="M14" i="80"/>
  <c r="M15" i="80"/>
  <c r="M13" i="80"/>
  <c r="M8" i="80"/>
  <c r="P8" i="80" s="1"/>
  <c r="L15" i="80"/>
  <c r="L53" i="80" s="1"/>
  <c r="P53" i="80" s="1"/>
  <c r="N198" i="80"/>
  <c r="L13" i="80"/>
  <c r="P245" i="80"/>
  <c r="L217" i="80"/>
  <c r="P44" i="80"/>
  <c r="B9" i="80"/>
  <c r="L43" i="80"/>
  <c r="P43" i="80" s="1"/>
  <c r="S301" i="80"/>
  <c r="T301" i="80" s="1"/>
  <c r="S305" i="80"/>
  <c r="T305" i="80" s="1"/>
  <c r="S297" i="80"/>
  <c r="T297" i="80" s="1"/>
  <c r="P295" i="80"/>
  <c r="S293" i="80"/>
  <c r="T293" i="80" s="1"/>
  <c r="P288" i="80"/>
  <c r="S286" i="80"/>
  <c r="T286" i="80" s="1"/>
  <c r="O283" i="80"/>
  <c r="S282" i="80"/>
  <c r="T282" i="80" s="1"/>
  <c r="S278" i="80"/>
  <c r="T278" i="80" s="1"/>
  <c r="S271" i="80"/>
  <c r="T271" i="80" s="1"/>
  <c r="N240" i="80"/>
  <c r="T205" i="80"/>
  <c r="O202" i="80"/>
  <c r="O201" i="80"/>
  <c r="N201" i="80"/>
  <c r="O198" i="80"/>
  <c r="O197" i="80"/>
  <c r="N197" i="80"/>
  <c r="O194" i="80"/>
  <c r="O193" i="80"/>
  <c r="O192" i="80"/>
  <c r="O189" i="80"/>
  <c r="O188" i="80"/>
  <c r="O185" i="80"/>
  <c r="N185" i="80"/>
  <c r="M184" i="80" s="1"/>
  <c r="O184" i="80"/>
  <c r="O181" i="80"/>
  <c r="N181" i="80"/>
  <c r="P181" i="80" s="1"/>
  <c r="O180" i="80"/>
  <c r="O177" i="80"/>
  <c r="O176" i="80"/>
  <c r="O175" i="80"/>
  <c r="O172" i="80"/>
  <c r="O171" i="80"/>
  <c r="M156" i="80"/>
  <c r="M127" i="80"/>
  <c r="O116" i="80"/>
  <c r="O115" i="80"/>
  <c r="N115" i="80"/>
  <c r="O114" i="80"/>
  <c r="N114" i="80"/>
  <c r="O113" i="80"/>
  <c r="N113" i="80"/>
  <c r="O111" i="80"/>
  <c r="O110" i="80"/>
  <c r="N110" i="80"/>
  <c r="O108" i="80"/>
  <c r="O107" i="80"/>
  <c r="N107" i="80"/>
  <c r="M108" i="80" s="1"/>
  <c r="O106" i="80"/>
  <c r="N99" i="80"/>
  <c r="N98" i="80"/>
  <c r="M93" i="80"/>
  <c r="M91" i="80"/>
  <c r="L84" i="80"/>
  <c r="T77" i="80"/>
  <c r="L56" i="80"/>
  <c r="P56" i="80" s="1"/>
  <c r="N45" i="80"/>
  <c r="L16" i="80"/>
  <c r="L39" i="80" s="1"/>
  <c r="M12" i="80"/>
  <c r="L12" i="80"/>
  <c r="L227" i="80" s="1"/>
  <c r="P227" i="80" s="1"/>
  <c r="M10" i="80"/>
  <c r="P5" i="80"/>
  <c r="B5" i="80"/>
  <c r="B14" i="80"/>
  <c r="B15" i="80"/>
  <c r="B54" i="80" s="1"/>
  <c r="F54" i="80" s="1"/>
  <c r="M116" i="80" l="1"/>
  <c r="L99" i="80"/>
  <c r="M107" i="80" s="1"/>
  <c r="L81" i="80"/>
  <c r="O84" i="80" s="1"/>
  <c r="L59" i="80"/>
  <c r="P59" i="80" s="1"/>
  <c r="P39" i="80"/>
  <c r="P12" i="80"/>
  <c r="L47" i="80"/>
  <c r="P47" i="80" s="1"/>
  <c r="P84" i="80"/>
  <c r="Q83" i="80" s="1"/>
  <c r="L152" i="80"/>
  <c r="P152" i="80" s="1"/>
  <c r="P99" i="80"/>
  <c r="L78" i="80"/>
  <c r="N116" i="80"/>
  <c r="M115" i="80" s="1"/>
  <c r="P115" i="80" s="1"/>
  <c r="N108" i="80"/>
  <c r="N111" i="80"/>
  <c r="L92" i="80"/>
  <c r="P92" i="80" s="1"/>
  <c r="T66" i="80"/>
  <c r="Q244" i="80"/>
  <c r="S244" i="80" s="1"/>
  <c r="T244" i="80" s="1"/>
  <c r="L60" i="80"/>
  <c r="T21" i="80"/>
  <c r="P130" i="80"/>
  <c r="L235" i="80"/>
  <c r="P235" i="80" s="1"/>
  <c r="L237" i="80"/>
  <c r="L50" i="80"/>
  <c r="L51" i="80" s="1"/>
  <c r="P51" i="80" s="1"/>
  <c r="P10" i="80"/>
  <c r="L127" i="80"/>
  <c r="P127" i="80" s="1"/>
  <c r="L125" i="80"/>
  <c r="P125" i="80" s="1"/>
  <c r="L134" i="80"/>
  <c r="P134" i="80" s="1"/>
  <c r="L165" i="80"/>
  <c r="P165" i="80" s="1"/>
  <c r="M197" i="80"/>
  <c r="P197" i="80" s="1"/>
  <c r="P198" i="80"/>
  <c r="N202" i="80"/>
  <c r="N172" i="80"/>
  <c r="M171" i="80" s="1"/>
  <c r="L207" i="80"/>
  <c r="P207" i="80" s="1"/>
  <c r="L133" i="80"/>
  <c r="P133" i="80" s="1"/>
  <c r="P78" i="80"/>
  <c r="Q77" i="80" s="1"/>
  <c r="M180" i="80"/>
  <c r="P180" i="80" s="1"/>
  <c r="Q180" i="80" s="1"/>
  <c r="P184" i="80"/>
  <c r="L241" i="80"/>
  <c r="P241" i="80" s="1"/>
  <c r="L240" i="80"/>
  <c r="P240" i="80" s="1"/>
  <c r="L166" i="80"/>
  <c r="P166" i="80" s="1"/>
  <c r="L164" i="80"/>
  <c r="P164" i="80" s="1"/>
  <c r="P15" i="80"/>
  <c r="L231" i="80"/>
  <c r="L154" i="80"/>
  <c r="P154" i="80" s="1"/>
  <c r="L129" i="80"/>
  <c r="P129" i="80" s="1"/>
  <c r="L48" i="80"/>
  <c r="P48" i="80" s="1"/>
  <c r="L230" i="80"/>
  <c r="P230" i="80" s="1"/>
  <c r="N193" i="80"/>
  <c r="L155" i="80"/>
  <c r="P13" i="80"/>
  <c r="O218" i="80"/>
  <c r="P218" i="80" s="1"/>
  <c r="P217" i="80"/>
  <c r="P81" i="80"/>
  <c r="Q80" i="80" s="1"/>
  <c r="P185" i="80"/>
  <c r="L208" i="80"/>
  <c r="P208" i="80" s="1"/>
  <c r="O219" i="80"/>
  <c r="P219" i="80" s="1"/>
  <c r="P9" i="80"/>
  <c r="L45" i="80"/>
  <c r="P45" i="80" s="1"/>
  <c r="L87" i="80"/>
  <c r="P87" i="80" s="1"/>
  <c r="Q86" i="80" s="1"/>
  <c r="L91" i="80"/>
  <c r="P91" i="80" s="1"/>
  <c r="L94" i="80"/>
  <c r="P94" i="80" s="1"/>
  <c r="L98" i="80"/>
  <c r="L138" i="80"/>
  <c r="L143" i="80"/>
  <c r="O144" i="80" s="1"/>
  <c r="P144" i="80" s="1"/>
  <c r="L151" i="80"/>
  <c r="P151" i="80" s="1"/>
  <c r="L160" i="80"/>
  <c r="P160" i="80" s="1"/>
  <c r="L212" i="80"/>
  <c r="L216" i="80"/>
  <c r="P216" i="80" s="1"/>
  <c r="L93" i="80"/>
  <c r="P93" i="80" s="1"/>
  <c r="L126" i="80"/>
  <c r="P126" i="80" s="1"/>
  <c r="L137" i="80"/>
  <c r="P137" i="80" s="1"/>
  <c r="L142" i="80"/>
  <c r="P142" i="80" s="1"/>
  <c r="L159" i="80"/>
  <c r="P159" i="80" s="1"/>
  <c r="N176" i="80"/>
  <c r="N189" i="80"/>
  <c r="L211" i="80"/>
  <c r="P211" i="80" s="1"/>
  <c r="L228" i="80"/>
  <c r="P228" i="80" s="1"/>
  <c r="Q227" i="80" s="1"/>
  <c r="L236" i="80"/>
  <c r="P236" i="80" s="1"/>
  <c r="P14" i="80"/>
  <c r="P16" i="80"/>
  <c r="L161" i="80"/>
  <c r="L251" i="80" s="1"/>
  <c r="Q4" i="80" l="1"/>
  <c r="Q151" i="80"/>
  <c r="O139" i="80"/>
  <c r="P139" i="80" s="1"/>
  <c r="Q197" i="80"/>
  <c r="T80" i="80"/>
  <c r="Q164" i="80"/>
  <c r="Q184" i="80"/>
  <c r="Q133" i="80"/>
  <c r="M113" i="80"/>
  <c r="P113" i="80" s="1"/>
  <c r="M114" i="80"/>
  <c r="P114" i="80" s="1"/>
  <c r="P253" i="80"/>
  <c r="P251" i="80"/>
  <c r="P50" i="80"/>
  <c r="Q43" i="80" s="1"/>
  <c r="T86" i="80"/>
  <c r="T83" i="80"/>
  <c r="P98" i="80"/>
  <c r="Q96" i="80" s="1"/>
  <c r="M106" i="80"/>
  <c r="P106" i="80" s="1"/>
  <c r="Q240" i="80"/>
  <c r="P116" i="80"/>
  <c r="P60" i="80"/>
  <c r="Q58" i="80" s="1"/>
  <c r="Q207" i="80"/>
  <c r="Q235" i="80"/>
  <c r="Q216" i="80"/>
  <c r="Q124" i="80"/>
  <c r="T124" i="80" s="1"/>
  <c r="M175" i="80"/>
  <c r="P175" i="80" s="1"/>
  <c r="M177" i="80"/>
  <c r="P177" i="80" s="1"/>
  <c r="P176" i="80"/>
  <c r="P143" i="80"/>
  <c r="M201" i="80"/>
  <c r="P201" i="80" s="1"/>
  <c r="P202" i="80"/>
  <c r="Q159" i="80"/>
  <c r="P107" i="80"/>
  <c r="P108" i="80"/>
  <c r="O213" i="80"/>
  <c r="P213" i="80" s="1"/>
  <c r="P212" i="80"/>
  <c r="P138" i="80"/>
  <c r="Q89" i="80"/>
  <c r="P155" i="80"/>
  <c r="O156" i="80"/>
  <c r="P156" i="80" s="1"/>
  <c r="P111" i="80"/>
  <c r="M110" i="80"/>
  <c r="P110" i="80" s="1"/>
  <c r="P193" i="80"/>
  <c r="M192" i="80"/>
  <c r="P192" i="80" s="1"/>
  <c r="M194" i="80"/>
  <c r="P194" i="80" s="1"/>
  <c r="M188" i="80"/>
  <c r="P188" i="80" s="1"/>
  <c r="P189" i="80"/>
  <c r="O232" i="80"/>
  <c r="P232" i="80" s="1"/>
  <c r="P231" i="80"/>
  <c r="P171" i="80"/>
  <c r="P172" i="80"/>
  <c r="Q230" i="80" l="1"/>
  <c r="Q201" i="80"/>
  <c r="Q37" i="80"/>
  <c r="T37" i="80" s="1"/>
  <c r="T36" i="80" s="1"/>
  <c r="T35" i="80" s="1"/>
  <c r="Q154" i="80"/>
  <c r="Q188" i="80"/>
  <c r="T89" i="80"/>
  <c r="T96" i="80"/>
  <c r="Q211" i="80"/>
  <c r="T58" i="80"/>
  <c r="Q171" i="80"/>
  <c r="T4" i="80"/>
  <c r="Q142" i="80"/>
  <c r="Q192" i="80"/>
  <c r="Q132" i="80"/>
  <c r="S132" i="80" s="1"/>
  <c r="T132" i="80" s="1"/>
  <c r="Q137" i="80"/>
  <c r="Q175" i="80"/>
  <c r="Q205" i="80"/>
  <c r="Q103" i="80"/>
  <c r="Q169" i="80"/>
  <c r="S169" i="80" s="1"/>
  <c r="T169" i="80" s="1"/>
  <c r="T103" i="80" l="1"/>
  <c r="B10" i="80"/>
  <c r="B16" i="80" l="1"/>
  <c r="F7" i="85"/>
  <c r="K7" i="86"/>
  <c r="B251" i="80"/>
  <c r="C12" i="80"/>
  <c r="C10" i="80"/>
  <c r="C9" i="80"/>
  <c r="C8" i="80"/>
  <c r="B18" i="80"/>
  <c r="B13" i="80"/>
  <c r="B7" i="80"/>
  <c r="F251" i="80" l="1"/>
  <c r="F303" i="80"/>
  <c r="G301" i="80" s="1"/>
  <c r="F68" i="80" l="1"/>
  <c r="F70" i="80"/>
  <c r="F69" i="80"/>
  <c r="G66" i="80" l="1"/>
  <c r="B56" i="80"/>
  <c r="F56" i="80" s="1"/>
  <c r="F22" i="80"/>
  <c r="G21" i="80" s="1"/>
  <c r="I21" i="80" s="1"/>
  <c r="F5" i="80"/>
  <c r="F9" i="80"/>
  <c r="J21" i="80" l="1"/>
  <c r="F18" i="80" l="1"/>
  <c r="K9" i="86"/>
  <c r="M4" i="86"/>
  <c r="F121" i="86"/>
  <c r="M68" i="86"/>
  <c r="H74" i="86"/>
  <c r="P73" i="86" s="1"/>
  <c r="F210" i="86" s="1"/>
  <c r="E78" i="86"/>
  <c r="E77" i="86"/>
  <c r="C63" i="86"/>
  <c r="M9" i="86" l="1"/>
  <c r="C5" i="85" l="1"/>
  <c r="Y5" i="85" l="1"/>
  <c r="AA5" i="85"/>
  <c r="L5" i="85"/>
  <c r="Z5" i="85"/>
  <c r="O5" i="85"/>
  <c r="K5" i="85"/>
  <c r="X5" i="85"/>
  <c r="N5" i="85"/>
  <c r="M5" i="85"/>
  <c r="J5" i="85"/>
  <c r="R5" i="85"/>
  <c r="T5" i="85"/>
  <c r="U5" i="85" s="1"/>
  <c r="V5" i="85" s="1"/>
  <c r="B295" i="80"/>
  <c r="F295" i="80" s="1"/>
  <c r="B288" i="80"/>
  <c r="F288" i="80" s="1"/>
  <c r="B291" i="80"/>
  <c r="F280" i="80"/>
  <c r="F279" i="80"/>
  <c r="I293" i="80" l="1"/>
  <c r="J293" i="80" s="1"/>
  <c r="I278" i="80" l="1"/>
  <c r="J278" i="80" s="1"/>
  <c r="F61" i="80" l="1"/>
  <c r="B17" i="80"/>
  <c r="F17" i="80" s="1"/>
  <c r="F60" i="80"/>
  <c r="Q7" i="86" l="1"/>
  <c r="R7" i="86" s="1"/>
  <c r="Q6" i="86"/>
  <c r="R6" i="86" s="1"/>
  <c r="J7" i="86"/>
  <c r="M7" i="86"/>
  <c r="T7" i="86"/>
  <c r="T51" i="86"/>
  <c r="Q51" i="86"/>
  <c r="L7" i="86" l="1"/>
  <c r="O7" i="86"/>
  <c r="N7" i="86"/>
  <c r="U7" i="86"/>
  <c r="V7" i="86" s="1"/>
  <c r="K51" i="86"/>
  <c r="N51" i="86"/>
  <c r="U51" i="86"/>
  <c r="V51" i="86" s="1"/>
  <c r="J51" i="86"/>
  <c r="L51" i="86"/>
  <c r="M51" i="86"/>
  <c r="R51" i="86"/>
  <c r="F214" i="86" l="1"/>
  <c r="A214" i="86"/>
  <c r="K93" i="86" l="1"/>
  <c r="F189" i="86" s="1"/>
  <c r="N93" i="86" l="1"/>
  <c r="A188" i="86"/>
  <c r="A175" i="86"/>
  <c r="C105" i="86"/>
  <c r="C104" i="86"/>
  <c r="C103" i="86"/>
  <c r="F103" i="86" s="1"/>
  <c r="F104" i="86" l="1"/>
  <c r="L103" i="86" s="1"/>
  <c r="F123" i="86" s="1"/>
  <c r="C96" i="86"/>
  <c r="F96" i="86" s="1"/>
  <c r="F98" i="86"/>
  <c r="C97" i="86"/>
  <c r="F97" i="86" s="1"/>
  <c r="K96" i="86" l="1"/>
  <c r="J93" i="86"/>
  <c r="E82" i="86"/>
  <c r="J82" i="86" s="1"/>
  <c r="F212" i="86" l="1"/>
  <c r="F90" i="86"/>
  <c r="L90" i="86" s="1"/>
  <c r="M90" i="86"/>
  <c r="K90" i="86"/>
  <c r="F119" i="86" s="1"/>
  <c r="J90" i="86"/>
  <c r="E74" i="86"/>
  <c r="E75" i="86"/>
  <c r="E76" i="86"/>
  <c r="E73" i="86"/>
  <c r="I66" i="86"/>
  <c r="I68" i="86"/>
  <c r="L68" i="86"/>
  <c r="L66" i="86"/>
  <c r="J63" i="86"/>
  <c r="K63" i="86"/>
  <c r="C62" i="86"/>
  <c r="J62" i="86" s="1"/>
  <c r="C61" i="86"/>
  <c r="J61" i="86" s="1"/>
  <c r="C60" i="86"/>
  <c r="K60" i="86" s="1"/>
  <c r="T46" i="86"/>
  <c r="Q46" i="86"/>
  <c r="R46" i="86" s="1"/>
  <c r="T56" i="86"/>
  <c r="Q56" i="86"/>
  <c r="R56" i="86" s="1"/>
  <c r="K56" i="86"/>
  <c r="L6" i="86"/>
  <c r="L44" i="86"/>
  <c r="Q44" i="86"/>
  <c r="R44" i="86" s="1"/>
  <c r="L43" i="86"/>
  <c r="Q43" i="86"/>
  <c r="C41" i="86"/>
  <c r="Q41" i="86"/>
  <c r="R41" i="86" s="1"/>
  <c r="Q38" i="86"/>
  <c r="C36" i="86"/>
  <c r="Q36" i="86"/>
  <c r="R36" i="86" s="1"/>
  <c r="G31" i="86"/>
  <c r="M31" i="86" s="1"/>
  <c r="Q30" i="86"/>
  <c r="G20" i="86"/>
  <c r="M20" i="86" s="1"/>
  <c r="Q19" i="86"/>
  <c r="C17" i="86"/>
  <c r="G18" i="86"/>
  <c r="M18" i="86" s="1"/>
  <c r="Q17" i="86"/>
  <c r="C16" i="86"/>
  <c r="G16" i="86"/>
  <c r="M16" i="86" s="1"/>
  <c r="Q15" i="86"/>
  <c r="R15" i="86" s="1"/>
  <c r="C14" i="86"/>
  <c r="G14" i="86"/>
  <c r="N14" i="86" s="1"/>
  <c r="Q13" i="86"/>
  <c r="F202" i="86" l="1"/>
  <c r="O17" i="86"/>
  <c r="C18" i="86"/>
  <c r="F194" i="86"/>
  <c r="K73" i="86"/>
  <c r="F206" i="86" s="1"/>
  <c r="F201" i="86"/>
  <c r="T36" i="86"/>
  <c r="U36" i="86" s="1"/>
  <c r="V36" i="86" s="1"/>
  <c r="F172" i="86" s="1"/>
  <c r="K36" i="86"/>
  <c r="N36" i="86"/>
  <c r="J36" i="86"/>
  <c r="M36" i="86"/>
  <c r="F171" i="86" s="1"/>
  <c r="L36" i="86"/>
  <c r="F170" i="86" s="1"/>
  <c r="N41" i="86"/>
  <c r="F129" i="86" s="1"/>
  <c r="O41" i="86"/>
  <c r="K41" i="86"/>
  <c r="F132" i="86"/>
  <c r="I56" i="86"/>
  <c r="F186" i="86" s="1"/>
  <c r="J38" i="86"/>
  <c r="F177" i="86"/>
  <c r="L30" i="86"/>
  <c r="F163" i="86" s="1"/>
  <c r="F179" i="86"/>
  <c r="J60" i="86"/>
  <c r="J66" i="86"/>
  <c r="N66" i="86"/>
  <c r="N13" i="86"/>
  <c r="M66" i="86"/>
  <c r="J68" i="86"/>
  <c r="N68" i="86"/>
  <c r="K62" i="86"/>
  <c r="K61" i="86"/>
  <c r="O36" i="86"/>
  <c r="L17" i="86"/>
  <c r="N18" i="86"/>
  <c r="N20" i="86"/>
  <c r="T38" i="86"/>
  <c r="U38" i="86" s="1"/>
  <c r="V38" i="86" s="1"/>
  <c r="F178" i="86" s="1"/>
  <c r="N31" i="86"/>
  <c r="U46" i="86"/>
  <c r="V46" i="86" s="1"/>
  <c r="F140" i="86" s="1"/>
  <c r="K46" i="86"/>
  <c r="L46" i="86"/>
  <c r="F138" i="86" s="1"/>
  <c r="M46" i="86"/>
  <c r="F139" i="86" s="1"/>
  <c r="J46" i="86"/>
  <c r="N46" i="86"/>
  <c r="F141" i="86" s="1"/>
  <c r="U56" i="86"/>
  <c r="V56" i="86" s="1"/>
  <c r="F184" i="86" s="1"/>
  <c r="M56" i="86"/>
  <c r="F183" i="86" s="1"/>
  <c r="O56" i="86"/>
  <c r="L56" i="86"/>
  <c r="J56" i="86"/>
  <c r="N56" i="86"/>
  <c r="F185" i="86" s="1"/>
  <c r="M6" i="86"/>
  <c r="J6" i="86"/>
  <c r="N6" i="86"/>
  <c r="T6" i="86"/>
  <c r="U6" i="86" s="1"/>
  <c r="V6" i="86" s="1"/>
  <c r="K6" i="86"/>
  <c r="O6" i="86"/>
  <c r="J44" i="86"/>
  <c r="N44" i="86"/>
  <c r="T44" i="86"/>
  <c r="U44" i="86" s="1"/>
  <c r="V44" i="86" s="1"/>
  <c r="K44" i="86"/>
  <c r="M44" i="86"/>
  <c r="J43" i="86"/>
  <c r="T43" i="86"/>
  <c r="U43" i="86" s="1"/>
  <c r="V43" i="86" s="1"/>
  <c r="N43" i="86"/>
  <c r="M43" i="86"/>
  <c r="K43" i="86"/>
  <c r="R43" i="86"/>
  <c r="L41" i="86"/>
  <c r="F126" i="86" s="1"/>
  <c r="M41" i="86"/>
  <c r="T41" i="86"/>
  <c r="U41" i="86" s="1"/>
  <c r="V41" i="86" s="1"/>
  <c r="F128" i="86" s="1"/>
  <c r="J41" i="86"/>
  <c r="O38" i="86"/>
  <c r="R38" i="86"/>
  <c r="F173" i="86"/>
  <c r="M30" i="86"/>
  <c r="F164" i="86" s="1"/>
  <c r="R30" i="86"/>
  <c r="C31" i="86"/>
  <c r="J30" i="86"/>
  <c r="N30" i="86"/>
  <c r="F166" i="86" s="1"/>
  <c r="T30" i="86"/>
  <c r="U30" i="86" s="1"/>
  <c r="V30" i="86" s="1"/>
  <c r="F165" i="86" s="1"/>
  <c r="K30" i="86"/>
  <c r="L19" i="86"/>
  <c r="C20" i="86"/>
  <c r="M19" i="86"/>
  <c r="R19" i="86"/>
  <c r="J19" i="86"/>
  <c r="N19" i="86"/>
  <c r="T19" i="86"/>
  <c r="U19" i="86" s="1"/>
  <c r="V19" i="86" s="1"/>
  <c r="K19" i="86"/>
  <c r="M17" i="86"/>
  <c r="R17" i="86"/>
  <c r="J17" i="86"/>
  <c r="N17" i="86"/>
  <c r="T17" i="86"/>
  <c r="U17" i="86" s="1"/>
  <c r="V17" i="86" s="1"/>
  <c r="K17" i="86"/>
  <c r="L15" i="86"/>
  <c r="T15" i="86"/>
  <c r="U15" i="86" s="1"/>
  <c r="V15" i="86" s="1"/>
  <c r="J15" i="86"/>
  <c r="K15" i="86"/>
  <c r="N15" i="86"/>
  <c r="N16" i="86"/>
  <c r="M15" i="86"/>
  <c r="J13" i="86"/>
  <c r="K13" i="86"/>
  <c r="T13" i="86"/>
  <c r="U13" i="86" s="1"/>
  <c r="V13" i="86" s="1"/>
  <c r="L13" i="86"/>
  <c r="M13" i="86"/>
  <c r="R13" i="86"/>
  <c r="M14" i="86"/>
  <c r="F218" i="86" l="1"/>
  <c r="F135" i="86"/>
  <c r="F156" i="86"/>
  <c r="F182" i="86"/>
  <c r="F195" i="86"/>
  <c r="F196" i="86"/>
  <c r="F216" i="86"/>
  <c r="F159" i="86"/>
  <c r="F157" i="86"/>
  <c r="F133" i="86"/>
  <c r="F134" i="86"/>
  <c r="F158" i="86"/>
  <c r="F127" i="86"/>
  <c r="L5" i="86"/>
  <c r="Q5" i="86"/>
  <c r="O5" i="86"/>
  <c r="J9" i="86" l="1"/>
  <c r="N9" i="86"/>
  <c r="K5" i="86"/>
  <c r="M5" i="86"/>
  <c r="F151" i="86" s="1"/>
  <c r="R5" i="86"/>
  <c r="J5" i="86"/>
  <c r="N5" i="86"/>
  <c r="T5" i="86"/>
  <c r="U5" i="86" s="1"/>
  <c r="V5" i="86" s="1"/>
  <c r="T4" i="86"/>
  <c r="Q4" i="86"/>
  <c r="R4" i="86" s="1"/>
  <c r="O4" i="86"/>
  <c r="N4" i="86"/>
  <c r="L4" i="86"/>
  <c r="K4" i="86"/>
  <c r="J4" i="86"/>
  <c r="F153" i="86" l="1"/>
  <c r="F115" i="86"/>
  <c r="F113" i="86"/>
  <c r="F190" i="86"/>
  <c r="F150" i="86"/>
  <c r="U4" i="86"/>
  <c r="V4" i="86" s="1"/>
  <c r="F152" i="86" l="1"/>
  <c r="C7" i="85" l="1"/>
  <c r="E12" i="85"/>
  <c r="M7" i="85" l="1"/>
  <c r="J7" i="85"/>
  <c r="J39" i="85" s="1"/>
  <c r="L7" i="85"/>
  <c r="K7" i="85"/>
  <c r="N7" i="85"/>
  <c r="O7" i="85"/>
  <c r="T7" i="85"/>
  <c r="Q7" i="85"/>
  <c r="R7" i="85" l="1"/>
  <c r="U7" i="85"/>
  <c r="V7" i="85" l="1"/>
  <c r="I297" i="80"/>
  <c r="D241" i="80"/>
  <c r="D240" i="80"/>
  <c r="A239" i="80"/>
  <c r="A221" i="80"/>
  <c r="A247" i="80" s="1"/>
  <c r="A215" i="80"/>
  <c r="A245" i="80" s="1"/>
  <c r="A210" i="80"/>
  <c r="A206" i="80"/>
  <c r="C148" i="80"/>
  <c r="C128" i="80"/>
  <c r="A163" i="80"/>
  <c r="A200" i="80" s="1"/>
  <c r="A128" i="80"/>
  <c r="A146" i="80" s="1"/>
  <c r="A183" i="80" s="1"/>
  <c r="A127" i="80"/>
  <c r="A141" i="80" s="1"/>
  <c r="A179" i="80" s="1"/>
  <c r="A52" i="80"/>
  <c r="A49" i="80"/>
  <c r="A44" i="80"/>
  <c r="A126" i="80" s="1"/>
  <c r="A136" i="80" s="1"/>
  <c r="A174" i="80" s="1"/>
  <c r="A43" i="80"/>
  <c r="A125" i="80" s="1"/>
  <c r="A170" i="80" s="1"/>
  <c r="J297" i="80" l="1"/>
  <c r="E284" i="80"/>
  <c r="E283" i="80"/>
  <c r="E185" i="80"/>
  <c r="E184" i="80"/>
  <c r="A130" i="80"/>
  <c r="A158" i="80" s="1"/>
  <c r="A196" i="80" s="1"/>
  <c r="A234" i="80" s="1"/>
  <c r="C127" i="80"/>
  <c r="F100" i="80"/>
  <c r="D98" i="80"/>
  <c r="D99" i="80"/>
  <c r="B84" i="80"/>
  <c r="D45" i="80"/>
  <c r="A45" i="80"/>
  <c r="B50" i="80"/>
  <c r="B51" i="80" s="1"/>
  <c r="B12" i="80"/>
  <c r="E245" i="80"/>
  <c r="B8" i="80"/>
  <c r="F8" i="80" s="1"/>
  <c r="B53" i="80" l="1"/>
  <c r="F53" i="80" s="1"/>
  <c r="B39" i="80"/>
  <c r="B87" i="80"/>
  <c r="I282" i="80"/>
  <c r="J282" i="80" s="1"/>
  <c r="E247" i="80"/>
  <c r="F247" i="80" s="1"/>
  <c r="B222" i="80"/>
  <c r="D185" i="80"/>
  <c r="B147" i="80"/>
  <c r="B128" i="80"/>
  <c r="F128" i="80" s="1"/>
  <c r="F291" i="80"/>
  <c r="B59" i="80" l="1"/>
  <c r="F59" i="80" s="1"/>
  <c r="F39" i="80"/>
  <c r="F185" i="80"/>
  <c r="C184" i="80"/>
  <c r="F184" i="80" s="1"/>
  <c r="F222" i="80"/>
  <c r="B223" i="80"/>
  <c r="E224" i="80" s="1"/>
  <c r="F147" i="80"/>
  <c r="B148" i="80"/>
  <c r="E149" i="80" s="1"/>
  <c r="F149" i="80" s="1"/>
  <c r="G184" i="80" l="1"/>
  <c r="F223" i="80"/>
  <c r="F224" i="80"/>
  <c r="E225" i="80"/>
  <c r="F225" i="80" s="1"/>
  <c r="F148" i="80"/>
  <c r="G222" i="80" l="1"/>
  <c r="G147" i="80"/>
  <c r="F46" i="83" l="1"/>
  <c r="G46" i="83"/>
  <c r="F40" i="83"/>
  <c r="G40" i="83" s="1"/>
  <c r="F39" i="83"/>
  <c r="D39" i="83"/>
  <c r="G23" i="83"/>
  <c r="G24" i="83" s="1"/>
  <c r="B31" i="83"/>
  <c r="G28" i="83"/>
  <c r="I26" i="83"/>
  <c r="I24" i="83"/>
  <c r="I23" i="83"/>
  <c r="I18" i="83"/>
  <c r="G18" i="83"/>
  <c r="G20" i="83" s="1"/>
  <c r="I16" i="83"/>
  <c r="I15" i="83"/>
  <c r="I14" i="83"/>
  <c r="I13" i="83"/>
  <c r="E13" i="83"/>
  <c r="G13" i="83" s="1"/>
  <c r="I12" i="83"/>
  <c r="G12" i="83"/>
  <c r="I10" i="83"/>
  <c r="I8" i="83"/>
  <c r="I5" i="83"/>
  <c r="G47" i="83" l="1"/>
  <c r="G48" i="83" s="1"/>
  <c r="G39" i="83"/>
  <c r="G41" i="83" s="1"/>
  <c r="G15" i="83"/>
  <c r="G29" i="83" s="1"/>
  <c r="G42" i="83" l="1"/>
  <c r="G30" i="83"/>
  <c r="G31" i="83" s="1"/>
  <c r="G32" i="83" s="1"/>
  <c r="I29" i="83"/>
  <c r="F208" i="59" l="1"/>
  <c r="F209" i="59"/>
  <c r="F210" i="59"/>
  <c r="F207" i="59"/>
  <c r="F213" i="59" l="1"/>
  <c r="F215" i="59" s="1"/>
  <c r="F216" i="59" s="1"/>
  <c r="F217" i="59" s="1"/>
  <c r="F218" i="59" s="1"/>
  <c r="F137" i="59" l="1"/>
  <c r="F138" i="59"/>
  <c r="F139" i="59"/>
  <c r="F141" i="59"/>
  <c r="F142" i="59"/>
  <c r="F143" i="59"/>
  <c r="F144" i="59"/>
  <c r="F145" i="59"/>
  <c r="F146" i="59"/>
  <c r="F147" i="59"/>
  <c r="E153" i="59"/>
  <c r="F151" i="59"/>
  <c r="F150" i="59"/>
  <c r="F135" i="59"/>
  <c r="E136" i="59" s="1"/>
  <c r="F136" i="59" s="1"/>
  <c r="E173" i="59"/>
  <c r="E170" i="59"/>
  <c r="D170" i="59"/>
  <c r="F168" i="59"/>
  <c r="F167" i="59"/>
  <c r="F170" i="59" l="1"/>
  <c r="E140" i="59"/>
  <c r="F140" i="59" s="1"/>
  <c r="F153" i="59" s="1"/>
  <c r="F154" i="59" s="1"/>
  <c r="F155" i="59" s="1"/>
  <c r="F156" i="59" s="1"/>
  <c r="E172" i="59"/>
  <c r="F172" i="59" s="1"/>
  <c r="F173" i="59" l="1"/>
  <c r="F174" i="59" s="1"/>
  <c r="F175" i="59" s="1"/>
  <c r="F176" i="59" s="1"/>
  <c r="B45" i="82"/>
  <c r="C45" i="82" s="1"/>
  <c r="G45" i="82" s="1"/>
  <c r="B43" i="82"/>
  <c r="C43" i="82" s="1"/>
  <c r="G43" i="82" s="1"/>
  <c r="C41" i="82"/>
  <c r="G41" i="82" s="1"/>
  <c r="B39" i="82"/>
  <c r="C39" i="82" s="1"/>
  <c r="G39" i="82" s="1"/>
  <c r="C29" i="82"/>
  <c r="G29" i="82" s="1"/>
  <c r="C27" i="82"/>
  <c r="G27" i="82" s="1"/>
  <c r="C25" i="82"/>
  <c r="G25" i="82" s="1"/>
  <c r="C23" i="82"/>
  <c r="G23" i="82" s="1"/>
  <c r="C21" i="82"/>
  <c r="G21" i="82" s="1"/>
  <c r="D11" i="82"/>
  <c r="G11" i="82" s="1"/>
  <c r="D9" i="82"/>
  <c r="G9" i="82" s="1"/>
  <c r="D7" i="82"/>
  <c r="G7" i="82" s="1"/>
  <c r="D5" i="82"/>
  <c r="G5" i="82" s="1"/>
  <c r="F531" i="81"/>
  <c r="H528" i="81"/>
  <c r="J528" i="81" s="1"/>
  <c r="D521" i="81"/>
  <c r="F521" i="81" s="1"/>
  <c r="E511" i="81"/>
  <c r="E515" i="81" s="1"/>
  <c r="D498" i="81"/>
  <c r="C498" i="81"/>
  <c r="F489" i="81"/>
  <c r="F487" i="81"/>
  <c r="B486" i="81"/>
  <c r="F486" i="81" s="1"/>
  <c r="F481" i="81"/>
  <c r="F480" i="81"/>
  <c r="F479" i="81"/>
  <c r="F478" i="81"/>
  <c r="F477" i="81"/>
  <c r="F476" i="81"/>
  <c r="C475" i="81"/>
  <c r="F475" i="81" s="1"/>
  <c r="F469" i="81"/>
  <c r="F468" i="81"/>
  <c r="C467" i="81"/>
  <c r="F467" i="81" s="1"/>
  <c r="F457" i="81"/>
  <c r="F451" i="81"/>
  <c r="F450" i="81"/>
  <c r="D428" i="81"/>
  <c r="F428" i="81" s="1"/>
  <c r="B427" i="81"/>
  <c r="F427" i="81" s="1"/>
  <c r="F422" i="81"/>
  <c r="H421" i="81"/>
  <c r="H420" i="81"/>
  <c r="H419" i="81"/>
  <c r="H418" i="81"/>
  <c r="H417" i="81"/>
  <c r="H416" i="81"/>
  <c r="H415" i="81"/>
  <c r="H414" i="81"/>
  <c r="H413" i="81"/>
  <c r="H412" i="81"/>
  <c r="H411" i="81"/>
  <c r="D411" i="81"/>
  <c r="F411" i="81" s="1"/>
  <c r="H410" i="81"/>
  <c r="F410" i="81"/>
  <c r="D406" i="81"/>
  <c r="F406" i="81" s="1"/>
  <c r="F405" i="81"/>
  <c r="F399" i="81"/>
  <c r="F398" i="81"/>
  <c r="H398" i="81" s="1"/>
  <c r="F397" i="81"/>
  <c r="H397" i="81" s="1"/>
  <c r="F396" i="81"/>
  <c r="H396" i="81" s="1"/>
  <c r="F395" i="81"/>
  <c r="H395" i="81" s="1"/>
  <c r="F394" i="81"/>
  <c r="H394" i="81" s="1"/>
  <c r="F393" i="81"/>
  <c r="H393" i="81" s="1"/>
  <c r="D379" i="81"/>
  <c r="F379" i="81" s="1"/>
  <c r="F378" i="81"/>
  <c r="F377" i="81"/>
  <c r="F372" i="81"/>
  <c r="F371" i="81"/>
  <c r="F370" i="81"/>
  <c r="F369" i="81"/>
  <c r="C365" i="81"/>
  <c r="F365" i="81" s="1"/>
  <c r="D364" i="81"/>
  <c r="F364" i="81" s="1"/>
  <c r="F363" i="81"/>
  <c r="D362" i="81"/>
  <c r="F362" i="81" s="1"/>
  <c r="F361" i="81"/>
  <c r="F360" i="81"/>
  <c r="D355" i="81"/>
  <c r="F355" i="81" s="1"/>
  <c r="F354" i="81"/>
  <c r="F344" i="81"/>
  <c r="F335" i="81"/>
  <c r="F334" i="81"/>
  <c r="F333" i="81"/>
  <c r="F328" i="81"/>
  <c r="F327" i="81"/>
  <c r="E325" i="81"/>
  <c r="F325" i="81" s="1"/>
  <c r="F324" i="81"/>
  <c r="E312" i="81"/>
  <c r="D312" i="81"/>
  <c r="D311" i="81"/>
  <c r="B311" i="81"/>
  <c r="B312" i="81" s="1"/>
  <c r="B304" i="81"/>
  <c r="D304" i="81" s="1"/>
  <c r="F304" i="81" s="1"/>
  <c r="B303" i="81"/>
  <c r="D303" i="81" s="1"/>
  <c r="F303" i="81" s="1"/>
  <c r="K294" i="81"/>
  <c r="I294" i="81"/>
  <c r="J294" i="81" s="1"/>
  <c r="B294" i="81"/>
  <c r="F294" i="81" s="1"/>
  <c r="B292" i="81"/>
  <c r="F292" i="81" s="1"/>
  <c r="K291" i="81"/>
  <c r="I291" i="81"/>
  <c r="J291" i="81" s="1"/>
  <c r="B291" i="81"/>
  <c r="F291" i="81" s="1"/>
  <c r="C288" i="81"/>
  <c r="B288" i="81"/>
  <c r="C287" i="81"/>
  <c r="B287" i="81"/>
  <c r="C286" i="81"/>
  <c r="B286" i="81"/>
  <c r="C285" i="81"/>
  <c r="B285" i="81"/>
  <c r="K284" i="81"/>
  <c r="I284" i="81"/>
  <c r="J284" i="81" s="1"/>
  <c r="C284" i="81"/>
  <c r="F284" i="81" s="1"/>
  <c r="I278" i="81"/>
  <c r="J278" i="81" s="1"/>
  <c r="D278" i="81"/>
  <c r="F271" i="81"/>
  <c r="P267" i="81"/>
  <c r="N266" i="81"/>
  <c r="P266" i="81" s="1"/>
  <c r="M263" i="81"/>
  <c r="N263" i="81" s="1"/>
  <c r="I263" i="81"/>
  <c r="K263" i="81" s="1"/>
  <c r="K264" i="81" s="1"/>
  <c r="D257" i="81"/>
  <c r="C257" i="81"/>
  <c r="C278" i="81" s="1"/>
  <c r="E252" i="81"/>
  <c r="D251" i="81"/>
  <c r="C251" i="81"/>
  <c r="B251" i="81"/>
  <c r="B252" i="81" s="1"/>
  <c r="A251" i="81"/>
  <c r="E250" i="81"/>
  <c r="D249" i="81"/>
  <c r="C249" i="81"/>
  <c r="B249" i="81"/>
  <c r="B250" i="81" s="1"/>
  <c r="A249" i="81"/>
  <c r="K247" i="81"/>
  <c r="B247" i="81"/>
  <c r="B242" i="81"/>
  <c r="F242" i="81" s="1"/>
  <c r="F241" i="81"/>
  <c r="F240" i="81"/>
  <c r="C235" i="81"/>
  <c r="C247" i="81" s="1"/>
  <c r="F247" i="81" s="1"/>
  <c r="G248" i="81" s="1"/>
  <c r="B235" i="81"/>
  <c r="E220" i="81"/>
  <c r="F220" i="81" s="1"/>
  <c r="H219" i="81"/>
  <c r="F219" i="81"/>
  <c r="E212" i="81"/>
  <c r="D206" i="81"/>
  <c r="D207" i="81" s="1"/>
  <c r="C206" i="81"/>
  <c r="C207" i="81" s="1"/>
  <c r="B206" i="81"/>
  <c r="B207" i="81" s="1"/>
  <c r="C198" i="81"/>
  <c r="F198" i="81" s="1"/>
  <c r="H198" i="81" s="1"/>
  <c r="C197" i="81"/>
  <c r="F197" i="81" s="1"/>
  <c r="H197" i="81" s="1"/>
  <c r="C196" i="81"/>
  <c r="C199" i="81" s="1"/>
  <c r="F199" i="81" s="1"/>
  <c r="H199" i="81" s="1"/>
  <c r="C195" i="81"/>
  <c r="F195" i="81" s="1"/>
  <c r="H195" i="81" s="1"/>
  <c r="H190" i="81"/>
  <c r="H189" i="81"/>
  <c r="H188" i="81"/>
  <c r="H187" i="81"/>
  <c r="H186" i="81"/>
  <c r="H185" i="81"/>
  <c r="H184" i="81"/>
  <c r="H183" i="81"/>
  <c r="H182" i="81"/>
  <c r="H181" i="81"/>
  <c r="H180" i="81"/>
  <c r="H179" i="81"/>
  <c r="H178" i="81"/>
  <c r="H177" i="81"/>
  <c r="H176" i="81"/>
  <c r="H175" i="81"/>
  <c r="H174" i="81"/>
  <c r="H173" i="81"/>
  <c r="E173" i="81"/>
  <c r="D173" i="81"/>
  <c r="D174" i="81" s="1"/>
  <c r="D175" i="81" s="1"/>
  <c r="D176" i="81" s="1"/>
  <c r="D177" i="81" s="1"/>
  <c r="D178" i="81" s="1"/>
  <c r="G172" i="81"/>
  <c r="A172" i="81"/>
  <c r="J171" i="81"/>
  <c r="G171" i="81"/>
  <c r="G169" i="81"/>
  <c r="A169" i="81"/>
  <c r="J168" i="81"/>
  <c r="G168" i="81"/>
  <c r="G166" i="81"/>
  <c r="J165" i="81"/>
  <c r="G165" i="81"/>
  <c r="A165" i="81"/>
  <c r="A166" i="81" s="1"/>
  <c r="J163" i="81"/>
  <c r="D161" i="81"/>
  <c r="G161" i="81" s="1"/>
  <c r="H163" i="81" s="1"/>
  <c r="H191" i="81" s="1"/>
  <c r="A161" i="81"/>
  <c r="A163" i="81" s="1"/>
  <c r="G156" i="81"/>
  <c r="J155" i="81"/>
  <c r="G155" i="81"/>
  <c r="G154" i="81"/>
  <c r="J153" i="81"/>
  <c r="G153" i="81"/>
  <c r="G151" i="81"/>
  <c r="G150" i="81"/>
  <c r="D123" i="81"/>
  <c r="D124" i="81" s="1"/>
  <c r="G124" i="81" s="1"/>
  <c r="F85" i="81"/>
  <c r="C85" i="81"/>
  <c r="E84" i="81"/>
  <c r="D85" i="81" s="1"/>
  <c r="F82" i="81"/>
  <c r="C82" i="81"/>
  <c r="B82" i="81"/>
  <c r="B84" i="81" s="1"/>
  <c r="B85" i="81" s="1"/>
  <c r="E81" i="81"/>
  <c r="D82" i="81" s="1"/>
  <c r="J78" i="81"/>
  <c r="J75" i="81"/>
  <c r="N74" i="81"/>
  <c r="O74" i="81" s="1"/>
  <c r="G70" i="81"/>
  <c r="J69" i="81"/>
  <c r="G69" i="81"/>
  <c r="L51" i="81"/>
  <c r="L48" i="81"/>
  <c r="I44" i="81"/>
  <c r="I43" i="81"/>
  <c r="D43" i="81"/>
  <c r="I41" i="81"/>
  <c r="I40" i="81"/>
  <c r="D40" i="81"/>
  <c r="G40" i="81" s="1"/>
  <c r="F36" i="81"/>
  <c r="G36" i="81" s="1"/>
  <c r="H36" i="81" s="1"/>
  <c r="C35" i="81"/>
  <c r="G35" i="81" s="1"/>
  <c r="H35" i="81" s="1"/>
  <c r="F34" i="81"/>
  <c r="F32" i="81"/>
  <c r="L28" i="81"/>
  <c r="C25" i="81"/>
  <c r="G25" i="81" s="1"/>
  <c r="H25" i="81" s="1"/>
  <c r="A25" i="81"/>
  <c r="A43" i="81" s="1"/>
  <c r="A84" i="81" s="1"/>
  <c r="C24" i="81"/>
  <c r="G24" i="81" s="1"/>
  <c r="H24" i="81" s="1"/>
  <c r="A24" i="81"/>
  <c r="A40" i="81" s="1"/>
  <c r="A81" i="81" s="1"/>
  <c r="M23" i="81"/>
  <c r="I23" i="81"/>
  <c r="G18" i="81"/>
  <c r="G16" i="81"/>
  <c r="G15" i="81"/>
  <c r="M14" i="81"/>
  <c r="N14" i="81" s="1"/>
  <c r="F8" i="81"/>
  <c r="F7" i="81"/>
  <c r="F6" i="81"/>
  <c r="E5" i="81"/>
  <c r="F5" i="81" s="1"/>
  <c r="F307" i="80"/>
  <c r="F306" i="80"/>
  <c r="F276" i="80"/>
  <c r="F273" i="80"/>
  <c r="B242" i="80"/>
  <c r="F242" i="80" s="1"/>
  <c r="B241" i="80"/>
  <c r="F241" i="80" s="1"/>
  <c r="B240" i="80"/>
  <c r="F240" i="80" s="1"/>
  <c r="E202" i="80"/>
  <c r="D202" i="80"/>
  <c r="C201" i="80" s="1"/>
  <c r="E201" i="80"/>
  <c r="D201" i="80"/>
  <c r="E198" i="80"/>
  <c r="E197" i="80"/>
  <c r="D197" i="80"/>
  <c r="E194" i="80"/>
  <c r="E193" i="80"/>
  <c r="E192" i="80"/>
  <c r="E189" i="80"/>
  <c r="E188" i="80"/>
  <c r="E181" i="80"/>
  <c r="E180" i="80"/>
  <c r="E177" i="80"/>
  <c r="E176" i="80"/>
  <c r="E175" i="80"/>
  <c r="E172" i="80"/>
  <c r="E171" i="80"/>
  <c r="B166" i="80"/>
  <c r="F166" i="80" s="1"/>
  <c r="B165" i="80"/>
  <c r="F165" i="80" s="1"/>
  <c r="B164" i="80"/>
  <c r="F164" i="80" s="1"/>
  <c r="C156" i="80"/>
  <c r="B142" i="80"/>
  <c r="F142" i="80" s="1"/>
  <c r="C139" i="80"/>
  <c r="B130" i="80"/>
  <c r="F130" i="80" s="1"/>
  <c r="E116" i="80"/>
  <c r="D116" i="80"/>
  <c r="E115" i="80"/>
  <c r="D115" i="80"/>
  <c r="E114" i="80"/>
  <c r="D114" i="80"/>
  <c r="E113" i="80"/>
  <c r="D113" i="80"/>
  <c r="E111" i="80"/>
  <c r="D111" i="80"/>
  <c r="C110" i="80" s="1"/>
  <c r="E110" i="80"/>
  <c r="D110" i="80"/>
  <c r="E108" i="80"/>
  <c r="D108" i="80"/>
  <c r="C106" i="80" s="1"/>
  <c r="E107" i="80"/>
  <c r="D107" i="80"/>
  <c r="E106" i="80"/>
  <c r="D106" i="80"/>
  <c r="B99" i="80"/>
  <c r="F99" i="80" s="1"/>
  <c r="B98" i="80"/>
  <c r="U94" i="80"/>
  <c r="B94" i="80"/>
  <c r="F94" i="80" s="1"/>
  <c r="C93" i="80"/>
  <c r="U93" i="80" s="1"/>
  <c r="B93" i="80"/>
  <c r="U92" i="80"/>
  <c r="B92" i="80"/>
  <c r="F92" i="80" s="1"/>
  <c r="C91" i="80"/>
  <c r="U91" i="80" s="1"/>
  <c r="B91" i="80"/>
  <c r="F87" i="80"/>
  <c r="G86" i="80" s="1"/>
  <c r="J86" i="80" s="1"/>
  <c r="V86" i="80"/>
  <c r="B81" i="80"/>
  <c r="F80" i="80"/>
  <c r="C78" i="80"/>
  <c r="B78" i="80"/>
  <c r="F51" i="80"/>
  <c r="F50" i="80"/>
  <c r="V17" i="80"/>
  <c r="F16" i="80"/>
  <c r="F15" i="80"/>
  <c r="B155" i="80"/>
  <c r="E156" i="80" s="1"/>
  <c r="F245" i="80"/>
  <c r="B138" i="80"/>
  <c r="E139" i="80" s="1"/>
  <c r="Y8" i="80"/>
  <c r="V8" i="80"/>
  <c r="V10" i="80" s="1"/>
  <c r="B208" i="80"/>
  <c r="F208" i="80" s="1"/>
  <c r="F7" i="80"/>
  <c r="F252" i="81" l="1"/>
  <c r="F312" i="81"/>
  <c r="H156" i="81"/>
  <c r="H166" i="81"/>
  <c r="H172" i="81"/>
  <c r="F356" i="81"/>
  <c r="D162" i="81"/>
  <c r="G162" i="81" s="1"/>
  <c r="F235" i="81"/>
  <c r="F250" i="81"/>
  <c r="F286" i="81"/>
  <c r="F470" i="81"/>
  <c r="F407" i="81"/>
  <c r="F444" i="81" s="1"/>
  <c r="F482" i="81"/>
  <c r="P268" i="81"/>
  <c r="F251" i="81"/>
  <c r="F287" i="81"/>
  <c r="C47" i="82"/>
  <c r="G47" i="82" s="1"/>
  <c r="G49" i="82" s="1"/>
  <c r="H70" i="81"/>
  <c r="G242" i="81"/>
  <c r="D380" i="81"/>
  <c r="D381" i="81" s="1"/>
  <c r="H425" i="81"/>
  <c r="C496" i="81" s="1"/>
  <c r="F496" i="81" s="1"/>
  <c r="F454" i="81"/>
  <c r="D163" i="81"/>
  <c r="G163" i="81" s="1"/>
  <c r="F285" i="81"/>
  <c r="I42" i="81"/>
  <c r="A162" i="81"/>
  <c r="F278" i="81"/>
  <c r="G292" i="81"/>
  <c r="G244" i="80"/>
  <c r="I244" i="80" s="1"/>
  <c r="J244" i="80" s="1"/>
  <c r="E84" i="80"/>
  <c r="F84" i="80" s="1"/>
  <c r="I271" i="80"/>
  <c r="G240" i="80"/>
  <c r="G164" i="80"/>
  <c r="F78" i="80"/>
  <c r="G77" i="80" s="1"/>
  <c r="F202" i="80"/>
  <c r="C107" i="80"/>
  <c r="F107" i="80" s="1"/>
  <c r="F108" i="80"/>
  <c r="F139" i="80"/>
  <c r="F93" i="80"/>
  <c r="F110" i="80"/>
  <c r="I305" i="80"/>
  <c r="J305" i="80" s="1"/>
  <c r="F111" i="80"/>
  <c r="F116" i="80"/>
  <c r="F201" i="80"/>
  <c r="C350" i="81"/>
  <c r="F350" i="81" s="1"/>
  <c r="F351" i="81" s="1"/>
  <c r="F318" i="81"/>
  <c r="F321" i="81" s="1"/>
  <c r="G31" i="82"/>
  <c r="G123" i="81"/>
  <c r="H124" i="81" s="1"/>
  <c r="F173" i="81"/>
  <c r="E221" i="81"/>
  <c r="F221" i="81" s="1"/>
  <c r="F224" i="81" s="1"/>
  <c r="F229" i="81" s="1"/>
  <c r="F231" i="81" s="1"/>
  <c r="C263" i="81"/>
  <c r="C269" i="81" s="1"/>
  <c r="F269" i="81" s="1"/>
  <c r="D366" i="81"/>
  <c r="D412" i="81"/>
  <c r="F490" i="81"/>
  <c r="B43" i="80"/>
  <c r="F43" i="80" s="1"/>
  <c r="G58" i="80"/>
  <c r="J58" i="80" s="1"/>
  <c r="F81" i="80"/>
  <c r="F106" i="80"/>
  <c r="H16" i="81"/>
  <c r="J41" i="81"/>
  <c r="H169" i="81"/>
  <c r="F249" i="81"/>
  <c r="F288" i="81"/>
  <c r="G305" i="81"/>
  <c r="F311" i="81"/>
  <c r="F314" i="81" s="1"/>
  <c r="F336" i="81"/>
  <c r="F340" i="81" s="1"/>
  <c r="F346" i="81" s="1"/>
  <c r="F498" i="81"/>
  <c r="D172" i="80"/>
  <c r="C171" i="80" s="1"/>
  <c r="F171" i="80" s="1"/>
  <c r="J81" i="81"/>
  <c r="E82" i="81"/>
  <c r="G82" i="81" s="1"/>
  <c r="B133" i="80"/>
  <c r="F133" i="80" s="1"/>
  <c r="B211" i="80"/>
  <c r="F211" i="80" s="1"/>
  <c r="E206" i="81"/>
  <c r="F257" i="81"/>
  <c r="G15" i="82"/>
  <c r="F98" i="80"/>
  <c r="A85" i="81"/>
  <c r="A126" i="81"/>
  <c r="A127" i="81" s="1"/>
  <c r="D183" i="81"/>
  <c r="D184" i="81" s="1"/>
  <c r="D185" i="81" s="1"/>
  <c r="D186" i="81" s="1"/>
  <c r="D179" i="81"/>
  <c r="A123" i="81"/>
  <c r="A82" i="81"/>
  <c r="A44" i="81"/>
  <c r="G11" i="81"/>
  <c r="A41" i="81"/>
  <c r="D126" i="81"/>
  <c r="E85" i="81"/>
  <c r="G85" i="81" s="1"/>
  <c r="D84" i="81"/>
  <c r="G84" i="81" s="1"/>
  <c r="J84" i="81"/>
  <c r="D44" i="81"/>
  <c r="G44" i="81" s="1"/>
  <c r="B208" i="81"/>
  <c r="F207" i="81"/>
  <c r="H6" i="81"/>
  <c r="D41" i="81"/>
  <c r="G41" i="81" s="1"/>
  <c r="H41" i="81" s="1"/>
  <c r="L40" i="81" s="1"/>
  <c r="G43" i="81"/>
  <c r="D81" i="81"/>
  <c r="G81" i="81" s="1"/>
  <c r="F35" i="81"/>
  <c r="F191" i="81" s="1"/>
  <c r="J44" i="81"/>
  <c r="H401" i="81"/>
  <c r="E174" i="81"/>
  <c r="F196" i="81"/>
  <c r="H196" i="81" s="1"/>
  <c r="C212" i="81"/>
  <c r="F212" i="81" s="1"/>
  <c r="F214" i="81" s="1"/>
  <c r="F155" i="80"/>
  <c r="F156" i="80"/>
  <c r="B228" i="80"/>
  <c r="F228" i="80" s="1"/>
  <c r="V4" i="80"/>
  <c r="W4" i="80" s="1"/>
  <c r="B212" i="80"/>
  <c r="B126" i="80"/>
  <c r="F126" i="80" s="1"/>
  <c r="B236" i="80"/>
  <c r="F236" i="80" s="1"/>
  <c r="F14" i="80"/>
  <c r="B45" i="80"/>
  <c r="F45" i="80" s="1"/>
  <c r="F91" i="80"/>
  <c r="C113" i="80"/>
  <c r="F113" i="80" s="1"/>
  <c r="B137" i="80"/>
  <c r="F137" i="80" s="1"/>
  <c r="B160" i="80"/>
  <c r="F160" i="80" s="1"/>
  <c r="B231" i="80"/>
  <c r="D189" i="80"/>
  <c r="C115" i="80"/>
  <c r="F115" i="80" s="1"/>
  <c r="B127" i="80"/>
  <c r="F127" i="80" s="1"/>
  <c r="B134" i="80"/>
  <c r="F134" i="80" s="1"/>
  <c r="F138" i="80"/>
  <c r="B161" i="80"/>
  <c r="F161" i="80" s="1"/>
  <c r="D176" i="80"/>
  <c r="D181" i="80"/>
  <c r="B207" i="80"/>
  <c r="F207" i="80" s="1"/>
  <c r="G207" i="80" s="1"/>
  <c r="B237" i="80"/>
  <c r="F237" i="80" s="1"/>
  <c r="B227" i="80"/>
  <c r="F227" i="80" s="1"/>
  <c r="B151" i="80"/>
  <c r="F151" i="80" s="1"/>
  <c r="B47" i="80"/>
  <c r="F47" i="80" s="1"/>
  <c r="F12" i="80"/>
  <c r="B216" i="80"/>
  <c r="F216" i="80" s="1"/>
  <c r="B143" i="80"/>
  <c r="F10" i="80"/>
  <c r="B230" i="80"/>
  <c r="F230" i="80" s="1"/>
  <c r="D193" i="80"/>
  <c r="B154" i="80"/>
  <c r="F154" i="80" s="1"/>
  <c r="B129" i="80"/>
  <c r="F129" i="80" s="1"/>
  <c r="B48" i="80"/>
  <c r="F48" i="80" s="1"/>
  <c r="F13" i="80"/>
  <c r="B44" i="80"/>
  <c r="F44" i="80" s="1"/>
  <c r="C114" i="80"/>
  <c r="F114" i="80" s="1"/>
  <c r="B125" i="80"/>
  <c r="F125" i="80" s="1"/>
  <c r="B152" i="80"/>
  <c r="F152" i="80" s="1"/>
  <c r="B159" i="80"/>
  <c r="F159" i="80" s="1"/>
  <c r="D198" i="80"/>
  <c r="B217" i="80"/>
  <c r="B235" i="80"/>
  <c r="F235" i="80" s="1"/>
  <c r="H44" i="81" l="1"/>
  <c r="L43" i="81" s="1"/>
  <c r="F499" i="81"/>
  <c r="F263" i="81"/>
  <c r="F380" i="81"/>
  <c r="G43" i="80"/>
  <c r="G103" i="80"/>
  <c r="J103" i="80" s="1"/>
  <c r="G4" i="80"/>
  <c r="J4" i="80" s="1"/>
  <c r="J66" i="80"/>
  <c r="G37" i="80"/>
  <c r="J37" i="80" s="1"/>
  <c r="J271" i="80"/>
  <c r="J77" i="80"/>
  <c r="G235" i="80"/>
  <c r="G227" i="80"/>
  <c r="G201" i="80"/>
  <c r="G133" i="80"/>
  <c r="G154" i="80"/>
  <c r="G151" i="80"/>
  <c r="G137" i="80"/>
  <c r="G159" i="80"/>
  <c r="F172" i="80"/>
  <c r="G171" i="80" s="1"/>
  <c r="G83" i="80"/>
  <c r="J83" i="80" s="1"/>
  <c r="G96" i="80"/>
  <c r="J96" i="80" s="1"/>
  <c r="G89" i="80"/>
  <c r="J89" i="80" s="1"/>
  <c r="G80" i="80"/>
  <c r="H82" i="81"/>
  <c r="F412" i="81"/>
  <c r="D413" i="81"/>
  <c r="F206" i="81"/>
  <c r="E208" i="81"/>
  <c r="F208" i="81" s="1"/>
  <c r="D367" i="81"/>
  <c r="F367" i="81" s="1"/>
  <c r="F366" i="81"/>
  <c r="A124" i="81"/>
  <c r="A294" i="81"/>
  <c r="F381" i="81"/>
  <c r="D382" i="81"/>
  <c r="H85" i="81"/>
  <c r="D180" i="81"/>
  <c r="D181" i="81"/>
  <c r="D182" i="81" s="1"/>
  <c r="F174" i="81"/>
  <c r="E175" i="81"/>
  <c r="D188" i="81"/>
  <c r="D187" i="81"/>
  <c r="D189" i="81" s="1"/>
  <c r="D190" i="81" s="1"/>
  <c r="D127" i="81"/>
  <c r="G127" i="81" s="1"/>
  <c r="G126" i="81"/>
  <c r="E232" i="80"/>
  <c r="F232" i="80" s="1"/>
  <c r="F231" i="80"/>
  <c r="G124" i="80"/>
  <c r="J124" i="80" s="1"/>
  <c r="F193" i="80"/>
  <c r="C192" i="80"/>
  <c r="F192" i="80" s="1"/>
  <c r="C194" i="80"/>
  <c r="F194" i="80" s="1"/>
  <c r="C177" i="80"/>
  <c r="F177" i="80" s="1"/>
  <c r="F176" i="80"/>
  <c r="C175" i="80"/>
  <c r="F175" i="80" s="1"/>
  <c r="F189" i="80"/>
  <c r="C188" i="80"/>
  <c r="F188" i="80" s="1"/>
  <c r="F198" i="80"/>
  <c r="C197" i="80"/>
  <c r="F197" i="80" s="1"/>
  <c r="F143" i="80"/>
  <c r="E144" i="80"/>
  <c r="F144" i="80" s="1"/>
  <c r="F181" i="80"/>
  <c r="C180" i="80"/>
  <c r="F180" i="80" s="1"/>
  <c r="F212" i="80"/>
  <c r="E213" i="80"/>
  <c r="F213" i="80" s="1"/>
  <c r="E218" i="80"/>
  <c r="F218" i="80" s="1"/>
  <c r="E219" i="80"/>
  <c r="F219" i="80" s="1"/>
  <c r="F217" i="80"/>
  <c r="G192" i="80" l="1"/>
  <c r="F209" i="81"/>
  <c r="F373" i="81"/>
  <c r="F435" i="81" s="1"/>
  <c r="J80" i="80"/>
  <c r="I301" i="80"/>
  <c r="J301" i="80" s="1"/>
  <c r="G230" i="80"/>
  <c r="G216" i="80"/>
  <c r="G211" i="80"/>
  <c r="G188" i="80"/>
  <c r="G180" i="80"/>
  <c r="G197" i="80"/>
  <c r="G175" i="80"/>
  <c r="G142" i="80"/>
  <c r="J36" i="80"/>
  <c r="J35" i="80" s="1"/>
  <c r="V5" i="80"/>
  <c r="V6" i="80" s="1"/>
  <c r="G169" i="80"/>
  <c r="I169" i="80" s="1"/>
  <c r="J169" i="80" s="1"/>
  <c r="G205" i="80"/>
  <c r="J205" i="80" s="1"/>
  <c r="G132" i="80"/>
  <c r="I132" i="80" s="1"/>
  <c r="J132" i="80" s="1"/>
  <c r="F413" i="81"/>
  <c r="D414" i="81"/>
  <c r="F175" i="81"/>
  <c r="E176" i="81"/>
  <c r="D383" i="81"/>
  <c r="F382" i="81"/>
  <c r="H127" i="81"/>
  <c r="F442" i="81" l="1"/>
  <c r="I286" i="80"/>
  <c r="J286" i="80" s="1"/>
  <c r="D415" i="81"/>
  <c r="F414" i="81"/>
  <c r="F176" i="81"/>
  <c r="E177" i="81"/>
  <c r="F383" i="81"/>
  <c r="D384" i="81"/>
  <c r="F415" i="81" l="1"/>
  <c r="D416" i="81"/>
  <c r="D385" i="81"/>
  <c r="F384" i="81"/>
  <c r="F177" i="81"/>
  <c r="E178" i="81"/>
  <c r="F416" i="81" l="1"/>
  <c r="D417" i="81"/>
  <c r="F178" i="81"/>
  <c r="E183" i="81"/>
  <c r="E179" i="81"/>
  <c r="F385" i="81"/>
  <c r="D386" i="81"/>
  <c r="D418" i="81" l="1"/>
  <c r="F417" i="81"/>
  <c r="F183" i="81"/>
  <c r="E188" i="81"/>
  <c r="F188" i="81" s="1"/>
  <c r="E187" i="81"/>
  <c r="F187" i="81" s="1"/>
  <c r="D387" i="81"/>
  <c r="F386" i="81"/>
  <c r="F179" i="81"/>
  <c r="E184" i="81"/>
  <c r="E181" i="81"/>
  <c r="E180" i="81"/>
  <c r="F180" i="81" s="1"/>
  <c r="F418" i="81" l="1"/>
  <c r="D419" i="81"/>
  <c r="F181" i="81"/>
  <c r="E185" i="81"/>
  <c r="F185" i="81" s="1"/>
  <c r="E182" i="81"/>
  <c r="F387" i="81"/>
  <c r="D388" i="81"/>
  <c r="F184" i="81"/>
  <c r="E189" i="81"/>
  <c r="F419" i="81" l="1"/>
  <c r="D420" i="81"/>
  <c r="F189" i="81"/>
  <c r="E190" i="81"/>
  <c r="F190" i="81" s="1"/>
  <c r="D389" i="81"/>
  <c r="F388" i="81"/>
  <c r="F182" i="81"/>
  <c r="E186" i="81"/>
  <c r="F186" i="81" s="1"/>
  <c r="D421" i="81" l="1"/>
  <c r="F421" i="81" s="1"/>
  <c r="F420" i="81"/>
  <c r="F389" i="81"/>
  <c r="D390" i="81"/>
  <c r="F429" i="81" l="1"/>
  <c r="F445" i="81" s="1"/>
  <c r="D391" i="81"/>
  <c r="F391" i="81" s="1"/>
  <c r="F390" i="81"/>
  <c r="F401" i="81" l="1"/>
  <c r="F403" i="81" l="1"/>
  <c r="F443" i="81"/>
  <c r="F446" i="81" s="1"/>
  <c r="G26" i="60" l="1"/>
  <c r="F20" i="60"/>
  <c r="G20" i="60" s="1"/>
  <c r="F19" i="60"/>
  <c r="G19" i="60" s="1"/>
  <c r="F15" i="60"/>
  <c r="G15" i="60" s="1"/>
  <c r="F13" i="60"/>
  <c r="E13" i="60"/>
  <c r="I181" i="59"/>
  <c r="I182" i="59" s="1"/>
  <c r="E187" i="59"/>
  <c r="F184" i="59"/>
  <c r="F182" i="59"/>
  <c r="J170" i="59"/>
  <c r="L152" i="59"/>
  <c r="I152" i="59"/>
  <c r="K152" i="59" s="1"/>
  <c r="L151" i="59"/>
  <c r="I151" i="59"/>
  <c r="K151" i="59" s="1"/>
  <c r="L150" i="59"/>
  <c r="K150" i="59"/>
  <c r="I147" i="59"/>
  <c r="E126" i="59"/>
  <c r="L123" i="59"/>
  <c r="J123" i="59"/>
  <c r="I123" i="59"/>
  <c r="F123" i="59"/>
  <c r="L122" i="59"/>
  <c r="K122" i="59"/>
  <c r="F122" i="59"/>
  <c r="F120" i="59"/>
  <c r="I119" i="59"/>
  <c r="F118" i="59"/>
  <c r="F117" i="59"/>
  <c r="F116" i="59"/>
  <c r="F115" i="59"/>
  <c r="F114" i="59"/>
  <c r="F113" i="59"/>
  <c r="F111" i="59"/>
  <c r="F110" i="59"/>
  <c r="D107" i="59"/>
  <c r="F107" i="59" s="1"/>
  <c r="E99" i="59"/>
  <c r="F98" i="59"/>
  <c r="E97" i="59"/>
  <c r="F97" i="59" s="1"/>
  <c r="E96" i="59"/>
  <c r="F96" i="59" s="1"/>
  <c r="D95" i="59"/>
  <c r="F95" i="59" s="1"/>
  <c r="D93" i="59"/>
  <c r="F93" i="59" s="1"/>
  <c r="F92" i="59"/>
  <c r="D91" i="59"/>
  <c r="F91" i="59" s="1"/>
  <c r="E83" i="59"/>
  <c r="E80" i="59"/>
  <c r="F80" i="59" s="1"/>
  <c r="F79" i="59"/>
  <c r="D77" i="59"/>
  <c r="F77" i="59" s="1"/>
  <c r="E69" i="59"/>
  <c r="F64" i="59"/>
  <c r="F63" i="59"/>
  <c r="D62" i="59"/>
  <c r="F62" i="59" s="1"/>
  <c r="D61" i="59"/>
  <c r="F61" i="59" s="1"/>
  <c r="F60" i="59"/>
  <c r="F59" i="59"/>
  <c r="F56" i="59"/>
  <c r="F55" i="59"/>
  <c r="F54" i="59"/>
  <c r="F53" i="59"/>
  <c r="F52" i="59"/>
  <c r="F51" i="59"/>
  <c r="E50" i="59"/>
  <c r="F50" i="59" s="1"/>
  <c r="F49" i="59"/>
  <c r="F48" i="59"/>
  <c r="F46" i="59"/>
  <c r="F45" i="59"/>
  <c r="F44" i="59"/>
  <c r="E35" i="59"/>
  <c r="F30" i="59"/>
  <c r="F29" i="59"/>
  <c r="F28" i="59"/>
  <c r="F27" i="59"/>
  <c r="F26" i="59"/>
  <c r="F25" i="59"/>
  <c r="F22" i="59"/>
  <c r="F21" i="59"/>
  <c r="F20" i="59"/>
  <c r="F19" i="59"/>
  <c r="F18" i="59"/>
  <c r="F17" i="59"/>
  <c r="F16" i="59"/>
  <c r="E15" i="59"/>
  <c r="F15" i="59" s="1"/>
  <c r="F14" i="59"/>
  <c r="F13" i="59"/>
  <c r="F11" i="59"/>
  <c r="F10" i="59"/>
  <c r="F9" i="59"/>
  <c r="M122" i="59" l="1"/>
  <c r="E112" i="59"/>
  <c r="F112" i="59" s="1"/>
  <c r="M151" i="59"/>
  <c r="M150" i="59"/>
  <c r="K123" i="59"/>
  <c r="M123" i="59" s="1"/>
  <c r="F35" i="59"/>
  <c r="M152" i="59"/>
  <c r="G13" i="60"/>
  <c r="G14" i="60" s="1"/>
  <c r="G16" i="60" s="1"/>
  <c r="G21" i="60"/>
  <c r="F83" i="59"/>
  <c r="F99" i="59"/>
  <c r="F100" i="59" s="1"/>
  <c r="E108" i="59"/>
  <c r="F108" i="59" s="1"/>
  <c r="E82" i="59"/>
  <c r="F82" i="59" s="1"/>
  <c r="E66" i="59"/>
  <c r="F66" i="59" s="1"/>
  <c r="F69" i="59" s="1"/>
  <c r="E32" i="59"/>
  <c r="F32" i="59" s="1"/>
  <c r="E186" i="59"/>
  <c r="F186" i="59" s="1"/>
  <c r="F187" i="59" s="1"/>
  <c r="M124" i="59" l="1"/>
  <c r="F36" i="59"/>
  <c r="F37" i="59" s="1"/>
  <c r="G28" i="60"/>
  <c r="M153" i="59"/>
  <c r="F84" i="59"/>
  <c r="F70" i="59"/>
  <c r="F71" i="59" s="1"/>
  <c r="G29" i="60"/>
  <c r="G30" i="60" s="1"/>
  <c r="G31" i="60" s="1"/>
  <c r="G33" i="60" s="1"/>
  <c r="F188" i="59"/>
  <c r="F189" i="59" s="1"/>
  <c r="F190" i="59" s="1"/>
  <c r="F126" i="59"/>
  <c r="F127" i="59" s="1"/>
  <c r="F128" i="59" s="1"/>
  <c r="K129" i="59"/>
  <c r="K130" i="59" s="1"/>
  <c r="L129" i="59" l="1"/>
  <c r="L130" i="59" s="1"/>
  <c r="N8" i="57" l="1"/>
  <c r="N6" i="57"/>
  <c r="P206" i="57"/>
  <c r="B166" i="57"/>
  <c r="F166" i="57" s="1"/>
  <c r="B165" i="57"/>
  <c r="F165" i="57" s="1"/>
  <c r="L46" i="57"/>
  <c r="L45" i="57"/>
  <c r="N11" i="57" l="1"/>
  <c r="B230" i="57" l="1"/>
  <c r="B240" i="57" s="1"/>
  <c r="B229" i="57"/>
  <c r="B239" i="57" s="1"/>
  <c r="B228" i="57"/>
  <c r="B238" i="57" s="1"/>
  <c r="D150" i="57" l="1"/>
  <c r="E210" i="57"/>
  <c r="E209" i="57"/>
  <c r="E208" i="57"/>
  <c r="C205" i="57"/>
  <c r="C204" i="57"/>
  <c r="E188" i="57"/>
  <c r="B180" i="57"/>
  <c r="B177" i="57"/>
  <c r="B176" i="57"/>
  <c r="B170" i="57"/>
  <c r="B169" i="57"/>
  <c r="B168" i="57"/>
  <c r="B159" i="57"/>
  <c r="B158" i="57"/>
  <c r="D145" i="57"/>
  <c r="D136" i="57"/>
  <c r="D128" i="57"/>
  <c r="B119" i="57"/>
  <c r="B118" i="57"/>
  <c r="B115" i="57"/>
  <c r="B114" i="57"/>
  <c r="B108" i="57"/>
  <c r="B107" i="57"/>
  <c r="B106" i="57"/>
  <c r="B99" i="57"/>
  <c r="B98" i="57"/>
  <c r="B164" i="57"/>
  <c r="B163" i="57"/>
  <c r="D132" i="57"/>
  <c r="B104" i="57"/>
  <c r="B103" i="57"/>
  <c r="B102" i="57"/>
  <c r="L42" i="57"/>
  <c r="B172" i="57"/>
  <c r="B35" i="57"/>
  <c r="B173" i="57" l="1"/>
  <c r="B110" i="57"/>
  <c r="D140" i="57"/>
  <c r="F284" i="57"/>
  <c r="F283" i="57"/>
  <c r="F282" i="57"/>
  <c r="F281" i="57"/>
  <c r="F287" i="57"/>
  <c r="F280" i="57"/>
  <c r="F279" i="57"/>
  <c r="F278" i="57"/>
  <c r="F277" i="57"/>
  <c r="F276" i="57"/>
  <c r="F274" i="57"/>
  <c r="F271" i="57"/>
  <c r="F259" i="57"/>
  <c r="F256" i="57"/>
  <c r="F257" i="57"/>
  <c r="B251" i="57"/>
  <c r="F230" i="57"/>
  <c r="F234" i="57"/>
  <c r="E189" i="57" l="1"/>
  <c r="F189" i="57" s="1"/>
  <c r="B181" i="57"/>
  <c r="B185" i="57"/>
  <c r="B184" i="57"/>
  <c r="E85" i="57"/>
  <c r="D81" i="57"/>
  <c r="D80" i="57"/>
  <c r="D79" i="57"/>
  <c r="B121" i="57" l="1"/>
  <c r="B183" i="57"/>
  <c r="B122" i="57"/>
  <c r="D154" i="57"/>
  <c r="F85" i="57"/>
  <c r="G84" i="57" s="1"/>
  <c r="I84" i="57" s="1"/>
  <c r="J84" i="57" s="1"/>
  <c r="F292" i="57"/>
  <c r="F224" i="57"/>
  <c r="F215" i="57"/>
  <c r="G213" i="57" s="1"/>
  <c r="I213" i="57" s="1"/>
  <c r="C135" i="57"/>
  <c r="D205" i="57"/>
  <c r="D204" i="57"/>
  <c r="E178" i="57" l="1"/>
  <c r="F178" i="57" s="1"/>
  <c r="E174" i="57"/>
  <c r="F174" i="57" s="1"/>
  <c r="F170" i="57"/>
  <c r="F164" i="57"/>
  <c r="E161" i="57"/>
  <c r="F161" i="57" s="1"/>
  <c r="C153" i="57"/>
  <c r="D153" i="57"/>
  <c r="D149" i="57"/>
  <c r="E146" i="57"/>
  <c r="C146" i="57"/>
  <c r="E145" i="57"/>
  <c r="F145" i="57" s="1"/>
  <c r="C144" i="57"/>
  <c r="E141" i="57"/>
  <c r="D139" i="57"/>
  <c r="C139" i="57"/>
  <c r="D135" i="57"/>
  <c r="D127" i="57"/>
  <c r="C127" i="57"/>
  <c r="E160" i="57" l="1"/>
  <c r="F160" i="57" s="1"/>
  <c r="F146" i="57"/>
  <c r="C141" i="57"/>
  <c r="F141" i="57" s="1"/>
  <c r="E116" i="57" l="1"/>
  <c r="C116" i="57"/>
  <c r="C112" i="57"/>
  <c r="B111" i="57"/>
  <c r="E112" i="57" s="1"/>
  <c r="F114" i="57"/>
  <c r="F115" i="57"/>
  <c r="C104" i="57"/>
  <c r="F103" i="57"/>
  <c r="E100" i="57"/>
  <c r="F100" i="57" s="1"/>
  <c r="F93" i="57"/>
  <c r="F95" i="57"/>
  <c r="D74" i="57"/>
  <c r="D72" i="57"/>
  <c r="C67" i="57"/>
  <c r="E62" i="57"/>
  <c r="F116" i="57" l="1"/>
  <c r="F112" i="57"/>
  <c r="F291" i="57" l="1"/>
  <c r="F290" i="57"/>
  <c r="F268" i="57"/>
  <c r="F267" i="57"/>
  <c r="F266" i="57"/>
  <c r="F265" i="57"/>
  <c r="F264" i="57"/>
  <c r="F262" i="57"/>
  <c r="F255" i="57"/>
  <c r="F254" i="57"/>
  <c r="F253" i="57"/>
  <c r="F252" i="57"/>
  <c r="F251" i="57"/>
  <c r="F250" i="57"/>
  <c r="F249" i="57"/>
  <c r="F248" i="57"/>
  <c r="F247" i="57"/>
  <c r="F246" i="57"/>
  <c r="F245" i="57"/>
  <c r="F244" i="57"/>
  <c r="F243" i="57"/>
  <c r="F240" i="57"/>
  <c r="F239" i="57"/>
  <c r="F238" i="57"/>
  <c r="F232" i="57"/>
  <c r="F229" i="57"/>
  <c r="F228" i="57"/>
  <c r="F222" i="57"/>
  <c r="F220" i="57"/>
  <c r="F219" i="57"/>
  <c r="F210" i="57"/>
  <c r="F209" i="57"/>
  <c r="F208" i="57"/>
  <c r="E205" i="57"/>
  <c r="E204" i="57"/>
  <c r="I203" i="57"/>
  <c r="F199" i="57"/>
  <c r="F198" i="57"/>
  <c r="F197" i="57"/>
  <c r="F196" i="57"/>
  <c r="F193" i="57"/>
  <c r="G192" i="57" s="1"/>
  <c r="I192" i="57" s="1"/>
  <c r="F188" i="57"/>
  <c r="F185" i="57"/>
  <c r="F184" i="57"/>
  <c r="F183" i="57"/>
  <c r="F180" i="57"/>
  <c r="F177" i="57"/>
  <c r="F176" i="57"/>
  <c r="F173" i="57"/>
  <c r="F172" i="57"/>
  <c r="F168" i="57"/>
  <c r="F163" i="57"/>
  <c r="F159" i="57"/>
  <c r="F158" i="57"/>
  <c r="E154" i="57"/>
  <c r="E153" i="57"/>
  <c r="E150" i="57"/>
  <c r="E149" i="57"/>
  <c r="E144" i="57"/>
  <c r="E140" i="57"/>
  <c r="E139" i="57"/>
  <c r="E136" i="57"/>
  <c r="E135" i="57"/>
  <c r="E132" i="57"/>
  <c r="E131" i="57"/>
  <c r="E128" i="57"/>
  <c r="E127" i="57"/>
  <c r="F127" i="57" s="1"/>
  <c r="F122" i="57"/>
  <c r="F121" i="57"/>
  <c r="F119" i="57"/>
  <c r="F118" i="57"/>
  <c r="F111" i="57"/>
  <c r="F110" i="57"/>
  <c r="F107" i="57"/>
  <c r="F106" i="57"/>
  <c r="F102" i="57"/>
  <c r="F99" i="57"/>
  <c r="F98" i="57"/>
  <c r="F94" i="57"/>
  <c r="F92" i="57"/>
  <c r="I92" i="57" s="1"/>
  <c r="J92" i="57" s="1"/>
  <c r="F91" i="57"/>
  <c r="I91" i="57" s="1"/>
  <c r="J91" i="57" s="1"/>
  <c r="F90" i="57"/>
  <c r="I90" i="57" s="1"/>
  <c r="J90" i="57" s="1"/>
  <c r="F89" i="57"/>
  <c r="E82" i="57"/>
  <c r="E81" i="57"/>
  <c r="F81" i="57" s="1"/>
  <c r="E80" i="57"/>
  <c r="E79" i="57"/>
  <c r="F74" i="57"/>
  <c r="F73" i="57"/>
  <c r="F72" i="57"/>
  <c r="C68" i="57"/>
  <c r="F68" i="57" s="1"/>
  <c r="F67" i="57"/>
  <c r="F66" i="57"/>
  <c r="F35" i="57"/>
  <c r="I89" i="57" l="1"/>
  <c r="J89" i="57" s="1"/>
  <c r="G88" i="57"/>
  <c r="G236" i="57"/>
  <c r="I236" i="57" s="1"/>
  <c r="G226" i="57"/>
  <c r="I226" i="57" s="1"/>
  <c r="G187" i="57"/>
  <c r="G289" i="57"/>
  <c r="J213" i="57"/>
  <c r="G217" i="57"/>
  <c r="G70" i="57"/>
  <c r="I70" i="57" s="1"/>
  <c r="J70" i="57" s="1"/>
  <c r="G64" i="57"/>
  <c r="I64" i="57" s="1"/>
  <c r="J64" i="57" s="1"/>
  <c r="F150" i="57"/>
  <c r="F139" i="57"/>
  <c r="G56" i="57"/>
  <c r="I56" i="57" s="1"/>
  <c r="J56" i="57" s="1"/>
  <c r="F128" i="57"/>
  <c r="F181" i="57"/>
  <c r="F79" i="57"/>
  <c r="C131" i="57"/>
  <c r="F131" i="57" s="1"/>
  <c r="F140" i="57"/>
  <c r="F108" i="57"/>
  <c r="F169" i="57"/>
  <c r="G52" i="57"/>
  <c r="I52" i="57" s="1"/>
  <c r="J52" i="57" s="1"/>
  <c r="G207" i="57"/>
  <c r="G195" i="57"/>
  <c r="F205" i="57"/>
  <c r="F62" i="57"/>
  <c r="G61" i="57" s="1"/>
  <c r="F80" i="57"/>
  <c r="F82" i="57"/>
  <c r="F104" i="57"/>
  <c r="F136" i="57"/>
  <c r="F154" i="57"/>
  <c r="F204" i="57"/>
  <c r="G33" i="57"/>
  <c r="F132" i="57"/>
  <c r="F153" i="57"/>
  <c r="G40" i="57"/>
  <c r="G23" i="57"/>
  <c r="C149" i="57"/>
  <c r="F149" i="57" s="1"/>
  <c r="F135" i="57"/>
  <c r="F144" i="57"/>
  <c r="I187" i="57" l="1"/>
  <c r="J187" i="57" s="1"/>
  <c r="I33" i="57"/>
  <c r="J33" i="57" s="1"/>
  <c r="I23" i="57"/>
  <c r="I207" i="57"/>
  <c r="J207" i="57" s="1"/>
  <c r="I195" i="57"/>
  <c r="J195" i="57" s="1"/>
  <c r="I88" i="57"/>
  <c r="J88" i="57" s="1"/>
  <c r="I40" i="57"/>
  <c r="J40" i="57" s="1"/>
  <c r="I289" i="57"/>
  <c r="J289" i="57" s="1"/>
  <c r="I217" i="57"/>
  <c r="J217" i="57" s="1"/>
  <c r="J226" i="57"/>
  <c r="G202" i="57"/>
  <c r="G97" i="57"/>
  <c r="G77" i="57"/>
  <c r="I77" i="57" s="1"/>
  <c r="J77" i="57" s="1"/>
  <c r="J236" i="57"/>
  <c r="G156" i="57"/>
  <c r="I61" i="57"/>
  <c r="J61" i="57" s="1"/>
  <c r="G125" i="57"/>
  <c r="J23" i="57" l="1"/>
  <c r="J22" i="57" s="1"/>
  <c r="I202" i="57"/>
  <c r="J202" i="57" s="1"/>
  <c r="I156" i="57"/>
  <c r="J156" i="57" s="1"/>
  <c r="I125" i="57"/>
  <c r="J125" i="57" s="1"/>
  <c r="I97" i="57"/>
  <c r="J97" i="57" s="1"/>
  <c r="J39" i="57"/>
  <c r="J21" i="57" l="1"/>
  <c r="J38" i="57"/>
  <c r="C26" i="84" l="1"/>
  <c r="C6" i="84" l="1"/>
  <c r="C13" i="84" l="1"/>
  <c r="C17" i="84" s="1"/>
  <c r="C15" i="84" l="1"/>
  <c r="C28" i="84" l="1"/>
  <c r="C25" i="84" l="1"/>
  <c r="C29" i="84" s="1"/>
  <c r="C22" i="84" l="1"/>
  <c r="C23" i="84" s="1"/>
  <c r="C8" i="84" l="1"/>
  <c r="C7" i="84" l="1"/>
  <c r="C9" i="84" l="1"/>
  <c r="C1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35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Pl cross section of wall of retaining wall</t>
        </r>
      </text>
    </comment>
  </commentList>
</comments>
</file>

<file path=xl/sharedStrings.xml><?xml version="1.0" encoding="utf-8"?>
<sst xmlns="http://schemas.openxmlformats.org/spreadsheetml/2006/main" count="2597" uniqueCount="946">
  <si>
    <t xml:space="preserve">DESCRIPTION </t>
  </si>
  <si>
    <t>UNIT</t>
  </si>
  <si>
    <t>RATE</t>
  </si>
  <si>
    <t>AMOUNT (Rs)</t>
  </si>
  <si>
    <t>nr</t>
  </si>
  <si>
    <t>201(1)</t>
  </si>
  <si>
    <r>
      <t>m</t>
    </r>
    <r>
      <rPr>
        <vertAlign val="superscript"/>
        <sz val="10"/>
        <rFont val="Times New Roman"/>
        <family val="1"/>
      </rPr>
      <t>2</t>
    </r>
  </si>
  <si>
    <t>201(2)</t>
  </si>
  <si>
    <t>201(3)</t>
  </si>
  <si>
    <r>
      <t>m</t>
    </r>
    <r>
      <rPr>
        <vertAlign val="superscript"/>
        <sz val="10"/>
        <rFont val="Times New Roman"/>
        <family val="1"/>
      </rPr>
      <t>3</t>
    </r>
  </si>
  <si>
    <t>m</t>
  </si>
  <si>
    <t>Removal of trees: 300 ≤ Girth &lt; 600 mm</t>
  </si>
  <si>
    <t>Removal of trees: 600 ≤ Girth &lt; 1,200 mm</t>
  </si>
  <si>
    <t>QTY</t>
  </si>
  <si>
    <t>PAY ITEM</t>
  </si>
  <si>
    <t>Tor – Steel reinforcement</t>
  </si>
  <si>
    <t>Mason</t>
  </si>
  <si>
    <t>Cement</t>
  </si>
  <si>
    <t>Sand</t>
  </si>
  <si>
    <t>kg</t>
  </si>
  <si>
    <t>LABOUR</t>
  </si>
  <si>
    <t>Skilled Labour</t>
  </si>
  <si>
    <t>Unskilled Labour</t>
  </si>
  <si>
    <t>MATERIAL</t>
  </si>
  <si>
    <t>CLEARING &amp; GRUBBING</t>
  </si>
  <si>
    <t>REMOVAL OF TREES &amp; STUMPS</t>
  </si>
  <si>
    <t>BOQ ITEM</t>
  </si>
  <si>
    <t>601(1)</t>
  </si>
  <si>
    <t>601(3)</t>
  </si>
  <si>
    <t>602(1)</t>
  </si>
  <si>
    <t>202(1)</t>
  </si>
  <si>
    <t>Nos</t>
  </si>
  <si>
    <t>HORIZONTAL DRAINS</t>
  </si>
  <si>
    <t>201(4)</t>
  </si>
  <si>
    <t>Removal of trees: 1,200 ≤ Girth &lt; 2,000 mm</t>
  </si>
  <si>
    <t>201(10)</t>
  </si>
  <si>
    <t>Removal of overhanging branches: 300 ≤ Girth</t>
  </si>
  <si>
    <t>ENGINEER'S ESTIMATE</t>
  </si>
  <si>
    <t>Length</t>
  </si>
  <si>
    <t>201(6)</t>
  </si>
  <si>
    <t>605(1)</t>
  </si>
  <si>
    <t>702(1)</t>
  </si>
  <si>
    <t>Formwork</t>
  </si>
  <si>
    <t>301(2)</t>
  </si>
  <si>
    <t>302(2)</t>
  </si>
  <si>
    <t>Catch-pits</t>
  </si>
  <si>
    <t>EXCAVATION FOR STRUCTURES</t>
  </si>
  <si>
    <t>302(3)</t>
  </si>
  <si>
    <t>L / Area</t>
  </si>
  <si>
    <t>W / Space</t>
  </si>
  <si>
    <t>H</t>
  </si>
  <si>
    <t>Nr</t>
  </si>
  <si>
    <t>Qty</t>
  </si>
  <si>
    <t>Qty-Total</t>
  </si>
  <si>
    <t>Unit</t>
  </si>
  <si>
    <t>Add 15%</t>
  </si>
  <si>
    <t>Rounded</t>
  </si>
  <si>
    <t>BILL 02 :  SITE CLEARING</t>
  </si>
  <si>
    <t>Clearing and grubbing</t>
  </si>
  <si>
    <t>m2</t>
  </si>
  <si>
    <t>DS(C)- A Drain</t>
  </si>
  <si>
    <t>Cascade Drain</t>
  </si>
  <si>
    <t>DS(R)- A Drain</t>
  </si>
  <si>
    <t>DS(K)- A Drain</t>
  </si>
  <si>
    <t>DS(L)- A Drain</t>
  </si>
  <si>
    <t>Catch-Pit</t>
  </si>
  <si>
    <t>BILL 03 :  EARTHWORKS</t>
  </si>
  <si>
    <t>Excavation - suitable soil</t>
  </si>
  <si>
    <t>m3</t>
  </si>
  <si>
    <t>Excavation and disposal - unsuitable soil</t>
  </si>
  <si>
    <t xml:space="preserve">Side Slope Excavation </t>
  </si>
  <si>
    <t>Excavation and Disposal - slips/slides</t>
  </si>
  <si>
    <t>Excavation for structures- suitable soil</t>
  </si>
  <si>
    <t>Excavation for structures and disposal - unsuitable soil</t>
  </si>
  <si>
    <t>Excavation for Structures</t>
  </si>
  <si>
    <t>Drain</t>
  </si>
  <si>
    <t>Seal</t>
  </si>
  <si>
    <t>Back Filling - Structures</t>
  </si>
  <si>
    <t>Filling Works</t>
  </si>
  <si>
    <t>BILL 04 : RCC WALL</t>
  </si>
  <si>
    <t>Weep Holes</t>
  </si>
  <si>
    <t>Concrete C25/25</t>
  </si>
  <si>
    <t>Stem</t>
  </si>
  <si>
    <t>Base</t>
  </si>
  <si>
    <t>In-side</t>
  </si>
  <si>
    <t>Out-Side</t>
  </si>
  <si>
    <t>Ends</t>
  </si>
  <si>
    <t>Bar Dia.</t>
  </si>
  <si>
    <t>Unit Weight</t>
  </si>
  <si>
    <t>Weight</t>
  </si>
  <si>
    <t>Reinforcement</t>
  </si>
  <si>
    <t>Kg</t>
  </si>
  <si>
    <t>Y10-200</t>
  </si>
  <si>
    <t>BILL 04 : DRAINAGE CONSTRUCTIONS</t>
  </si>
  <si>
    <t>Lean concrete C15 / C20</t>
  </si>
  <si>
    <t xml:space="preserve">Concrete C25 / 20 </t>
  </si>
  <si>
    <t>DS(C)- A Drain Wall</t>
  </si>
  <si>
    <t>DS(C)- A Drain Base</t>
  </si>
  <si>
    <t>Energy Breaker</t>
  </si>
  <si>
    <t>DS(R)- A Drain Wall</t>
  </si>
  <si>
    <t>DS(R)- A Drain Base</t>
  </si>
  <si>
    <t>DS(K)- A Drain Wall</t>
  </si>
  <si>
    <t>DS(K)- A Drain Base</t>
  </si>
  <si>
    <t>DS(L)- A Drain Wall</t>
  </si>
  <si>
    <t>DS(L)- A Drain Base</t>
  </si>
  <si>
    <t>Energy Breakers</t>
  </si>
  <si>
    <t xml:space="preserve">DS(C)- A Drain </t>
  </si>
  <si>
    <t>Y10-250</t>
  </si>
  <si>
    <t>DS(C)- A Drain Inside</t>
  </si>
  <si>
    <t>DS(C)- A Drain Out-side</t>
  </si>
  <si>
    <t xml:space="preserve">Ddt - </t>
  </si>
  <si>
    <t>DS(R)- A Drain Inside</t>
  </si>
  <si>
    <t>DS(R)- A Drain Out-side</t>
  </si>
  <si>
    <t>DS(K)- A Drain Inside</t>
  </si>
  <si>
    <t>DS(L)- A Drain Inside</t>
  </si>
  <si>
    <t>DS(L)- A Drain Out-side</t>
  </si>
  <si>
    <t>Dowels</t>
  </si>
  <si>
    <t>BILL 04 : CATCH-PITS</t>
  </si>
  <si>
    <t>Catch Pit (CP)</t>
  </si>
  <si>
    <t>Catch Pit (CP) base</t>
  </si>
  <si>
    <t>Catch Pit (CP) wall</t>
  </si>
  <si>
    <t>Ddt Openings</t>
  </si>
  <si>
    <t>Catch-Pit- Inside</t>
  </si>
  <si>
    <t>Catch-Pit- Outside</t>
  </si>
  <si>
    <t>BILL 05 : SOIL NAILING &amp; HORIZONTAL DRAINS</t>
  </si>
  <si>
    <t>Soil nails (Less than 12m length)</t>
  </si>
  <si>
    <t>12m Nails</t>
  </si>
  <si>
    <t>Horizontal Long drain</t>
  </si>
  <si>
    <t>GALABODA QUANTITY CALCULATION</t>
  </si>
  <si>
    <t>DS(B)- A Drain</t>
  </si>
  <si>
    <t>Barrier Wall</t>
  </si>
  <si>
    <t>OK</t>
  </si>
  <si>
    <t>Lean for Level the rock surf.</t>
  </si>
  <si>
    <t>Assume 200mm Thick layer for level the rock surface</t>
  </si>
  <si>
    <t>DS(L)- B Drain</t>
  </si>
  <si>
    <t>DS(C)- A Drain Steps</t>
  </si>
  <si>
    <t>DS(V)- A Drain Base</t>
  </si>
  <si>
    <t>DS(V)- A Drain Wall 2</t>
  </si>
  <si>
    <t>DS(V)- A Drain Wall 1</t>
  </si>
  <si>
    <t>Wall thickness not given (125mm thick considered)</t>
  </si>
  <si>
    <t>DS(B)- A Drain Wall</t>
  </si>
  <si>
    <t>DS(B)- A Drain Base</t>
  </si>
  <si>
    <t>Berm seal</t>
  </si>
  <si>
    <t>Max width not specified (1.5m considered)</t>
  </si>
  <si>
    <t>Energy breaker spacing not given (3m Considered)</t>
  </si>
  <si>
    <t>DS(L)- B Drain Wall</t>
  </si>
  <si>
    <t>DS(L)- B Drain Base</t>
  </si>
  <si>
    <t>Drain width not Given (1m Considered)</t>
  </si>
  <si>
    <t xml:space="preserve">DS(V)- A Drain </t>
  </si>
  <si>
    <t>Cascade Steps</t>
  </si>
  <si>
    <t>DS(V)- A Drain Inside wall 1</t>
  </si>
  <si>
    <t>DS(V)- A Drain Inside wall 2</t>
  </si>
  <si>
    <t>DS(B)- A Drain Inside</t>
  </si>
  <si>
    <t>DS(B)- A Drain Out-side</t>
  </si>
  <si>
    <t>Berm Edge</t>
  </si>
  <si>
    <t>DS(L)- B Drain Inside</t>
  </si>
  <si>
    <t>DS(L)- B Drain Out-side</t>
  </si>
  <si>
    <t>DS(K)- A Drain Out-side RHS</t>
  </si>
  <si>
    <t>DS(K)- A Drain Out-side LHS</t>
  </si>
  <si>
    <t>ddt opennings</t>
  </si>
  <si>
    <t>Area - A</t>
  </si>
  <si>
    <t>Area - B</t>
  </si>
  <si>
    <t>8m Nails</t>
  </si>
  <si>
    <t>Soil nails (More than 12m length)</t>
  </si>
  <si>
    <t>16m Nails</t>
  </si>
  <si>
    <t>Area - C</t>
  </si>
  <si>
    <t>Y12-1-200</t>
  </si>
  <si>
    <t>Y12-2-200</t>
  </si>
  <si>
    <t>Y12-3-200</t>
  </si>
  <si>
    <t>Y12-4-225</t>
  </si>
  <si>
    <t>High tensile wire mesh / Coir mesh</t>
  </si>
  <si>
    <t>Area A</t>
  </si>
  <si>
    <t>Area B</t>
  </si>
  <si>
    <t>Beyond SEC 01</t>
  </si>
  <si>
    <t>SEC 01 - SEC 02</t>
  </si>
  <si>
    <t>Approximate</t>
  </si>
  <si>
    <t>Area C</t>
  </si>
  <si>
    <t>Reshaping Area</t>
  </si>
  <si>
    <t>Grid beams</t>
  </si>
  <si>
    <t>Nailing Area A - Vertical</t>
  </si>
  <si>
    <t>Nailing Area A - Horizontal</t>
  </si>
  <si>
    <t>Nailing Area B - Horizontal</t>
  </si>
  <si>
    <t>Nailing Area B - Vertical</t>
  </si>
  <si>
    <t>Nailing Area A - Inclined</t>
  </si>
  <si>
    <t>Nailing Area C - Vertical</t>
  </si>
  <si>
    <t>Nailing Area C - Horizontal</t>
  </si>
  <si>
    <t>Nailing Area C - Inclined</t>
  </si>
  <si>
    <t>301(3)</t>
  </si>
  <si>
    <t>Above Road</t>
  </si>
  <si>
    <t>Below Road</t>
  </si>
  <si>
    <t>Assume 10m area to be excavate for whole nailing length</t>
  </si>
  <si>
    <t>Assume 6m area to be excavate for whole nailing length</t>
  </si>
  <si>
    <t>10m Nails</t>
  </si>
  <si>
    <t>Nailing Area B - Inclined</t>
  </si>
  <si>
    <t>Beyond SEC 02</t>
  </si>
  <si>
    <t>BF</t>
  </si>
  <si>
    <t>SLOPE PROTECTION BY VEGETATION</t>
  </si>
  <si>
    <t>DS(V)- A Drain outside wall 1</t>
  </si>
  <si>
    <t>DS(V)- A Drain outside wall 2</t>
  </si>
  <si>
    <t>factor for slope sec. 01</t>
  </si>
  <si>
    <t>factor for slope sec. 02</t>
  </si>
  <si>
    <t>avg</t>
  </si>
  <si>
    <t>OH &amp; Profit</t>
  </si>
  <si>
    <t>Exchange Rate            1USD</t>
  </si>
  <si>
    <t>= 145.194 SLR</t>
  </si>
  <si>
    <t>BILL NO. 2100 : SOIL NAILING AND HORIZONTAL DRAINS</t>
  </si>
  <si>
    <t>2101(2)a</t>
  </si>
  <si>
    <t>32mm dia. soil nails (more than 12m length) inserted into 125mm dia. bore hole with grouting and coupling</t>
  </si>
  <si>
    <t>Labour</t>
  </si>
  <si>
    <t>MD</t>
  </si>
  <si>
    <t>Skilled</t>
  </si>
  <si>
    <t>Unskilled</t>
  </si>
  <si>
    <t>Machinery</t>
  </si>
  <si>
    <t>Drilling Rig</t>
  </si>
  <si>
    <t>Hr</t>
  </si>
  <si>
    <t>Lifting Machine</t>
  </si>
  <si>
    <t>Material</t>
  </si>
  <si>
    <t>Nail 32mm including wastage</t>
  </si>
  <si>
    <t>ton</t>
  </si>
  <si>
    <t>Centralizers</t>
  </si>
  <si>
    <t>nr.</t>
  </si>
  <si>
    <t>Galvanizing</t>
  </si>
  <si>
    <t>Cupler</t>
  </si>
  <si>
    <t xml:space="preserve">Material transport and handling </t>
  </si>
  <si>
    <t>Item</t>
  </si>
  <si>
    <t>cwt</t>
  </si>
  <si>
    <t>Binding</t>
  </si>
  <si>
    <t xml:space="preserve">Concrete fill </t>
  </si>
  <si>
    <t>Allow</t>
  </si>
  <si>
    <t>Grout Mixer</t>
  </si>
  <si>
    <t>Grout Pumping Machine</t>
  </si>
  <si>
    <t>Day</t>
  </si>
  <si>
    <t>Other</t>
  </si>
  <si>
    <t>Small Tools</t>
  </si>
  <si>
    <t>%</t>
  </si>
  <si>
    <t>Over Head &amp; Profit</t>
  </si>
  <si>
    <t>Rate per Nr.</t>
  </si>
  <si>
    <t>Rate per m</t>
  </si>
  <si>
    <t>Say Rate</t>
  </si>
  <si>
    <t>2101(2)b</t>
  </si>
  <si>
    <t>Per 16m;</t>
  </si>
  <si>
    <t>Skilled Special Grade</t>
  </si>
  <si>
    <t>Cement including wastage</t>
  </si>
  <si>
    <t>Nail Head</t>
  </si>
  <si>
    <t>Considred Seperately</t>
  </si>
  <si>
    <t>Threading</t>
  </si>
  <si>
    <t>Admixtures including wastage</t>
  </si>
  <si>
    <t>Nut</t>
  </si>
  <si>
    <t>Compressor</t>
  </si>
  <si>
    <t>Track drill</t>
  </si>
  <si>
    <t>32mm dia. soil nails (less than or equal to 12m length) inserted into 125mm dia. bore hole with grouting</t>
  </si>
  <si>
    <t>Per 12m;</t>
  </si>
  <si>
    <t xml:space="preserve">Spike plate and Nail head </t>
  </si>
  <si>
    <t>Nail Head including washer, nut &amp; bolts</t>
  </si>
  <si>
    <t>Spike Plate P33/40mm</t>
  </si>
  <si>
    <t>Nail heads including pillow</t>
  </si>
  <si>
    <t>For 0.1 Cu.m</t>
  </si>
  <si>
    <t>Skilled Labour - Concreting</t>
  </si>
  <si>
    <t>Unskilled labour - Preparation of bed &amp; curing</t>
  </si>
  <si>
    <t>Thread Cutting &amp; Drilling ; Skill Labour</t>
  </si>
  <si>
    <t>Concrete Grade 30</t>
  </si>
  <si>
    <t>Cu.m</t>
  </si>
  <si>
    <r>
      <t>Formwork Box (0.6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for 2 times uses)</t>
    </r>
  </si>
  <si>
    <t>Nrs</t>
  </si>
  <si>
    <t>150mm x 150mm Steel Plate</t>
  </si>
  <si>
    <t>Nut &amp; Bolt with fixing</t>
  </si>
  <si>
    <t>Total Cost</t>
  </si>
  <si>
    <t>150x150mm Concrete Beam Excavation &amp; FW</t>
  </si>
  <si>
    <t>For 8.5 Cu.m (378m)</t>
  </si>
  <si>
    <t>Excavation (E1-013) - for 8.50 Cu.m</t>
  </si>
  <si>
    <t>Unskilled labour</t>
  </si>
  <si>
    <t>Tools</t>
  </si>
  <si>
    <t>Concrete G25 (ST1-048) - for 8.50 Cu.m</t>
  </si>
  <si>
    <t>Aggregate 20mm (including transport)</t>
  </si>
  <si>
    <t>Water (per Cu.m)</t>
  </si>
  <si>
    <t>Concrete Mixture</t>
  </si>
  <si>
    <t>Porker Vibrator</t>
  </si>
  <si>
    <t>Formwork (ST1-049) - for 8.50 Cu.m</t>
  </si>
  <si>
    <t>Allow for FW; if required</t>
  </si>
  <si>
    <t>dia</t>
  </si>
  <si>
    <t>L</t>
  </si>
  <si>
    <t>Tot L</t>
  </si>
  <si>
    <t>t</t>
  </si>
  <si>
    <t>RF including wastage</t>
  </si>
  <si>
    <t>Long</t>
  </si>
  <si>
    <t>12mm</t>
  </si>
  <si>
    <t>Skilled Labour (15/= for 1kg)</t>
  </si>
  <si>
    <t>R6</t>
  </si>
  <si>
    <t>6mm</t>
  </si>
  <si>
    <t>Rate per Cu.m</t>
  </si>
  <si>
    <t>250x250mm Concrete Beam Connecting Nail Heads, Vertically &amp; Horizontally, including Excavation, FW, RF</t>
  </si>
  <si>
    <t>For 8.5 Cu.m (136m)</t>
  </si>
  <si>
    <t>Concrete G30 (ST1-049) - for 8.50 Cu.m</t>
  </si>
  <si>
    <t>Dowel</t>
  </si>
  <si>
    <t xml:space="preserve">High tensile protective mesh with connecting clips     </t>
  </si>
  <si>
    <r>
      <t>Per 70m</t>
    </r>
    <r>
      <rPr>
        <vertAlign val="superscript"/>
        <sz val="10"/>
        <rFont val="Calibri"/>
        <family val="2"/>
        <scheme val="minor"/>
      </rPr>
      <t>2</t>
    </r>
  </si>
  <si>
    <t>Wire mesh</t>
  </si>
  <si>
    <t>Clips</t>
  </si>
  <si>
    <t>High tensile wire mesh -Ø 3mm (Super coating) including Connecting Clips</t>
  </si>
  <si>
    <t>Sq.m</t>
  </si>
  <si>
    <t>3.5x20m</t>
  </si>
  <si>
    <t>70m2</t>
  </si>
  <si>
    <t>Amount</t>
  </si>
  <si>
    <t>Rate per Sq.m</t>
  </si>
  <si>
    <t xml:space="preserve">Coir mesh </t>
  </si>
  <si>
    <t>Pull out Test</t>
  </si>
  <si>
    <t>Equipment</t>
  </si>
  <si>
    <t>Hydraulic Jack connected to hydraulic pump and pressure gauge - capacity 20MT</t>
  </si>
  <si>
    <t>Pull out test fabricated cage</t>
  </si>
  <si>
    <t>Steel Bracket</t>
  </si>
  <si>
    <t>4 Displacement gauges</t>
  </si>
  <si>
    <t>pressure meter</t>
  </si>
  <si>
    <t>Nuts &amp; Washers</t>
  </si>
  <si>
    <t>Stop Watch</t>
  </si>
  <si>
    <t>RECTIFICATION OF UNSTABLE SLOPES IN KANDY MAHIYANGANA ROAD</t>
  </si>
  <si>
    <t>RATE ANALYSIS</t>
  </si>
  <si>
    <t>Supply and lay 2X2 GI net as reinforcement (Incl. Transport)</t>
  </si>
  <si>
    <t xml:space="preserve">Related Norm : </t>
  </si>
  <si>
    <t>Material &amp; Misc. : Rate Analysis attached to the Contract Agreement</t>
  </si>
  <si>
    <t>Labour : HSR: ST1-056</t>
  </si>
  <si>
    <t>ITEM NO.</t>
  </si>
  <si>
    <t>DESCRIPTION</t>
  </si>
  <si>
    <t>NBRO RECOMMENDED</t>
  </si>
  <si>
    <t>REMARKS FOR RATE</t>
  </si>
  <si>
    <t>AMOUNT</t>
  </si>
  <si>
    <t>Rs.      Cts.</t>
  </si>
  <si>
    <t>Considered Qty:</t>
  </si>
  <si>
    <t>MATERIALS</t>
  </si>
  <si>
    <t>2x2 GI Mesh</t>
  </si>
  <si>
    <t>marcket rate used refer attached Quatation</t>
  </si>
  <si>
    <t>5% wastage</t>
  </si>
  <si>
    <t>Binding Wire</t>
  </si>
  <si>
    <t>TOTAL COST OF MATERIALS</t>
  </si>
  <si>
    <t>day</t>
  </si>
  <si>
    <t>HSR norm ST1-056</t>
  </si>
  <si>
    <t>HSR norm ST1-057</t>
  </si>
  <si>
    <t>TOTAL COST OF LABOUR</t>
  </si>
  <si>
    <t>MISC COST COMPONENTS</t>
  </si>
  <si>
    <t>Add for tools</t>
  </si>
  <si>
    <t>tools deemed to be included to LABOUR rate as per Rate Analysis attached to the Contract Agreement</t>
  </si>
  <si>
    <t>TOTAL COST OF MISC COST COMPONENTS</t>
  </si>
  <si>
    <t>SUB TOTAL - I</t>
  </si>
  <si>
    <t>Add. 30% Overhead &amp; Profit</t>
  </si>
  <si>
    <t>rate per 1 cu.m (thkness 100mm)</t>
  </si>
  <si>
    <t>301(1)</t>
  </si>
  <si>
    <t>302(1)</t>
  </si>
  <si>
    <t>Coir Mesh</t>
  </si>
  <si>
    <t>201(5)</t>
  </si>
  <si>
    <t>Removal of trees: Girth ≥ 2000mm</t>
  </si>
  <si>
    <r>
      <t>m</t>
    </r>
    <r>
      <rPr>
        <vertAlign val="superscript"/>
        <sz val="10"/>
        <rFont val="Arial Unicode MS"/>
        <family val="2"/>
      </rPr>
      <t>3</t>
    </r>
  </si>
  <si>
    <t>Disposal of excess excavated material away from site</t>
  </si>
  <si>
    <t>PEBOTUWA QUANTITY CALCULATION</t>
  </si>
  <si>
    <t>Nailing LO 1</t>
  </si>
  <si>
    <t>DS(C)- B Drain</t>
  </si>
  <si>
    <t>DS(B)- B Drain</t>
  </si>
  <si>
    <t>4m RCC Wall</t>
  </si>
  <si>
    <t>Gabion Wall - 4m</t>
  </si>
  <si>
    <t>Location 01</t>
  </si>
  <si>
    <t>Location 02</t>
  </si>
  <si>
    <t>Section C</t>
  </si>
  <si>
    <t>Aggregate Filter</t>
  </si>
  <si>
    <t>Lean Concrete C15/20</t>
  </si>
  <si>
    <t>Shear key</t>
  </si>
  <si>
    <t>Kerb Drain</t>
  </si>
  <si>
    <t>4m RCC wall</t>
  </si>
  <si>
    <t>Y12-150</t>
  </si>
  <si>
    <t>Kerb drain</t>
  </si>
  <si>
    <t>Y10-150</t>
  </si>
  <si>
    <t>Y20-200</t>
  </si>
  <si>
    <t>Y12-200</t>
  </si>
  <si>
    <t>Cascade Drain Wall</t>
  </si>
  <si>
    <t>Cascade Drain Base</t>
  </si>
  <si>
    <t>Cascade Drain Steps</t>
  </si>
  <si>
    <t>Y10-225</t>
  </si>
  <si>
    <t>Cascade Drain Inside</t>
  </si>
  <si>
    <t>Cascade Drain Out-side</t>
  </si>
  <si>
    <t>DS(K)- A Drain Out-side</t>
  </si>
  <si>
    <t>CS - A</t>
  </si>
  <si>
    <t>Measurement Sheet</t>
  </si>
  <si>
    <t>length</t>
  </si>
  <si>
    <t>Width</t>
  </si>
  <si>
    <t>Depth</t>
  </si>
  <si>
    <t>Qty.</t>
  </si>
  <si>
    <t>Excavation</t>
  </si>
  <si>
    <t>DSRA</t>
  </si>
  <si>
    <t>Kerb</t>
  </si>
  <si>
    <t>Aggregate</t>
  </si>
  <si>
    <t xml:space="preserve">Gabion </t>
  </si>
  <si>
    <t>CS area</t>
  </si>
  <si>
    <t>Backfill behind the gabion</t>
  </si>
  <si>
    <t>G 15 lean concrete</t>
  </si>
  <si>
    <t>Gabion</t>
  </si>
  <si>
    <t>Geo Text</t>
  </si>
  <si>
    <t>Retaining Wall wall</t>
  </si>
  <si>
    <t>Catch pit</t>
  </si>
  <si>
    <t>G25  concrete for walls and base</t>
  </si>
  <si>
    <t>Number of laps</t>
  </si>
  <si>
    <t>walls</t>
  </si>
  <si>
    <t>base</t>
  </si>
  <si>
    <t>G 30 reinforce concrete</t>
  </si>
  <si>
    <t>nos</t>
  </si>
  <si>
    <t xml:space="preserve">length </t>
  </si>
  <si>
    <t>width</t>
  </si>
  <si>
    <t>thk</t>
  </si>
  <si>
    <t>cover slab</t>
  </si>
  <si>
    <t>RF for Drains</t>
  </si>
  <si>
    <t>Number  of Bars</t>
  </si>
  <si>
    <t>Length of bar</t>
  </si>
  <si>
    <t>Weight of bar</t>
  </si>
  <si>
    <t>Kg Total</t>
  </si>
  <si>
    <t>NUMBER OF LAPS</t>
  </si>
  <si>
    <t>Y10@ 250</t>
  </si>
  <si>
    <t>FW for drain</t>
  </si>
  <si>
    <t>Cascade</t>
  </si>
  <si>
    <t>cover slab suspended</t>
  </si>
  <si>
    <t>cover slab sides</t>
  </si>
  <si>
    <t>Rubble Works</t>
  </si>
  <si>
    <t>DSMD</t>
  </si>
  <si>
    <t>cascade</t>
  </si>
  <si>
    <t xml:space="preserve">Plaster RRM </t>
  </si>
  <si>
    <t>DSCC</t>
  </si>
  <si>
    <t>DSMC</t>
  </si>
  <si>
    <t>retaining wall</t>
  </si>
  <si>
    <t>Back  Filling with Query dust</t>
  </si>
  <si>
    <t>Hard core Filling</t>
  </si>
  <si>
    <t>Anti Termite Treatment</t>
  </si>
  <si>
    <t>Retaining wall</t>
  </si>
  <si>
    <t>RR Masonary for retaining wall</t>
  </si>
  <si>
    <t xml:space="preserve">Gr.25 Concrete for </t>
  </si>
  <si>
    <t>Backfill with crush stone aggregate  (20-200mm)</t>
  </si>
  <si>
    <t>Geo textile layer</t>
  </si>
  <si>
    <t>ends only</t>
  </si>
  <si>
    <t>50mm dia</t>
  </si>
  <si>
    <t>2 ends</t>
  </si>
  <si>
    <t xml:space="preserve">1000 G polythene </t>
  </si>
  <si>
    <t>cascade drain</t>
  </si>
  <si>
    <t>Weep holes</t>
  </si>
  <si>
    <t>Expansion Joints</t>
  </si>
  <si>
    <t>D 16 Dowels @ 1000 c/c</t>
  </si>
  <si>
    <t xml:space="preserve">R/F </t>
  </si>
  <si>
    <t>Ttl length</t>
  </si>
  <si>
    <t>Wt/m</t>
  </si>
  <si>
    <t>Ttl.Wtt.</t>
  </si>
  <si>
    <t xml:space="preserve">Retaining wall </t>
  </si>
  <si>
    <t>Base-Y12</t>
  </si>
  <si>
    <t>F/W Coln. Footing &amp; stub</t>
  </si>
  <si>
    <t>Plinth beam</t>
  </si>
  <si>
    <t>300x300</t>
  </si>
  <si>
    <t>On rubble wall</t>
  </si>
  <si>
    <t>Consider l.m</t>
  </si>
  <si>
    <t>concrte Gr. 25</t>
  </si>
  <si>
    <t>F/W</t>
  </si>
  <si>
    <t>4Y12</t>
  </si>
  <si>
    <t>R6 stirrups-150C/C</t>
  </si>
  <si>
    <t>G.F Slab-150mm thk</t>
  </si>
  <si>
    <t>1000 Gage polythene</t>
  </si>
  <si>
    <t>G.F Slab R/F-Bottom</t>
  </si>
  <si>
    <t>Y10 at 200mm C/C , b/w</t>
  </si>
  <si>
    <t>DPC</t>
  </si>
  <si>
    <t>External</t>
  </si>
  <si>
    <t>Plinth plaster</t>
  </si>
  <si>
    <t>150  mm thk. Ext Wall block</t>
  </si>
  <si>
    <t>Ext paint</t>
  </si>
  <si>
    <t>ddt</t>
  </si>
  <si>
    <t>SD</t>
  </si>
  <si>
    <t>W1</t>
  </si>
  <si>
    <t>FL</t>
  </si>
  <si>
    <t>D2</t>
  </si>
  <si>
    <t>int wall</t>
  </si>
  <si>
    <t>RD1</t>
  </si>
  <si>
    <t>D3</t>
  </si>
  <si>
    <t>D4</t>
  </si>
  <si>
    <t>100mm wall</t>
  </si>
  <si>
    <t>Internal wall Tile</t>
  </si>
  <si>
    <t>wash tough</t>
  </si>
  <si>
    <t>Painting</t>
  </si>
  <si>
    <t>Internal painting</t>
  </si>
  <si>
    <t>ddt tile</t>
  </si>
  <si>
    <t>Floor Tile wash area-300x300</t>
  </si>
  <si>
    <t>600x600</t>
  </si>
  <si>
    <t>Sill Beam</t>
  </si>
  <si>
    <t>Lintol</t>
  </si>
  <si>
    <t>Stiffner 150X200</t>
  </si>
  <si>
    <t>Water proofing</t>
  </si>
  <si>
    <t>floor</t>
  </si>
  <si>
    <t>bath area</t>
  </si>
  <si>
    <t>turfing</t>
  </si>
  <si>
    <t>Geo text</t>
  </si>
  <si>
    <t>S 0</t>
  </si>
  <si>
    <t>S 1</t>
  </si>
  <si>
    <t>S 2</t>
  </si>
  <si>
    <t>S 3</t>
  </si>
  <si>
    <t>S 4</t>
  </si>
  <si>
    <t>Gabion Excavation</t>
  </si>
  <si>
    <t>Gabion Filling</t>
  </si>
  <si>
    <t>Excavation of Un-suitable soil disposal away from site</t>
  </si>
  <si>
    <t>Per 38.96 Cu.m:</t>
  </si>
  <si>
    <t>Labour Charges - Excavation</t>
  </si>
  <si>
    <t>Labour Charges - Loading &amp; Unloading</t>
  </si>
  <si>
    <t>Excavator</t>
  </si>
  <si>
    <t>Allow for laboratory and field test</t>
  </si>
  <si>
    <t>Small Tools (2.5% of Labour)</t>
  </si>
  <si>
    <t>Transport</t>
  </si>
  <si>
    <t>Rate per Cube</t>
  </si>
  <si>
    <t>Rate per 1m3</t>
  </si>
  <si>
    <t>RATE ANALYSIS  - V0-02 i</t>
  </si>
  <si>
    <t>Annex - a</t>
  </si>
  <si>
    <t xml:space="preserve">Preparation of Gabion Wall base with 6"x 9" rubble and 20mm aggregate packing  </t>
  </si>
  <si>
    <t>REMARKS</t>
  </si>
  <si>
    <t>QUANTITY</t>
  </si>
  <si>
    <t xml:space="preserve">150mm x 225mm rubble including transport </t>
  </si>
  <si>
    <t>Daywork rate taken after deducting 25% OH &amp; profit [HSR rate is 1870.40 BO-without transport and OH] hence 2000Rs/m3 considered reasonable.</t>
  </si>
  <si>
    <t xml:space="preserve">20mm Aggregate </t>
  </si>
  <si>
    <t>HSR 2017 BO-314 -Rs. 2102.48 plus 5% for transporting</t>
  </si>
  <si>
    <t>MACHINERY &amp; PLANTS FOR INSTALLATION.</t>
  </si>
  <si>
    <t xml:space="preserve">JCB hiring for matrial shifting </t>
  </si>
  <si>
    <t>Hrs</t>
  </si>
  <si>
    <t>0.2 hr (arround 10-12 mins)can be allowed [for additional aggregate shifting per 1 m3]                                                             Contractor's rate is reasonable with current market rate-HSR-BO 115 Is  2951 Rs./hr (Rs.23,613.73 for 8 hrs)</t>
  </si>
  <si>
    <t>TOTAL COST OF MACHINERY &amp; PLANTS FOR INSTALLATION.</t>
  </si>
  <si>
    <t>LABOUR FOR FABRICATING, CASTING &amp; PLACING IN POSITION</t>
  </si>
  <si>
    <t xml:space="preserve">Labour taken for  packing available rubble and aggregate  from       HSR 2017  - ST 1 - 011 </t>
  </si>
  <si>
    <t>Add. 25% Overhead &amp; Profit</t>
  </si>
  <si>
    <t>Total cost per 1 Cu m</t>
  </si>
  <si>
    <t>Ch.11 Wewelwatta Road</t>
  </si>
  <si>
    <t>W</t>
  </si>
  <si>
    <t>D</t>
  </si>
  <si>
    <t>Gabion Base t1</t>
  </si>
  <si>
    <t>Gabion Base t2</t>
  </si>
  <si>
    <t>Total</t>
  </si>
  <si>
    <t xml:space="preserve">Katendola </t>
  </si>
  <si>
    <t>Drainage cost</t>
  </si>
  <si>
    <t>Bill 2</t>
  </si>
  <si>
    <t>Bill 3</t>
  </si>
  <si>
    <t>Bill 4</t>
  </si>
  <si>
    <t>Bill 5</t>
  </si>
  <si>
    <t>Gabion cost</t>
  </si>
  <si>
    <t>Soil nailing</t>
  </si>
  <si>
    <t>cos 45</t>
  </si>
  <si>
    <t>Cascade Drain - B</t>
  </si>
  <si>
    <t>Cascade Drain - D</t>
  </si>
  <si>
    <t>Geo Textile</t>
  </si>
  <si>
    <t>DS(B)- A Drain - Wall</t>
  </si>
  <si>
    <t>DS(B)- A Drain - Base</t>
  </si>
  <si>
    <t>DS(B)- A Drain - Berm seal</t>
  </si>
  <si>
    <t>DS(B)- B Drain - Wall</t>
  </si>
  <si>
    <t>DS(B)- B Drain - Base</t>
  </si>
  <si>
    <t>DS(B)- B Drain- Berm seal</t>
  </si>
  <si>
    <t>DS(B)- A Drain- Inside</t>
  </si>
  <si>
    <t>DS(B)- A Drain-Out-side</t>
  </si>
  <si>
    <t>DS(B)- A Drain-Berm Seal</t>
  </si>
  <si>
    <t>DS(B)- B Drain- Inside</t>
  </si>
  <si>
    <t>DS(B)- B Drain- Out-side</t>
  </si>
  <si>
    <t>DS(B)- B Drain- Berm Seal</t>
  </si>
  <si>
    <t>3m Nails</t>
  </si>
  <si>
    <t>Turfing</t>
  </si>
  <si>
    <t>Pillows</t>
  </si>
  <si>
    <t>Soil nail area</t>
  </si>
  <si>
    <t>Turfing area</t>
  </si>
  <si>
    <t>DS(M)- A Drain I</t>
  </si>
  <si>
    <t>DS(B)- A Drain I</t>
  </si>
  <si>
    <t>Cascade Drain - DS-C-B</t>
  </si>
  <si>
    <t>DS(M)- A Drain I Wall</t>
  </si>
  <si>
    <t>DS(M)- A Drain II Base</t>
  </si>
  <si>
    <t>Boundry Beam</t>
  </si>
  <si>
    <t>Location 1</t>
  </si>
  <si>
    <t>Location 2</t>
  </si>
  <si>
    <t>Y10 RF</t>
  </si>
  <si>
    <t>Drains</t>
  </si>
  <si>
    <t>V</t>
  </si>
  <si>
    <t>Int.Width</t>
  </si>
  <si>
    <t>height</t>
  </si>
  <si>
    <t>slab thick</t>
  </si>
  <si>
    <t>screed</t>
  </si>
  <si>
    <t>SC</t>
  </si>
  <si>
    <t>Exc</t>
  </si>
  <si>
    <t>C15</t>
  </si>
  <si>
    <t>C25</t>
  </si>
  <si>
    <t>FW</t>
  </si>
  <si>
    <t>No's</t>
  </si>
  <si>
    <t>Cut off Drains</t>
  </si>
  <si>
    <t>T10</t>
  </si>
  <si>
    <t>DS-K-B</t>
  </si>
  <si>
    <t>dowels</t>
  </si>
  <si>
    <t>Backfill</t>
  </si>
  <si>
    <t>Geo</t>
  </si>
  <si>
    <t>Weep hole</t>
  </si>
  <si>
    <t>Horizontal drain</t>
  </si>
  <si>
    <t>DS-B-B</t>
  </si>
  <si>
    <t>Berm drains - type II</t>
  </si>
  <si>
    <t>sin 66</t>
  </si>
  <si>
    <t>tan 66</t>
  </si>
  <si>
    <t>dowels nu</t>
  </si>
  <si>
    <t>Cascade drain</t>
  </si>
  <si>
    <t>Steps</t>
  </si>
  <si>
    <t>DS-C-D</t>
  </si>
  <si>
    <t>cos 16</t>
  </si>
  <si>
    <t>DS-K-A</t>
  </si>
  <si>
    <t>Kerb Drains</t>
  </si>
  <si>
    <t>SUB Surface drain</t>
  </si>
  <si>
    <t>PVC</t>
  </si>
  <si>
    <t>cos 31</t>
  </si>
  <si>
    <t>cos 15</t>
  </si>
  <si>
    <t>cos 22</t>
  </si>
  <si>
    <t>Gabian wall 1</t>
  </si>
  <si>
    <t>Wall</t>
  </si>
  <si>
    <t>Gabian wall 2</t>
  </si>
  <si>
    <t>Nails</t>
  </si>
  <si>
    <t>&gt; 12m</t>
  </si>
  <si>
    <t>&lt; 12m</t>
  </si>
  <si>
    <t>HT mesh</t>
  </si>
  <si>
    <t>Coir mesh</t>
  </si>
  <si>
    <t>boundry</t>
  </si>
  <si>
    <t>sin 60</t>
  </si>
  <si>
    <t>Erosion Protection Wall</t>
  </si>
  <si>
    <t>Horizontal Drain</t>
  </si>
  <si>
    <t>HD</t>
  </si>
  <si>
    <t>Berm area</t>
  </si>
  <si>
    <t>Excavation upto required angle</t>
  </si>
  <si>
    <t>Backfill upto required angle</t>
  </si>
  <si>
    <t>Exc. Drains / CPs</t>
  </si>
  <si>
    <t>Berm Sealing</t>
  </si>
  <si>
    <t>Exc. Gabian</t>
  </si>
  <si>
    <t>Exc. Erosion wall</t>
  </si>
  <si>
    <t>BF - gabion</t>
  </si>
  <si>
    <t>BF - slope</t>
  </si>
  <si>
    <t>RF</t>
  </si>
  <si>
    <t xml:space="preserve">Gabian </t>
  </si>
  <si>
    <t>E P W</t>
  </si>
  <si>
    <t>Soil Nail</t>
  </si>
  <si>
    <t>BERM SEALING</t>
  </si>
  <si>
    <t>Boundry beam</t>
  </si>
  <si>
    <t>DS-M-C</t>
  </si>
  <si>
    <t>Gabian wall</t>
  </si>
  <si>
    <t>cos 36</t>
  </si>
  <si>
    <t>High tensile wire mesh / Coir mesh option 1</t>
  </si>
  <si>
    <t>High tensile wire mesh / Coir mesh option 2</t>
  </si>
  <si>
    <t>cos 20</t>
  </si>
  <si>
    <t>cos 60</t>
  </si>
  <si>
    <t>Rock fence</t>
  </si>
  <si>
    <t>cos 28</t>
  </si>
  <si>
    <t>DS(K)- A Drain I</t>
  </si>
  <si>
    <t>cos 29</t>
  </si>
  <si>
    <t>cos 13</t>
  </si>
  <si>
    <t>DS-L-type II</t>
  </si>
  <si>
    <t>gabian wall 2</t>
  </si>
  <si>
    <t>gabian wall 1</t>
  </si>
  <si>
    <t>COS 60</t>
  </si>
  <si>
    <t>DS(L)- A Drain I</t>
  </si>
  <si>
    <t>DS(K)- A Drain Wall I</t>
  </si>
  <si>
    <t xml:space="preserve"> Inside</t>
  </si>
  <si>
    <t xml:space="preserve"> Out-side</t>
  </si>
  <si>
    <t>cos 25</t>
  </si>
  <si>
    <t>cos 37</t>
  </si>
  <si>
    <t>cos 30</t>
  </si>
  <si>
    <t>DS-C-C</t>
  </si>
  <si>
    <t>DS-M-B</t>
  </si>
  <si>
    <t>DS-M-A</t>
  </si>
  <si>
    <t>DS-M-E</t>
  </si>
  <si>
    <t>DS-S-A</t>
  </si>
  <si>
    <t>DS-M-e</t>
  </si>
  <si>
    <t xml:space="preserve">DS-K-B </t>
  </si>
  <si>
    <t>planting</t>
  </si>
  <si>
    <t>sin 62</t>
  </si>
  <si>
    <t>DS(B)- C Drain II</t>
  </si>
  <si>
    <t>Grouted Rip Trap</t>
  </si>
  <si>
    <t>RRM</t>
  </si>
  <si>
    <t>Area</t>
  </si>
  <si>
    <t>Filter</t>
  </si>
  <si>
    <t>WH</t>
  </si>
  <si>
    <t>Aggr</t>
  </si>
  <si>
    <t>area</t>
  </si>
  <si>
    <t>1m3</t>
  </si>
  <si>
    <t>250mm 1m2</t>
  </si>
  <si>
    <t>Wiremesh</t>
  </si>
  <si>
    <t>Item No. 2</t>
  </si>
  <si>
    <t>2019 Rate Analysis</t>
  </si>
  <si>
    <t>Description</t>
  </si>
  <si>
    <t>unit</t>
  </si>
  <si>
    <t>Rate</t>
  </si>
  <si>
    <t>Remarks</t>
  </si>
  <si>
    <t>HSR 2018 -BO-02</t>
  </si>
  <si>
    <t>HSR 2019 -BO-02</t>
  </si>
  <si>
    <t>Unskilled (net laying and doweling)</t>
  </si>
  <si>
    <t>HSR 2018 -BO-04</t>
  </si>
  <si>
    <t>HSR 2019 -BO-04</t>
  </si>
  <si>
    <t>High tensile wire mesh -Ø 3mm (Super coating) including freight charges</t>
  </si>
  <si>
    <t>Unit price of net taken as 35$- USD exchange rate Rs.173.00</t>
  </si>
  <si>
    <t>Unit price of net and accessories taken as 35$- including taxes /USD exchange rate Rs.183.00</t>
  </si>
  <si>
    <t>Connecting Clips and Accessories</t>
  </si>
  <si>
    <t>Supply and install 12 mm galvanized Steel Dowels with grouting</t>
  </si>
  <si>
    <t>2018 -Tor steel price-Rs 120 -HSR  BO-411A</t>
  </si>
  <si>
    <t>2019 -Tor steel price-Rs 139 -HSR  BO-411A</t>
  </si>
  <si>
    <t>Small Tools(from labour cost)</t>
  </si>
  <si>
    <t>Add for transporting(from material cost)</t>
  </si>
  <si>
    <t>Add for Escalation of Dollar</t>
  </si>
  <si>
    <t>assmed % based on escalation rate of USD</t>
  </si>
  <si>
    <t>Assumed % based on previous doller escalations(Rs.161 in Aug. 2018 176 in Aug. 2019)</t>
  </si>
  <si>
    <t>Horizontal Short drain 50mm</t>
  </si>
  <si>
    <t>Anchor</t>
  </si>
  <si>
    <t xml:space="preserve">Horizontal </t>
  </si>
  <si>
    <t>Vertical</t>
  </si>
  <si>
    <t>Nos of beam</t>
  </si>
  <si>
    <t>Nos of bar</t>
  </si>
  <si>
    <t>Total L</t>
  </si>
  <si>
    <t>Dia</t>
  </si>
  <si>
    <t>Wall Beam Running as grid</t>
  </si>
  <si>
    <t>R8</t>
  </si>
  <si>
    <t>Aggragate filter 200mm</t>
  </si>
  <si>
    <t>Embankment</t>
  </si>
  <si>
    <t xml:space="preserve"> DS-C- C</t>
  </si>
  <si>
    <t>Considering SEC D</t>
  </si>
  <si>
    <t>KALAWANA QUANTITY CALCULATION</t>
  </si>
  <si>
    <t>Add 10%</t>
  </si>
  <si>
    <t>DS(L) - Type A</t>
  </si>
  <si>
    <t>DS(K) - B</t>
  </si>
  <si>
    <t>DS(M) - B</t>
  </si>
  <si>
    <t>Retaining Wall - Type 2</t>
  </si>
  <si>
    <t>Grouted Riprap</t>
  </si>
  <si>
    <t>Catch Pits</t>
  </si>
  <si>
    <t>m5</t>
  </si>
  <si>
    <t>Back filling</t>
  </si>
  <si>
    <t>m4</t>
  </si>
  <si>
    <t>Aggregate Backfill</t>
  </si>
  <si>
    <t xml:space="preserve">Grade 15 concrete for wall </t>
  </si>
  <si>
    <t>G 1000 polythene</t>
  </si>
  <si>
    <t>Y10-450</t>
  </si>
  <si>
    <t>Y12-250</t>
  </si>
  <si>
    <t>Catch Pit (CP) Wall</t>
  </si>
  <si>
    <t>Catch Pit (CP) Base</t>
  </si>
  <si>
    <t>Grouting Riprap</t>
  </si>
  <si>
    <t>Aggregate filling</t>
  </si>
  <si>
    <t>Geo textile</t>
  </si>
  <si>
    <t>G 1000 Polythene</t>
  </si>
  <si>
    <t>Retaining Wall Type - 02</t>
  </si>
  <si>
    <t>BILL 05 : SOIL NAILING &amp; HORIZONTAL DRAINS/ Turfing</t>
  </si>
  <si>
    <t>Excavation (chemical blasting) and disposal of Hard rock &gt; 1.0 m3 ( rate shall include for backfilling holes )</t>
  </si>
  <si>
    <t>DS (M) A</t>
  </si>
  <si>
    <t>DS (M) B</t>
  </si>
  <si>
    <t>DS (M) C</t>
  </si>
  <si>
    <t>DS (C) B</t>
  </si>
  <si>
    <t>Soil nailing area</t>
  </si>
  <si>
    <r>
      <t>Excavation (mechanical breaking )and disposal of Boulders - 0.25 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- 1.0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 rate shall include for backfilling holes )</t>
    </r>
  </si>
  <si>
    <t>Clearing and grubbing inclusive of backfilling holes and trenches caused by removal of stumps and boulders</t>
  </si>
  <si>
    <t>Removal of stumps of previously fallan trees; 300≤ Girth&lt; 600mm</t>
  </si>
  <si>
    <t xml:space="preserve">REMOVAL OF EXISTING STUCTURE </t>
  </si>
  <si>
    <r>
      <t xml:space="preserve">Excavation for  </t>
    </r>
    <r>
      <rPr>
        <b/>
        <sz val="10"/>
        <rFont val="Times New Roman"/>
        <family val="1"/>
      </rPr>
      <t>Drains and Catch pits</t>
    </r>
    <r>
      <rPr>
        <sz val="10"/>
        <rFont val="Times New Roman"/>
        <family val="1"/>
      </rPr>
      <t>, soil suitable for filling including soft rock for reuse(Rate shall include disposal of excavated material and Backfill for the work space)</t>
    </r>
  </si>
  <si>
    <t>Dismental and remove concrete stucture</t>
  </si>
  <si>
    <t>Excavation (mechanical breaking ) and disposal of Boulders - 0.25 m3 - 1.0 m3 (Provisional Quantity, rate shall include for backfilling holes )</t>
  </si>
  <si>
    <t>Excavation (chemical blasting) and disposal of Hard rock &gt; 1.0 m3 (Provisional Quantity , rate shall include for backfilling holes )</t>
  </si>
  <si>
    <t>SURFACE DRAINS</t>
  </si>
  <si>
    <t>Concrete C15/20 for beds poured on or against earth or unblinded hardcore</t>
  </si>
  <si>
    <t>Concrete C25/20 for walls and base of drains Rate shall include expansion joints and energy breakers</t>
  </si>
  <si>
    <t>Formwork for concrete sides of drains plain smooth finish</t>
  </si>
  <si>
    <t>HOT DIPPED GALVANIZED  STEEL DOWELS</t>
  </si>
  <si>
    <t>Supply and installation of hot dipped galvanized  steel grouted dowels (16mm diameter)</t>
  </si>
  <si>
    <t>502(1)</t>
  </si>
  <si>
    <t>Planting/Seeding/Turfing on the stabilized slope as directed by the Engineer, and regular maintanance for 3 months</t>
  </si>
  <si>
    <t>Drain Lengths (m)</t>
  </si>
  <si>
    <t>Berm</t>
  </si>
  <si>
    <t>1m</t>
  </si>
  <si>
    <t xml:space="preserve">No </t>
  </si>
  <si>
    <t>T</t>
  </si>
  <si>
    <t>Sum</t>
  </si>
  <si>
    <t>No</t>
  </si>
  <si>
    <t>701(1)</t>
  </si>
  <si>
    <t>LS</t>
  </si>
  <si>
    <t>701(7)</t>
  </si>
  <si>
    <t>Nos. of nails</t>
  </si>
  <si>
    <t>length (m)</t>
  </si>
  <si>
    <t>No.</t>
  </si>
  <si>
    <t>Horizontal Long Drain</t>
  </si>
  <si>
    <t>Grid Beam</t>
  </si>
  <si>
    <t>Horizontal</t>
  </si>
  <si>
    <t>Length sum</t>
  </si>
  <si>
    <t>701(2)b</t>
  </si>
  <si>
    <t>m²</t>
  </si>
  <si>
    <t>SOIL NAILING</t>
  </si>
  <si>
    <r>
      <t xml:space="preserve">90mm dia </t>
    </r>
    <r>
      <rPr>
        <b/>
        <sz val="10"/>
        <rFont val="Times New Roman"/>
        <family val="1"/>
      </rPr>
      <t>Long Drain</t>
    </r>
    <r>
      <rPr>
        <sz val="10"/>
        <rFont val="Times New Roman"/>
        <family val="1"/>
      </rPr>
      <t xml:space="preserve"> with perforated type 1000 PVC pipes .  Rate shall include for drilling and associated work and disposal of driled material away from the site as directed by the Engineer.</t>
    </r>
  </si>
  <si>
    <t>402(1)</t>
  </si>
  <si>
    <t>701(6)</t>
  </si>
  <si>
    <t>Bounday Beam</t>
  </si>
  <si>
    <t>32mm dia. soil nails. (less than or equal 12m length) inserted into 125mm dia. bore hole with grouting</t>
  </si>
  <si>
    <t>C3D Vol</t>
  </si>
  <si>
    <t>Rehab</t>
  </si>
  <si>
    <t>REDUCTION OF LANDSLIDE  VULNERABILITY  BY MITIGATION MEASURES
 BETWEEN CULVERT NO. 31/1 AND 31/2 ON HATTON - MASKELIYA - DELHOUSE ROAD B – 149</t>
  </si>
  <si>
    <t>REDUCTION OF LANDSLIDE  VULNERABILITY  BY MITIGATION MEASURES BETWEEN CULVERT NO. 31/1 AND 31/2 ON HATTON - MASKELIYA - DELHOUSE ROAD B – 149</t>
  </si>
  <si>
    <t>Excavation of slope upto required angle( soil suitable for filling including soft rock ) for reuse and disposal of excess excavated material away from site</t>
  </si>
  <si>
    <t>Non-embedded concrete C30/20 boundary beams including slope preparation, formwork and reinforcement and dowels.</t>
  </si>
  <si>
    <t>Non-embedded Grid Beam concrete C30/20 with nail heads including slope preparation, formwork, RF and dowels.</t>
  </si>
  <si>
    <t>National Building Research Organisation</t>
  </si>
  <si>
    <t>SLOPE EXCAVATION</t>
  </si>
  <si>
    <t>701(5)</t>
  </si>
  <si>
    <t>Temporary working platform for soil nailing related works</t>
  </si>
  <si>
    <t>Dismental and remove rubble/brick masonary stucture</t>
  </si>
  <si>
    <t>BILL No. 1 - GENERAL PRELIMINARIES</t>
  </si>
  <si>
    <t>CONTRACTOR'S SITE ESTABLISHMENT</t>
  </si>
  <si>
    <t>1.1.1</t>
  </si>
  <si>
    <t>106.4(1)</t>
  </si>
  <si>
    <t xml:space="preserve">Mobilization of Contractor's Facilities and Plant/ Equipment </t>
  </si>
  <si>
    <t>1.1.2</t>
  </si>
  <si>
    <t>106.4(2)</t>
  </si>
  <si>
    <t xml:space="preserve">De-mobilization of Contractor's Facilities and Plant/Equipment </t>
  </si>
  <si>
    <t>1.1.3</t>
  </si>
  <si>
    <t>106.4(3)</t>
  </si>
  <si>
    <t>Maintenance of Site establishment for the Contractor</t>
  </si>
  <si>
    <t>mth</t>
  </si>
  <si>
    <t>QUALITY STANDARD &amp; PROGRESS</t>
  </si>
  <si>
    <t>1.2.1</t>
  </si>
  <si>
    <t>106.5(1)</t>
  </si>
  <si>
    <t>Progress Reports</t>
  </si>
  <si>
    <t>PS</t>
  </si>
  <si>
    <t>item</t>
  </si>
  <si>
    <t>PROJECT NAME BOARDS/ PLAQUES</t>
  </si>
  <si>
    <t>1.3.1</t>
  </si>
  <si>
    <t>106.6(1)</t>
  </si>
  <si>
    <t>Provide and Maintain project Name Boards</t>
  </si>
  <si>
    <t>SERVICES</t>
  </si>
  <si>
    <t>1.4.1</t>
  </si>
  <si>
    <t>110(1)</t>
  </si>
  <si>
    <t>Temporary supporting and protecting public utility services during execution of works</t>
  </si>
  <si>
    <t>1.4.2</t>
  </si>
  <si>
    <t>Allow for overhead and profit by the contractor for temporary supporting and protecting public utility services during execution of works</t>
  </si>
  <si>
    <t>SETTING-OUT, CROSS SECTION SURVEY &amp; DRAWINGS</t>
  </si>
  <si>
    <t>1.5.1</t>
  </si>
  <si>
    <t>115(1)</t>
  </si>
  <si>
    <t>Allow for setting out work, working drawings, as build drawings and cross sections</t>
  </si>
  <si>
    <t>ENVIRONMENTAL MANAGEMENT</t>
  </si>
  <si>
    <t>1.6.1</t>
  </si>
  <si>
    <t>2000(1)</t>
  </si>
  <si>
    <t>Allow for submission of satisfactory Environmental Management ActionPlan (EMAP) and on-site arrangement before commencing theproject actions</t>
  </si>
  <si>
    <t>1.6.2</t>
  </si>
  <si>
    <t>2000(2)</t>
  </si>
  <si>
    <t>Allow for Baseline Environmental Monitoring and submission of the report</t>
  </si>
  <si>
    <t>1.6.3</t>
  </si>
  <si>
    <t>2000(4)</t>
  </si>
  <si>
    <t>Monitoring Environmental Quality Parameters and Environmental
mitigation measures during construction</t>
  </si>
  <si>
    <t>1.6.4</t>
  </si>
  <si>
    <t>Allow for overhead and profit by the contractor for Monitoring Environmental Quality Parameters and Environmental
mitigation measures during construction</t>
  </si>
  <si>
    <t>1.6.5</t>
  </si>
  <si>
    <t>2000(3)</t>
  </si>
  <si>
    <t>ESMP Monthly Progress Reports</t>
  </si>
  <si>
    <t>TRAFFIC CONTROL</t>
  </si>
  <si>
    <t>1.7.1</t>
  </si>
  <si>
    <t>101(1)</t>
  </si>
  <si>
    <t>Management, Safety &amp; Control &amp; Temporary Diversion of
Traffic, including provision of a general traffic management plan</t>
  </si>
  <si>
    <t>HEALTH &amp; SAFETY</t>
  </si>
  <si>
    <t>1.8.1</t>
  </si>
  <si>
    <t>2003(1)</t>
  </si>
  <si>
    <t>Health and safety meassures during construction confirming to the latest industrial standards</t>
  </si>
  <si>
    <t>1.8.2</t>
  </si>
  <si>
    <t>2003(2)</t>
  </si>
  <si>
    <t>Awareness Programme for STDs</t>
  </si>
  <si>
    <t>1.8.3</t>
  </si>
  <si>
    <t>Allow for overhead and profit by the contractor for the awareness Programme for STDs</t>
  </si>
  <si>
    <t>UTILITY RELOCATION</t>
  </si>
  <si>
    <t>Proj manager</t>
  </si>
  <si>
    <t>full</t>
  </si>
  <si>
    <t>1.9.1</t>
  </si>
  <si>
    <t>203(1)</t>
  </si>
  <si>
    <t>Relocation of utility services as per requirements of the utility service agency</t>
  </si>
  <si>
    <t>Geo technical Engineer</t>
  </si>
  <si>
    <t>1.9.2</t>
  </si>
  <si>
    <t>Allow for overhead and profit by the contractor for work involved except payment to relevant authorities for relocation of utility services.</t>
  </si>
  <si>
    <t>Surveyor</t>
  </si>
  <si>
    <t>1.10</t>
  </si>
  <si>
    <t>CONSTRUCTION MANAGEMENT &amp; STAFF</t>
  </si>
  <si>
    <t>site engineer</t>
  </si>
  <si>
    <t>1.10.1</t>
  </si>
  <si>
    <t>120(1)</t>
  </si>
  <si>
    <t>Employing all necessary construction management staff &amp; technical supervisory staff</t>
  </si>
  <si>
    <t>QA/QC</t>
  </si>
  <si>
    <t>Total of Bill No 1 - Preliminaries (Transfer to Summary of Bills of Quantities) without PS</t>
  </si>
  <si>
    <t>BOQ SUMMARY</t>
  </si>
  <si>
    <t>AMOUNT (LKR)</t>
  </si>
  <si>
    <t>ADD VAT</t>
  </si>
  <si>
    <t>PROVISIONAL SUMS</t>
  </si>
  <si>
    <t>Sep-2022</t>
  </si>
  <si>
    <t>DS-M-D</t>
  </si>
  <si>
    <t>701(10)</t>
  </si>
  <si>
    <t>Pull-Out test for test nails and working nails</t>
  </si>
  <si>
    <t>ITEM</t>
  </si>
  <si>
    <t>QTY.</t>
  </si>
  <si>
    <t>hr</t>
  </si>
  <si>
    <t>Carpenter</t>
  </si>
  <si>
    <t>Steel fixer</t>
  </si>
  <si>
    <t>Mechanic</t>
  </si>
  <si>
    <t>Plumber, Electrician</t>
  </si>
  <si>
    <t>Welder, Fitter</t>
  </si>
  <si>
    <t>Driver</t>
  </si>
  <si>
    <t>50 kg bag</t>
  </si>
  <si>
    <t>20 mm agregate</t>
  </si>
  <si>
    <t>Gravel(20-200mm)</t>
  </si>
  <si>
    <t xml:space="preserve"> Steel reinforcement</t>
  </si>
  <si>
    <t>Tor Steel reinforcement</t>
  </si>
  <si>
    <t>PVC Pipes 90 mm</t>
  </si>
  <si>
    <t>Random Rubble (100mm)</t>
  </si>
  <si>
    <t>Random Rubble (225mm)</t>
  </si>
  <si>
    <t>PLANT</t>
  </si>
  <si>
    <t>Hydraulic Excavator 130HP</t>
  </si>
  <si>
    <t>Dump Truck/Tipper 20T</t>
  </si>
  <si>
    <t>Km</t>
  </si>
  <si>
    <t>feb</t>
  </si>
  <si>
    <t>Tractor/Trailer 100HP</t>
  </si>
  <si>
    <t>Air Compressor 3-Tool</t>
  </si>
  <si>
    <t>Soil nailing machine</t>
  </si>
  <si>
    <t>Wheel loader 100HP</t>
  </si>
  <si>
    <t>Shotcrete Gunning machine</t>
  </si>
  <si>
    <t>Concrete Mixer</t>
  </si>
  <si>
    <t>Generator (420 KW )</t>
  </si>
  <si>
    <t>Long reach Excavator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</si>
  <si>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</si>
  <si>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</si>
  <si>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</si>
  <si>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</si>
  <si>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</si>
  <si>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</si>
  <si>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</si>
  <si>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</si>
  <si>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</si>
  <si>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Timber Ply Sheet (12mm)</t>
  </si>
  <si>
    <t xml:space="preserve">  Total of Bill No 6 - DayWorks (Transfer to Summary of Bills of Quantities)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</si>
  <si>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</si>
  <si>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</si>
  <si>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</si>
  <si>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</si>
  <si>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</si>
  <si>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</si>
  <si>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</si>
  <si>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</si>
  <si>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</si>
  <si>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</si>
  <si>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</si>
  <si>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</si>
  <si>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</si>
  <si>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</si>
  <si>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</si>
  <si>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</si>
  <si>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</si>
  <si>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</si>
  <si>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</si>
  <si>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</si>
  <si>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DISCOUNTED TENDER PRICE</t>
  </si>
  <si>
    <t>DISCOUNT(IF ANY)</t>
  </si>
  <si>
    <t>BILL NO. 6- DAYWORKS</t>
  </si>
  <si>
    <t>DISCOUNTED TENDER PRICE INCLUDING VAT (13+14)</t>
  </si>
  <si>
    <t>TENDER PRICE EXCLUDING VAT AND DISCOUNTS (7+8+9+10)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</si>
</sst>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"/>
    <numFmt numFmtId="167" formatCode="_(* #,##0_);_(* \(#,##0\);_(* &quot;-&quot;??_);_(@_)"/>
    <numFmt numFmtId="168" formatCode="#,##0.0"/>
    <numFmt numFmtId="169" formatCode="0.000"/>
    <numFmt numFmtId="170" formatCode="_(* #,##0.000_);_(* \(#,##0.000\);_(* &quot;-&quot;??_);_(@_)"/>
    <numFmt numFmtId="171" formatCode="_(* #,##0.000_);_(* \(#,##0.000\);_(* &quot;-&quot;???_);_(@_)"/>
    <numFmt numFmtId="172" formatCode="000\(0\)"/>
    <numFmt numFmtId="173" formatCode="#,##0.000_);\(#,##0.000\)"/>
    <numFmt numFmtId="174" formatCode="0.0000"/>
    <numFmt numFmtId="175" formatCode="_(* #,##0_);_(* \(#,##0\);_(* &quot;-&quot;???_);_(@_)"/>
    <numFmt numFmtId="176" formatCode="#.#.#"/>
    <numFmt numFmtId="177" formatCode="#.#.#.#"/>
    <numFmt numFmtId="178" formatCode="#.#"/>
  </numFmts>
  <fonts count="10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b/>
      <sz val="14"/>
      <name val="Calibri"/>
      <family val="2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1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u/>
      <sz val="10"/>
      <name val="Arial Unicode MS"/>
      <family val="2"/>
    </font>
    <font>
      <b/>
      <sz val="10"/>
      <color rgb="FFFF0000"/>
      <name val="Arial Unicode MS"/>
      <family val="2"/>
    </font>
    <font>
      <sz val="10"/>
      <color rgb="FFFF0000"/>
      <name val="Arial Unicode MS"/>
      <family val="2"/>
    </font>
    <font>
      <sz val="10"/>
      <color theme="1"/>
      <name val="Arial Unicode MS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vertAlign val="superscript"/>
      <sz val="10"/>
      <name val="Arial Unicode MS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u/>
      <sz val="9"/>
      <color rgb="FFFF0000"/>
      <name val="Arial"/>
      <family val="2"/>
    </font>
    <font>
      <u/>
      <sz val="9"/>
      <color theme="10"/>
      <name val="Arial"/>
      <family val="2"/>
    </font>
    <font>
      <sz val="9"/>
      <color theme="3" tint="0.399975585192419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i/>
      <sz val="10"/>
      <name val="Arial"/>
      <family val="2"/>
    </font>
    <font>
      <sz val="11"/>
      <color rgb="FFFF0000"/>
      <name val="Arial"/>
      <family val="2"/>
    </font>
    <font>
      <sz val="10"/>
      <color rgb="FF00B05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7EC9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slantDashDot">
        <color theme="1"/>
      </left>
      <right/>
      <top style="slantDashDot">
        <color theme="1"/>
      </top>
      <bottom/>
      <diagonal/>
    </border>
    <border>
      <left/>
      <right/>
      <top style="slantDashDot">
        <color theme="1"/>
      </top>
      <bottom/>
      <diagonal/>
    </border>
    <border>
      <left/>
      <right style="slantDashDot">
        <color theme="1"/>
      </right>
      <top style="slantDashDot">
        <color theme="1"/>
      </top>
      <bottom/>
      <diagonal/>
    </border>
    <border>
      <left style="slantDashDot">
        <color theme="1"/>
      </left>
      <right/>
      <top/>
      <bottom/>
      <diagonal/>
    </border>
    <border>
      <left/>
      <right style="slantDashDot">
        <color theme="1"/>
      </right>
      <top/>
      <bottom/>
      <diagonal/>
    </border>
    <border>
      <left style="slantDashDot">
        <color theme="1"/>
      </left>
      <right/>
      <top/>
      <bottom style="slantDashDot">
        <color theme="1"/>
      </bottom>
      <diagonal/>
    </border>
    <border>
      <left/>
      <right/>
      <top/>
      <bottom style="slantDashDot">
        <color theme="1"/>
      </bottom>
      <diagonal/>
    </border>
    <border>
      <left/>
      <right style="slantDashDot">
        <color theme="1"/>
      </right>
      <top/>
      <bottom style="slantDashDot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slantDashDot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2">
    <xf numFmtId="0" fontId="0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28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17" fillId="0" borderId="0"/>
    <xf numFmtId="43" fontId="12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</cellStyleXfs>
  <cellXfs count="1189">
    <xf numFmtId="0" fontId="0" fillId="0" borderId="0" xfId="0"/>
    <xf numFmtId="0" fontId="22" fillId="0" borderId="0" xfId="0" applyFont="1" applyAlignment="1">
      <alignment horizontal="centerContinuous"/>
    </xf>
    <xf numFmtId="0" fontId="22" fillId="0" borderId="8" xfId="0" applyFont="1" applyBorder="1" applyAlignment="1">
      <alignment horizontal="centerContinuous"/>
    </xf>
    <xf numFmtId="0" fontId="18" fillId="0" borderId="0" xfId="0" applyFont="1" applyAlignment="1">
      <alignment horizontal="center" vertical="center"/>
    </xf>
    <xf numFmtId="43" fontId="0" fillId="0" borderId="0" xfId="1" applyFont="1"/>
    <xf numFmtId="43" fontId="18" fillId="0" borderId="13" xfId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9" fillId="0" borderId="7" xfId="0" applyFont="1" applyBorder="1" applyAlignment="1">
      <alignment horizontal="centerContinuous"/>
    </xf>
    <xf numFmtId="0" fontId="18" fillId="0" borderId="7" xfId="0" applyFont="1" applyBorder="1"/>
    <xf numFmtId="0" fontId="18" fillId="0" borderId="0" xfId="0" applyFont="1"/>
    <xf numFmtId="0" fontId="18" fillId="0" borderId="8" xfId="0" applyFont="1" applyBorder="1"/>
    <xf numFmtId="0" fontId="18" fillId="0" borderId="0" xfId="0" applyFont="1" applyAlignment="1">
      <alignment horizontal="centerContinuous"/>
    </xf>
    <xf numFmtId="0" fontId="30" fillId="0" borderId="7" xfId="0" applyFont="1" applyBorder="1" applyAlignment="1">
      <alignment horizontal="centerContinuous"/>
    </xf>
    <xf numFmtId="0" fontId="18" fillId="0" borderId="8" xfId="0" applyFont="1" applyBorder="1" applyAlignment="1">
      <alignment horizontal="centerContinuous"/>
    </xf>
    <xf numFmtId="0" fontId="24" fillId="0" borderId="7" xfId="0" applyFont="1" applyBorder="1"/>
    <xf numFmtId="0" fontId="24" fillId="0" borderId="0" xfId="0" applyFont="1"/>
    <xf numFmtId="0" fontId="24" fillId="0" borderId="8" xfId="0" applyFont="1" applyBorder="1"/>
    <xf numFmtId="0" fontId="33" fillId="6" borderId="1" xfId="0" applyFont="1" applyFill="1" applyBorder="1" applyAlignment="1">
      <alignment vertical="center"/>
    </xf>
    <xf numFmtId="0" fontId="34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36" fillId="0" borderId="1" xfId="0" applyNumberFormat="1" applyFont="1" applyBorder="1"/>
    <xf numFmtId="0" fontId="36" fillId="0" borderId="1" xfId="0" applyFont="1" applyBorder="1"/>
    <xf numFmtId="43" fontId="36" fillId="3" borderId="1" xfId="0" applyNumberFormat="1" applyFont="1" applyFill="1" applyBorder="1"/>
    <xf numFmtId="0" fontId="33" fillId="0" borderId="19" xfId="0" applyFont="1" applyBorder="1" applyAlignment="1">
      <alignment wrapText="1"/>
    </xf>
    <xf numFmtId="43" fontId="33" fillId="0" borderId="19" xfId="1" applyFont="1" applyFill="1" applyBorder="1"/>
    <xf numFmtId="0" fontId="33" fillId="0" borderId="19" xfId="0" applyFont="1" applyBorder="1"/>
    <xf numFmtId="169" fontId="33" fillId="0" borderId="19" xfId="0" applyNumberFormat="1" applyFont="1" applyBorder="1"/>
    <xf numFmtId="43" fontId="33" fillId="0" borderId="19" xfId="0" applyNumberFormat="1" applyFont="1" applyBorder="1"/>
    <xf numFmtId="0" fontId="33" fillId="0" borderId="13" xfId="0" applyFont="1" applyBorder="1" applyAlignment="1">
      <alignment wrapText="1"/>
    </xf>
    <xf numFmtId="43" fontId="33" fillId="0" borderId="13" xfId="1" applyFont="1" applyFill="1" applyBorder="1"/>
    <xf numFmtId="0" fontId="33" fillId="0" borderId="13" xfId="0" applyFont="1" applyBorder="1"/>
    <xf numFmtId="169" fontId="33" fillId="0" borderId="13" xfId="0" applyNumberFormat="1" applyFont="1" applyBorder="1"/>
    <xf numFmtId="43" fontId="33" fillId="0" borderId="13" xfId="0" applyNumberFormat="1" applyFont="1" applyBorder="1"/>
    <xf numFmtId="2" fontId="33" fillId="0" borderId="13" xfId="0" applyNumberFormat="1" applyFont="1" applyBorder="1"/>
    <xf numFmtId="0" fontId="33" fillId="0" borderId="24" xfId="0" applyFont="1" applyBorder="1" applyAlignment="1">
      <alignment wrapText="1"/>
    </xf>
    <xf numFmtId="43" fontId="33" fillId="0" borderId="24" xfId="1" applyFont="1" applyFill="1" applyBorder="1"/>
    <xf numFmtId="169" fontId="33" fillId="0" borderId="24" xfId="0" applyNumberFormat="1" applyFont="1" applyBorder="1"/>
    <xf numFmtId="0" fontId="33" fillId="0" borderId="24" xfId="0" applyFont="1" applyBorder="1"/>
    <xf numFmtId="43" fontId="33" fillId="0" borderId="24" xfId="0" applyNumberFormat="1" applyFont="1" applyBorder="1"/>
    <xf numFmtId="43" fontId="34" fillId="0" borderId="1" xfId="0" applyNumberFormat="1" applyFont="1" applyBorder="1"/>
    <xf numFmtId="0" fontId="34" fillId="0" borderId="1" xfId="0" applyFont="1" applyBorder="1"/>
    <xf numFmtId="0" fontId="33" fillId="0" borderId="13" xfId="0" applyFont="1" applyBorder="1" applyAlignment="1">
      <alignment horizontal="right" wrapText="1"/>
    </xf>
    <xf numFmtId="170" fontId="33" fillId="0" borderId="13" xfId="1" applyNumberFormat="1" applyFont="1" applyFill="1" applyBorder="1"/>
    <xf numFmtId="0" fontId="33" fillId="0" borderId="13" xfId="1" applyNumberFormat="1" applyFont="1" applyFill="1" applyBorder="1"/>
    <xf numFmtId="0" fontId="33" fillId="0" borderId="24" xfId="0" applyFont="1" applyBorder="1" applyAlignment="1">
      <alignment horizontal="right" wrapText="1"/>
    </xf>
    <xf numFmtId="0" fontId="33" fillId="0" borderId="24" xfId="1" applyNumberFormat="1" applyFont="1" applyFill="1" applyBorder="1"/>
    <xf numFmtId="169" fontId="33" fillId="0" borderId="13" xfId="1" applyNumberFormat="1" applyFont="1" applyFill="1" applyBorder="1"/>
    <xf numFmtId="0" fontId="37" fillId="0" borderId="1" xfId="0" applyFont="1" applyBorder="1"/>
    <xf numFmtId="0" fontId="33" fillId="0" borderId="13" xfId="0" applyFont="1" applyBorder="1" applyAlignment="1">
      <alignment horizontal="left" wrapText="1"/>
    </xf>
    <xf numFmtId="170" fontId="33" fillId="0" borderId="13" xfId="0" applyNumberFormat="1" applyFont="1" applyBorder="1"/>
    <xf numFmtId="0" fontId="38" fillId="0" borderId="13" xfId="4" applyFont="1" applyBorder="1" applyAlignment="1">
      <alignment wrapText="1"/>
    </xf>
    <xf numFmtId="2" fontId="33" fillId="0" borderId="24" xfId="0" applyNumberFormat="1" applyFont="1" applyBorder="1" applyAlignment="1">
      <alignment horizontal="right"/>
    </xf>
    <xf numFmtId="170" fontId="33" fillId="0" borderId="24" xfId="0" applyNumberFormat="1" applyFont="1" applyBorder="1"/>
    <xf numFmtId="0" fontId="35" fillId="0" borderId="24" xfId="0" applyFont="1" applyBorder="1" applyAlignment="1">
      <alignment wrapText="1"/>
    </xf>
    <xf numFmtId="1" fontId="33" fillId="0" borderId="13" xfId="0" applyNumberFormat="1" applyFont="1" applyBorder="1"/>
    <xf numFmtId="167" fontId="33" fillId="0" borderId="13" xfId="1" applyNumberFormat="1" applyFont="1" applyFill="1" applyBorder="1"/>
    <xf numFmtId="2" fontId="33" fillId="0" borderId="13" xfId="1" applyNumberFormat="1" applyFont="1" applyFill="1" applyBorder="1"/>
    <xf numFmtId="0" fontId="33" fillId="7" borderId="1" xfId="0" applyFont="1" applyFill="1" applyBorder="1" applyAlignment="1">
      <alignment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 wrapText="1"/>
    </xf>
    <xf numFmtId="0" fontId="35" fillId="0" borderId="13" xfId="0" applyFont="1" applyBorder="1"/>
    <xf numFmtId="0" fontId="39" fillId="0" borderId="0" xfId="0" applyFont="1"/>
    <xf numFmtId="171" fontId="33" fillId="0" borderId="13" xfId="0" applyNumberFormat="1" applyFont="1" applyBorder="1"/>
    <xf numFmtId="0" fontId="39" fillId="0" borderId="0" xfId="0" applyFont="1" applyAlignment="1">
      <alignment horizontal="left" vertical="center" wrapText="1"/>
    </xf>
    <xf numFmtId="0" fontId="38" fillId="0" borderId="13" xfId="4" applyFont="1" applyBorder="1" applyAlignment="1">
      <alignment horizontal="right" wrapText="1"/>
    </xf>
    <xf numFmtId="0" fontId="39" fillId="0" borderId="27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0" fillId="0" borderId="0" xfId="0" applyFont="1"/>
    <xf numFmtId="49" fontId="23" fillId="0" borderId="0" xfId="0" applyNumberFormat="1" applyFont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  <protection locked="0"/>
    </xf>
    <xf numFmtId="0" fontId="0" fillId="0" borderId="31" xfId="0" applyBorder="1"/>
    <xf numFmtId="49" fontId="23" fillId="0" borderId="0" xfId="0" applyNumberFormat="1" applyFont="1" applyAlignment="1" applyProtection="1">
      <alignment vertical="top" wrapText="1"/>
      <protection locked="0"/>
    </xf>
    <xf numFmtId="49" fontId="23" fillId="0" borderId="0" xfId="0" applyNumberFormat="1" applyFont="1" applyAlignment="1" applyProtection="1">
      <alignment vertical="center" wrapText="1"/>
      <protection locked="0"/>
    </xf>
    <xf numFmtId="49" fontId="26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/>
    <xf numFmtId="0" fontId="33" fillId="6" borderId="13" xfId="0" applyFont="1" applyFill="1" applyBorder="1"/>
    <xf numFmtId="169" fontId="33" fillId="6" borderId="13" xfId="0" applyNumberFormat="1" applyFont="1" applyFill="1" applyBorder="1"/>
    <xf numFmtId="2" fontId="33" fillId="6" borderId="13" xfId="0" applyNumberFormat="1" applyFont="1" applyFill="1" applyBorder="1"/>
    <xf numFmtId="43" fontId="33" fillId="6" borderId="13" xfId="1" applyFont="1" applyFill="1" applyBorder="1"/>
    <xf numFmtId="43" fontId="33" fillId="6" borderId="24" xfId="1" applyFont="1" applyFill="1" applyBorder="1"/>
    <xf numFmtId="0" fontId="33" fillId="6" borderId="13" xfId="0" applyFont="1" applyFill="1" applyBorder="1" applyAlignment="1">
      <alignment horizontal="right" wrapText="1"/>
    </xf>
    <xf numFmtId="43" fontId="33" fillId="2" borderId="13" xfId="1" applyFont="1" applyFill="1" applyBorder="1"/>
    <xf numFmtId="0" fontId="33" fillId="2" borderId="13" xfId="0" applyFont="1" applyFill="1" applyBorder="1"/>
    <xf numFmtId="43" fontId="0" fillId="0" borderId="0" xfId="0" applyNumberFormat="1"/>
    <xf numFmtId="43" fontId="33" fillId="3" borderId="13" xfId="1" applyFont="1" applyFill="1" applyBorder="1"/>
    <xf numFmtId="169" fontId="33" fillId="3" borderId="13" xfId="0" applyNumberFormat="1" applyFont="1" applyFill="1" applyBorder="1"/>
    <xf numFmtId="0" fontId="33" fillId="3" borderId="13" xfId="0" applyFont="1" applyFill="1" applyBorder="1"/>
    <xf numFmtId="0" fontId="38" fillId="3" borderId="13" xfId="4" applyFont="1" applyFill="1" applyBorder="1" applyAlignment="1">
      <alignment wrapText="1"/>
    </xf>
    <xf numFmtId="43" fontId="33" fillId="3" borderId="13" xfId="0" applyNumberFormat="1" applyFont="1" applyFill="1" applyBorder="1"/>
    <xf numFmtId="0" fontId="41" fillId="0" borderId="0" xfId="23" applyFont="1"/>
    <xf numFmtId="0" fontId="42" fillId="0" borderId="0" xfId="23" applyFont="1"/>
    <xf numFmtId="0" fontId="43" fillId="10" borderId="1" xfId="23" applyFont="1" applyFill="1" applyBorder="1"/>
    <xf numFmtId="9" fontId="43" fillId="10" borderId="1" xfId="23" applyNumberFormat="1" applyFont="1" applyFill="1" applyBorder="1"/>
    <xf numFmtId="43" fontId="42" fillId="0" borderId="0" xfId="24" applyFont="1"/>
    <xf numFmtId="0" fontId="43" fillId="10" borderId="15" xfId="23" applyFont="1" applyFill="1" applyBorder="1"/>
    <xf numFmtId="9" fontId="43" fillId="10" borderId="17" xfId="23" quotePrefix="1" applyNumberFormat="1" applyFont="1" applyFill="1" applyBorder="1"/>
    <xf numFmtId="0" fontId="44" fillId="0" borderId="0" xfId="23" applyFont="1"/>
    <xf numFmtId="0" fontId="12" fillId="0" borderId="0" xfId="23"/>
    <xf numFmtId="172" fontId="12" fillId="0" borderId="0" xfId="23" applyNumberFormat="1" applyAlignment="1">
      <alignment horizontal="center"/>
    </xf>
    <xf numFmtId="0" fontId="42" fillId="0" borderId="12" xfId="23" applyFont="1" applyBorder="1" applyAlignment="1">
      <alignment horizontal="left"/>
    </xf>
    <xf numFmtId="0" fontId="42" fillId="0" borderId="12" xfId="23" applyFont="1" applyBorder="1" applyAlignment="1">
      <alignment horizontal="center"/>
    </xf>
    <xf numFmtId="39" fontId="42" fillId="0" borderId="12" xfId="23" applyNumberFormat="1" applyFont="1" applyBorder="1"/>
    <xf numFmtId="0" fontId="42" fillId="0" borderId="13" xfId="23" applyFont="1" applyBorder="1" applyAlignment="1">
      <alignment horizontal="left"/>
    </xf>
    <xf numFmtId="0" fontId="42" fillId="0" borderId="13" xfId="23" applyFont="1" applyBorder="1" applyAlignment="1">
      <alignment horizontal="center"/>
    </xf>
    <xf numFmtId="39" fontId="42" fillId="0" borderId="13" xfId="23" applyNumberFormat="1" applyFont="1" applyBorder="1"/>
    <xf numFmtId="0" fontId="45" fillId="0" borderId="13" xfId="23" applyFont="1" applyBorder="1" applyAlignment="1">
      <alignment horizontal="left"/>
    </xf>
    <xf numFmtId="0" fontId="42" fillId="0" borderId="0" xfId="23" applyFont="1" applyAlignment="1">
      <alignment horizontal="center" vertical="center"/>
    </xf>
    <xf numFmtId="173" fontId="42" fillId="0" borderId="13" xfId="23" applyNumberFormat="1" applyFont="1" applyBorder="1"/>
    <xf numFmtId="43" fontId="42" fillId="0" borderId="0" xfId="23" applyNumberFormat="1" applyFont="1"/>
    <xf numFmtId="9" fontId="42" fillId="0" borderId="13" xfId="25" applyFont="1" applyBorder="1" applyProtection="1"/>
    <xf numFmtId="0" fontId="42" fillId="0" borderId="13" xfId="23" applyFont="1" applyBorder="1" applyAlignment="1">
      <alignment horizontal="right"/>
    </xf>
    <xf numFmtId="39" fontId="45" fillId="0" borderId="13" xfId="23" applyNumberFormat="1" applyFont="1" applyBorder="1"/>
    <xf numFmtId="43" fontId="42" fillId="0" borderId="0" xfId="24" applyFont="1" applyFill="1"/>
    <xf numFmtId="0" fontId="42" fillId="0" borderId="24" xfId="23" applyFont="1" applyBorder="1" applyAlignment="1">
      <alignment horizontal="right"/>
    </xf>
    <xf numFmtId="0" fontId="42" fillId="0" borderId="24" xfId="23" applyFont="1" applyBorder="1" applyAlignment="1">
      <alignment horizontal="center"/>
    </xf>
    <xf numFmtId="39" fontId="42" fillId="0" borderId="24" xfId="23" applyNumberFormat="1" applyFont="1" applyBorder="1"/>
    <xf numFmtId="39" fontId="45" fillId="0" borderId="24" xfId="23" applyNumberFormat="1" applyFont="1" applyBorder="1"/>
    <xf numFmtId="0" fontId="42" fillId="0" borderId="20" xfId="23" applyFont="1" applyBorder="1"/>
    <xf numFmtId="0" fontId="43" fillId="7" borderId="14" xfId="23" applyFont="1" applyFill="1" applyBorder="1" applyAlignment="1">
      <alignment horizontal="right"/>
    </xf>
    <xf numFmtId="0" fontId="43" fillId="7" borderId="14" xfId="23" applyFont="1" applyFill="1" applyBorder="1" applyAlignment="1">
      <alignment horizontal="center"/>
    </xf>
    <xf numFmtId="39" fontId="43" fillId="7" borderId="14" xfId="23" applyNumberFormat="1" applyFont="1" applyFill="1" applyBorder="1"/>
    <xf numFmtId="39" fontId="47" fillId="0" borderId="13" xfId="23" applyNumberFormat="1" applyFont="1" applyBorder="1"/>
    <xf numFmtId="0" fontId="43" fillId="0" borderId="12" xfId="23" applyFont="1" applyBorder="1" applyAlignment="1">
      <alignment horizontal="left"/>
    </xf>
    <xf numFmtId="165" fontId="42" fillId="0" borderId="13" xfId="25" applyNumberFormat="1" applyFont="1" applyBorder="1" applyProtection="1"/>
    <xf numFmtId="0" fontId="43" fillId="0" borderId="12" xfId="23" applyFont="1" applyBorder="1"/>
    <xf numFmtId="0" fontId="42" fillId="0" borderId="12" xfId="23" applyFont="1" applyBorder="1"/>
    <xf numFmtId="43" fontId="42" fillId="0" borderId="13" xfId="24" applyFont="1" applyBorder="1"/>
    <xf numFmtId="0" fontId="42" fillId="0" borderId="13" xfId="23" applyFont="1" applyBorder="1"/>
    <xf numFmtId="0" fontId="42" fillId="0" borderId="13" xfId="23" applyFont="1" applyBorder="1" applyAlignment="1">
      <alignment horizontal="center" vertical="center"/>
    </xf>
    <xf numFmtId="0" fontId="12" fillId="0" borderId="20" xfId="23" applyBorder="1"/>
    <xf numFmtId="0" fontId="42" fillId="0" borderId="21" xfId="23" applyFont="1" applyBorder="1"/>
    <xf numFmtId="43" fontId="49" fillId="0" borderId="13" xfId="24" applyFont="1" applyBorder="1"/>
    <xf numFmtId="0" fontId="43" fillId="7" borderId="14" xfId="23" applyFont="1" applyFill="1" applyBorder="1"/>
    <xf numFmtId="43" fontId="43" fillId="7" borderId="14" xfId="24" applyFont="1" applyFill="1" applyBorder="1"/>
    <xf numFmtId="9" fontId="43" fillId="7" borderId="14" xfId="24" applyNumberFormat="1" applyFont="1" applyFill="1" applyBorder="1"/>
    <xf numFmtId="166" fontId="42" fillId="0" borderId="0" xfId="23" applyNumberFormat="1" applyFont="1"/>
    <xf numFmtId="43" fontId="49" fillId="0" borderId="0" xfId="24" applyFont="1"/>
    <xf numFmtId="43" fontId="0" fillId="0" borderId="0" xfId="24" applyFont="1"/>
    <xf numFmtId="43" fontId="12" fillId="0" borderId="0" xfId="23" applyNumberFormat="1"/>
    <xf numFmtId="43" fontId="42" fillId="0" borderId="0" xfId="24" applyFont="1" applyAlignment="1">
      <alignment horizontal="center" vertical="center"/>
    </xf>
    <xf numFmtId="170" fontId="42" fillId="0" borderId="0" xfId="24" applyNumberFormat="1" applyFont="1" applyAlignment="1">
      <alignment horizontal="center" vertical="center"/>
    </xf>
    <xf numFmtId="43" fontId="42" fillId="0" borderId="0" xfId="23" applyNumberFormat="1" applyFont="1" applyAlignment="1">
      <alignment horizontal="center" vertical="center"/>
    </xf>
    <xf numFmtId="170" fontId="42" fillId="0" borderId="0" xfId="23" applyNumberFormat="1" applyFont="1" applyAlignment="1">
      <alignment horizontal="center" vertical="center"/>
    </xf>
    <xf numFmtId="170" fontId="12" fillId="0" borderId="0" xfId="23" applyNumberFormat="1"/>
    <xf numFmtId="166" fontId="42" fillId="0" borderId="0" xfId="23" applyNumberFormat="1" applyFont="1" applyAlignment="1">
      <alignment horizontal="center" vertical="center"/>
    </xf>
    <xf numFmtId="0" fontId="50" fillId="0" borderId="0" xfId="23" applyFont="1"/>
    <xf numFmtId="0" fontId="51" fillId="0" borderId="29" xfId="23" applyFont="1" applyBorder="1" applyAlignment="1">
      <alignment vertical="center"/>
    </xf>
    <xf numFmtId="0" fontId="51" fillId="0" borderId="23" xfId="23" applyFont="1" applyBorder="1" applyAlignment="1">
      <alignment vertical="center"/>
    </xf>
    <xf numFmtId="0" fontId="52" fillId="0" borderId="30" xfId="26" applyFont="1" applyBorder="1" applyAlignment="1">
      <alignment horizontal="right"/>
    </xf>
    <xf numFmtId="0" fontId="54" fillId="0" borderId="20" xfId="23" applyFont="1" applyBorder="1" applyAlignment="1">
      <alignment vertical="center"/>
    </xf>
    <xf numFmtId="0" fontId="56" fillId="0" borderId="0" xfId="23" applyFont="1" applyAlignment="1">
      <alignment horizontal="center" vertical="center"/>
    </xf>
    <xf numFmtId="0" fontId="56" fillId="0" borderId="0" xfId="23" applyFont="1" applyAlignment="1">
      <alignment horizontal="left" vertical="center"/>
    </xf>
    <xf numFmtId="0" fontId="53" fillId="0" borderId="0" xfId="23" applyFont="1" applyAlignment="1">
      <alignment horizontal="right" vertical="center"/>
    </xf>
    <xf numFmtId="0" fontId="56" fillId="0" borderId="0" xfId="23" applyFont="1" applyAlignment="1">
      <alignment horizontal="right" vertical="center"/>
    </xf>
    <xf numFmtId="0" fontId="57" fillId="0" borderId="0" xfId="23" applyFont="1" applyAlignment="1">
      <alignment horizontal="center" vertical="center"/>
    </xf>
    <xf numFmtId="0" fontId="58" fillId="0" borderId="20" xfId="23" applyFont="1" applyBorder="1" applyAlignment="1">
      <alignment horizontal="center" vertical="center"/>
    </xf>
    <xf numFmtId="0" fontId="58" fillId="0" borderId="26" xfId="23" applyFont="1" applyBorder="1" applyAlignment="1">
      <alignment horizontal="center" vertical="justify"/>
    </xf>
    <xf numFmtId="0" fontId="59" fillId="0" borderId="2" xfId="23" applyFont="1" applyBorder="1" applyAlignment="1">
      <alignment horizontal="right" vertical="center"/>
    </xf>
    <xf numFmtId="0" fontId="58" fillId="0" borderId="2" xfId="23" applyFont="1" applyBorder="1" applyAlignment="1">
      <alignment horizontal="center" vertical="center"/>
    </xf>
    <xf numFmtId="0" fontId="59" fillId="0" borderId="2" xfId="23" applyFont="1" applyBorder="1" applyAlignment="1">
      <alignment vertical="center"/>
    </xf>
    <xf numFmtId="0" fontId="60" fillId="0" borderId="2" xfId="23" applyFont="1" applyBorder="1" applyAlignment="1">
      <alignment horizontal="center" vertical="center"/>
    </xf>
    <xf numFmtId="0" fontId="58" fillId="0" borderId="25" xfId="23" applyFont="1" applyBorder="1" applyAlignment="1">
      <alignment horizontal="center" vertical="center"/>
    </xf>
    <xf numFmtId="0" fontId="61" fillId="8" borderId="28" xfId="23" applyFont="1" applyFill="1" applyBorder="1" applyAlignment="1">
      <alignment horizontal="center" vertical="center"/>
    </xf>
    <xf numFmtId="0" fontId="58" fillId="0" borderId="28" xfId="23" applyFont="1" applyBorder="1" applyAlignment="1">
      <alignment horizontal="center" vertical="center"/>
    </xf>
    <xf numFmtId="0" fontId="58" fillId="8" borderId="3" xfId="23" applyFont="1" applyFill="1" applyBorder="1" applyAlignment="1">
      <alignment horizontal="center" vertical="center"/>
    </xf>
    <xf numFmtId="0" fontId="58" fillId="0" borderId="18" xfId="23" applyFont="1" applyBorder="1" applyAlignment="1">
      <alignment horizontal="center" vertical="center"/>
    </xf>
    <xf numFmtId="0" fontId="58" fillId="8" borderId="18" xfId="23" applyFont="1" applyFill="1" applyBorder="1" applyAlignment="1">
      <alignment horizontal="center" vertical="center"/>
    </xf>
    <xf numFmtId="0" fontId="61" fillId="0" borderId="18" xfId="23" applyFont="1" applyBorder="1" applyAlignment="1">
      <alignment horizontal="center" vertical="center" wrapText="1"/>
    </xf>
    <xf numFmtId="0" fontId="61" fillId="0" borderId="18" xfId="23" applyFont="1" applyBorder="1" applyAlignment="1">
      <alignment horizontal="center" vertical="center"/>
    </xf>
    <xf numFmtId="0" fontId="59" fillId="0" borderId="18" xfId="23" applyFont="1" applyBorder="1" applyAlignment="1">
      <alignment horizontal="left" vertical="center"/>
    </xf>
    <xf numFmtId="0" fontId="59" fillId="0" borderId="18" xfId="23" applyFont="1" applyBorder="1" applyAlignment="1">
      <alignment horizontal="center" vertical="center"/>
    </xf>
    <xf numFmtId="2" fontId="62" fillId="0" borderId="1" xfId="23" applyNumberFormat="1" applyFont="1" applyBorder="1" applyAlignment="1">
      <alignment horizontal="center" vertical="center"/>
    </xf>
    <xf numFmtId="0" fontId="62" fillId="0" borderId="1" xfId="23" applyFont="1" applyBorder="1" applyAlignment="1">
      <alignment vertical="center"/>
    </xf>
    <xf numFmtId="0" fontId="63" fillId="0" borderId="1" xfId="23" applyFont="1" applyBorder="1" applyAlignment="1">
      <alignment horizontal="center" vertical="center"/>
    </xf>
    <xf numFmtId="43" fontId="63" fillId="0" borderId="1" xfId="24" applyFont="1" applyBorder="1" applyAlignment="1">
      <alignment vertical="center"/>
    </xf>
    <xf numFmtId="0" fontId="63" fillId="0" borderId="1" xfId="23" applyFont="1" applyBorder="1" applyAlignment="1">
      <alignment vertical="center"/>
    </xf>
    <xf numFmtId="43" fontId="63" fillId="8" borderId="1" xfId="24" applyFont="1" applyFill="1" applyBorder="1" applyAlignment="1">
      <alignment vertical="center"/>
    </xf>
    <xf numFmtId="0" fontId="64" fillId="0" borderId="1" xfId="23" applyFont="1" applyBorder="1"/>
    <xf numFmtId="2" fontId="63" fillId="0" borderId="1" xfId="23" applyNumberFormat="1" applyFont="1" applyBorder="1" applyAlignment="1">
      <alignment horizontal="center" vertical="center"/>
    </xf>
    <xf numFmtId="43" fontId="63" fillId="0" borderId="1" xfId="24" applyFont="1" applyBorder="1" applyAlignment="1">
      <alignment horizontal="center" vertical="center"/>
    </xf>
    <xf numFmtId="43" fontId="63" fillId="0" borderId="1" xfId="24" applyFont="1" applyFill="1" applyBorder="1" applyAlignment="1">
      <alignment vertical="center"/>
    </xf>
    <xf numFmtId="2" fontId="63" fillId="0" borderId="1" xfId="23" applyNumberFormat="1" applyFont="1" applyBorder="1" applyAlignment="1">
      <alignment vertical="center"/>
    </xf>
    <xf numFmtId="0" fontId="65" fillId="0" borderId="1" xfId="23" applyFont="1" applyBorder="1" applyAlignment="1">
      <alignment wrapText="1"/>
    </xf>
    <xf numFmtId="0" fontId="63" fillId="0" borderId="15" xfId="23" applyFont="1" applyBorder="1" applyAlignment="1">
      <alignment vertical="center"/>
    </xf>
    <xf numFmtId="9" fontId="63" fillId="0" borderId="1" xfId="24" applyNumberFormat="1" applyFont="1" applyFill="1" applyBorder="1" applyAlignment="1">
      <alignment vertical="center"/>
    </xf>
    <xf numFmtId="2" fontId="61" fillId="0" borderId="1" xfId="23" applyNumberFormat="1" applyFont="1" applyBorder="1" applyAlignment="1">
      <alignment horizontal="center" vertical="center"/>
    </xf>
    <xf numFmtId="0" fontId="61" fillId="0" borderId="15" xfId="23" applyFont="1" applyBorder="1" applyAlignment="1">
      <alignment vertical="center"/>
    </xf>
    <xf numFmtId="0" fontId="61" fillId="0" borderId="1" xfId="23" applyFont="1" applyBorder="1" applyAlignment="1">
      <alignment vertical="center"/>
    </xf>
    <xf numFmtId="43" fontId="61" fillId="0" borderId="1" xfId="24" applyFont="1" applyBorder="1" applyAlignment="1">
      <alignment vertical="center"/>
    </xf>
    <xf numFmtId="43" fontId="61" fillId="8" borderId="1" xfId="24" applyFont="1" applyFill="1" applyBorder="1" applyAlignment="1">
      <alignment vertical="center"/>
    </xf>
    <xf numFmtId="43" fontId="61" fillId="0" borderId="1" xfId="24" applyFont="1" applyBorder="1" applyAlignment="1">
      <alignment horizontal="center" vertical="center"/>
    </xf>
    <xf numFmtId="0" fontId="63" fillId="0" borderId="1" xfId="23" applyFont="1" applyBorder="1" applyAlignment="1">
      <alignment vertical="center" wrapText="1"/>
    </xf>
    <xf numFmtId="0" fontId="65" fillId="0" borderId="1" xfId="23" applyFont="1" applyBorder="1"/>
    <xf numFmtId="0" fontId="63" fillId="0" borderId="1" xfId="23" applyFont="1" applyBorder="1" applyAlignment="1">
      <alignment vertical="justify"/>
    </xf>
    <xf numFmtId="43" fontId="66" fillId="8" borderId="1" xfId="24" applyFont="1" applyFill="1" applyBorder="1" applyAlignment="1">
      <alignment vertical="center"/>
    </xf>
    <xf numFmtId="43" fontId="66" fillId="0" borderId="1" xfId="24" applyFont="1" applyBorder="1" applyAlignment="1">
      <alignment vertical="center"/>
    </xf>
    <xf numFmtId="2" fontId="66" fillId="0" borderId="1" xfId="23" applyNumberFormat="1" applyFont="1" applyBorder="1" applyAlignment="1">
      <alignment vertical="center"/>
    </xf>
    <xf numFmtId="0" fontId="61" fillId="0" borderId="15" xfId="23" applyFont="1" applyBorder="1" applyAlignment="1">
      <alignment horizontal="left" vertical="center"/>
    </xf>
    <xf numFmtId="0" fontId="64" fillId="0" borderId="30" xfId="23" applyFont="1" applyBorder="1"/>
    <xf numFmtId="10" fontId="63" fillId="0" borderId="1" xfId="23" applyNumberFormat="1" applyFont="1" applyBorder="1" applyAlignment="1">
      <alignment vertical="center"/>
    </xf>
    <xf numFmtId="0" fontId="63" fillId="0" borderId="15" xfId="23" applyFont="1" applyBorder="1" applyAlignment="1">
      <alignment vertical="center" wrapText="1"/>
    </xf>
    <xf numFmtId="0" fontId="61" fillId="0" borderId="1" xfId="23" applyFont="1" applyBorder="1" applyAlignment="1">
      <alignment horizontal="center" vertical="center"/>
    </xf>
    <xf numFmtId="0" fontId="63" fillId="8" borderId="1" xfId="23" applyFont="1" applyFill="1" applyBorder="1" applyAlignment="1">
      <alignment vertical="center"/>
    </xf>
    <xf numFmtId="43" fontId="56" fillId="0" borderId="1" xfId="24" applyFont="1" applyBorder="1" applyAlignment="1">
      <alignment vertical="center"/>
    </xf>
    <xf numFmtId="0" fontId="61" fillId="8" borderId="1" xfId="23" applyFont="1" applyFill="1" applyBorder="1" applyAlignment="1">
      <alignment vertical="center"/>
    </xf>
    <xf numFmtId="43" fontId="59" fillId="0" borderId="1" xfId="24" applyFont="1" applyBorder="1" applyAlignment="1">
      <alignment vertical="center"/>
    </xf>
    <xf numFmtId="2" fontId="61" fillId="0" borderId="0" xfId="23" applyNumberFormat="1" applyFont="1" applyAlignment="1">
      <alignment horizontal="center" vertical="center"/>
    </xf>
    <xf numFmtId="0" fontId="61" fillId="0" borderId="0" xfId="23" applyFont="1" applyAlignment="1">
      <alignment vertical="center"/>
    </xf>
    <xf numFmtId="43" fontId="59" fillId="0" borderId="0" xfId="24" applyFont="1" applyBorder="1" applyAlignment="1">
      <alignment vertical="center"/>
    </xf>
    <xf numFmtId="0" fontId="64" fillId="0" borderId="0" xfId="23" applyFont="1"/>
    <xf numFmtId="0" fontId="57" fillId="0" borderId="0" xfId="23" applyFont="1" applyAlignment="1">
      <alignment vertical="center"/>
    </xf>
    <xf numFmtId="43" fontId="33" fillId="9" borderId="13" xfId="1" applyFont="1" applyFill="1" applyBorder="1"/>
    <xf numFmtId="0" fontId="70" fillId="0" borderId="0" xfId="0" applyFont="1"/>
    <xf numFmtId="170" fontId="33" fillId="0" borderId="24" xfId="1" applyNumberFormat="1" applyFont="1" applyFill="1" applyBorder="1"/>
    <xf numFmtId="0" fontId="33" fillId="0" borderId="1" xfId="0" applyFont="1" applyBorder="1" applyAlignment="1">
      <alignment horizontal="right" wrapText="1"/>
    </xf>
    <xf numFmtId="170" fontId="33" fillId="0" borderId="1" xfId="1" applyNumberFormat="1" applyFont="1" applyFill="1" applyBorder="1"/>
    <xf numFmtId="169" fontId="33" fillId="0" borderId="1" xfId="0" applyNumberFormat="1" applyFont="1" applyBorder="1"/>
    <xf numFmtId="0" fontId="33" fillId="0" borderId="1" xfId="0" applyFont="1" applyBorder="1"/>
    <xf numFmtId="43" fontId="33" fillId="0" borderId="1" xfId="1" applyFont="1" applyFill="1" applyBorder="1"/>
    <xf numFmtId="43" fontId="33" fillId="0" borderId="1" xfId="0" applyNumberFormat="1" applyFont="1" applyBorder="1"/>
    <xf numFmtId="0" fontId="34" fillId="0" borderId="3" xfId="0" applyFont="1" applyBorder="1" applyAlignment="1">
      <alignment horizontal="left" wrapText="1"/>
    </xf>
    <xf numFmtId="170" fontId="33" fillId="0" borderId="3" xfId="1" applyNumberFormat="1" applyFont="1" applyFill="1" applyBorder="1"/>
    <xf numFmtId="169" fontId="33" fillId="0" borderId="3" xfId="0" applyNumberFormat="1" applyFont="1" applyBorder="1"/>
    <xf numFmtId="0" fontId="33" fillId="0" borderId="3" xfId="0" applyFont="1" applyBorder="1"/>
    <xf numFmtId="43" fontId="33" fillId="0" borderId="3" xfId="1" applyFont="1" applyFill="1" applyBorder="1"/>
    <xf numFmtId="43" fontId="33" fillId="0" borderId="3" xfId="0" applyNumberFormat="1" applyFont="1" applyBorder="1"/>
    <xf numFmtId="0" fontId="33" fillId="0" borderId="13" xfId="1" applyNumberFormat="1" applyFont="1" applyFill="1" applyBorder="1" applyAlignment="1">
      <alignment horizontal="right"/>
    </xf>
    <xf numFmtId="0" fontId="38" fillId="0" borderId="13" xfId="27" applyFont="1" applyBorder="1" applyAlignment="1">
      <alignment wrapText="1"/>
    </xf>
    <xf numFmtId="0" fontId="35" fillId="0" borderId="19" xfId="0" applyFont="1" applyBorder="1" applyAlignment="1">
      <alignment wrapText="1"/>
    </xf>
    <xf numFmtId="170" fontId="33" fillId="0" borderId="19" xfId="0" applyNumberFormat="1" applyFont="1" applyBorder="1"/>
    <xf numFmtId="43" fontId="70" fillId="0" borderId="0" xfId="1" applyFont="1"/>
    <xf numFmtId="0" fontId="38" fillId="0" borderId="13" xfId="27" applyFont="1" applyBorder="1" applyAlignment="1">
      <alignment horizontal="right" wrapText="1"/>
    </xf>
    <xf numFmtId="0" fontId="38" fillId="0" borderId="13" xfId="27" applyFont="1" applyBorder="1" applyAlignment="1">
      <alignment horizontal="left" wrapText="1"/>
    </xf>
    <xf numFmtId="0" fontId="0" fillId="12" borderId="0" xfId="0" applyFill="1"/>
    <xf numFmtId="0" fontId="72" fillId="0" borderId="0" xfId="29" applyFont="1"/>
    <xf numFmtId="0" fontId="67" fillId="0" borderId="0" xfId="29" applyFont="1" applyAlignment="1">
      <alignment horizontal="center"/>
    </xf>
    <xf numFmtId="2" fontId="67" fillId="0" borderId="0" xfId="29" applyNumberFormat="1" applyFont="1"/>
    <xf numFmtId="43" fontId="67" fillId="0" borderId="0" xfId="8" applyFont="1" applyFill="1" applyAlignment="1">
      <alignment horizontal="center"/>
    </xf>
    <xf numFmtId="43" fontId="73" fillId="0" borderId="0" xfId="1" applyFont="1" applyFill="1" applyAlignment="1">
      <alignment horizontal="center"/>
    </xf>
    <xf numFmtId="0" fontId="73" fillId="0" borderId="0" xfId="29" applyFont="1"/>
    <xf numFmtId="43" fontId="73" fillId="0" borderId="0" xfId="1" applyFont="1" applyFill="1"/>
    <xf numFmtId="0" fontId="67" fillId="0" borderId="0" xfId="29" applyFont="1"/>
    <xf numFmtId="2" fontId="67" fillId="0" borderId="0" xfId="29" applyNumberFormat="1" applyFont="1" applyAlignment="1">
      <alignment horizontal="center"/>
    </xf>
    <xf numFmtId="0" fontId="74" fillId="0" borderId="0" xfId="29" applyFont="1" applyAlignment="1">
      <alignment vertical="center"/>
    </xf>
    <xf numFmtId="43" fontId="73" fillId="0" borderId="0" xfId="8" applyFont="1" applyFill="1"/>
    <xf numFmtId="0" fontId="67" fillId="0" borderId="0" xfId="8" applyNumberFormat="1" applyFont="1" applyFill="1" applyAlignment="1">
      <alignment horizontal="center"/>
    </xf>
    <xf numFmtId="2" fontId="67" fillId="0" borderId="0" xfId="8" applyNumberFormat="1" applyFont="1" applyFill="1"/>
    <xf numFmtId="43" fontId="73" fillId="0" borderId="0" xfId="30" applyFont="1" applyFill="1"/>
    <xf numFmtId="3" fontId="73" fillId="0" borderId="0" xfId="29" applyNumberFormat="1" applyFont="1"/>
    <xf numFmtId="43" fontId="73" fillId="0" borderId="0" xfId="29" applyNumberFormat="1" applyFont="1"/>
    <xf numFmtId="43" fontId="72" fillId="0" borderId="0" xfId="29" applyNumberFormat="1" applyFont="1" applyAlignment="1">
      <alignment horizontal="center"/>
    </xf>
    <xf numFmtId="2" fontId="73" fillId="0" borderId="0" xfId="8" applyNumberFormat="1" applyFont="1" applyFill="1"/>
    <xf numFmtId="43" fontId="72" fillId="3" borderId="0" xfId="29" applyNumberFormat="1" applyFont="1" applyFill="1" applyAlignment="1">
      <alignment horizontal="center"/>
    </xf>
    <xf numFmtId="171" fontId="72" fillId="0" borderId="0" xfId="29" applyNumberFormat="1" applyFont="1" applyAlignment="1">
      <alignment horizontal="center"/>
    </xf>
    <xf numFmtId="171" fontId="67" fillId="0" borderId="0" xfId="8" applyNumberFormat="1" applyFont="1" applyFill="1" applyAlignment="1">
      <alignment horizontal="center"/>
    </xf>
    <xf numFmtId="0" fontId="67" fillId="0" borderId="2" xfId="29" applyFont="1" applyBorder="1"/>
    <xf numFmtId="0" fontId="67" fillId="0" borderId="2" xfId="8" applyNumberFormat="1" applyFont="1" applyFill="1" applyBorder="1" applyAlignment="1">
      <alignment horizontal="center"/>
    </xf>
    <xf numFmtId="2" fontId="67" fillId="0" borderId="2" xfId="8" applyNumberFormat="1" applyFont="1" applyFill="1" applyBorder="1"/>
    <xf numFmtId="43" fontId="67" fillId="0" borderId="2" xfId="8" applyFont="1" applyFill="1" applyBorder="1" applyAlignment="1">
      <alignment horizontal="center"/>
    </xf>
    <xf numFmtId="43" fontId="67" fillId="0" borderId="2" xfId="29" applyNumberFormat="1" applyFont="1" applyBorder="1" applyAlignment="1">
      <alignment horizontal="center"/>
    </xf>
    <xf numFmtId="43" fontId="73" fillId="0" borderId="2" xfId="1" applyFont="1" applyFill="1" applyBorder="1" applyAlignment="1">
      <alignment horizontal="center"/>
    </xf>
    <xf numFmtId="0" fontId="73" fillId="0" borderId="2" xfId="29" applyFont="1" applyBorder="1"/>
    <xf numFmtId="43" fontId="73" fillId="0" borderId="2" xfId="29" applyNumberFormat="1" applyFont="1" applyBorder="1"/>
    <xf numFmtId="43" fontId="73" fillId="0" borderId="2" xfId="1" applyFont="1" applyFill="1" applyBorder="1"/>
    <xf numFmtId="0" fontId="67" fillId="0" borderId="0" xfId="8" applyNumberFormat="1" applyFont="1" applyFill="1" applyBorder="1" applyAlignment="1">
      <alignment horizontal="center"/>
    </xf>
    <xf numFmtId="2" fontId="67" fillId="0" borderId="0" xfId="8" applyNumberFormat="1" applyFont="1" applyFill="1" applyBorder="1"/>
    <xf numFmtId="43" fontId="67" fillId="0" borderId="0" xfId="8" applyFont="1" applyFill="1" applyBorder="1" applyAlignment="1">
      <alignment horizontal="center"/>
    </xf>
    <xf numFmtId="43" fontId="73" fillId="0" borderId="0" xfId="1" applyFont="1" applyFill="1" applyBorder="1" applyAlignment="1">
      <alignment horizontal="center"/>
    </xf>
    <xf numFmtId="43" fontId="73" fillId="0" borderId="0" xfId="1" applyFont="1" applyFill="1" applyBorder="1"/>
    <xf numFmtId="0" fontId="72" fillId="0" borderId="0" xfId="29" applyFont="1" applyAlignment="1">
      <alignment horizontal="center" vertical="center"/>
    </xf>
    <xf numFmtId="2" fontId="67" fillId="0" borderId="0" xfId="29" applyNumberFormat="1" applyFont="1" applyAlignment="1">
      <alignment vertical="center"/>
    </xf>
    <xf numFmtId="171" fontId="67" fillId="0" borderId="0" xfId="29" applyNumberFormat="1" applyFont="1" applyAlignment="1">
      <alignment horizontal="center" vertical="center"/>
    </xf>
    <xf numFmtId="43" fontId="67" fillId="0" borderId="0" xfId="8" applyFont="1" applyFill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/>
    </xf>
    <xf numFmtId="43" fontId="73" fillId="0" borderId="0" xfId="1" applyFont="1" applyFill="1" applyBorder="1" applyAlignment="1">
      <alignment vertical="center"/>
    </xf>
    <xf numFmtId="0" fontId="73" fillId="0" borderId="0" xfId="29" applyFont="1" applyAlignment="1">
      <alignment vertical="center"/>
    </xf>
    <xf numFmtId="43" fontId="73" fillId="0" borderId="0" xfId="1" applyFont="1" applyFill="1" applyAlignment="1">
      <alignment vertical="center"/>
    </xf>
    <xf numFmtId="171" fontId="67" fillId="0" borderId="0" xfId="29" applyNumberFormat="1" applyFont="1" applyAlignment="1">
      <alignment horizontal="center"/>
    </xf>
    <xf numFmtId="43" fontId="72" fillId="3" borderId="0" xfId="1" applyFont="1" applyFill="1" applyBorder="1" applyAlignment="1">
      <alignment horizontal="center"/>
    </xf>
    <xf numFmtId="43" fontId="72" fillId="0" borderId="0" xfId="1" applyFont="1" applyFill="1" applyBorder="1" applyAlignment="1">
      <alignment horizontal="center"/>
    </xf>
    <xf numFmtId="43" fontId="75" fillId="0" borderId="0" xfId="1" applyFont="1" applyFill="1" applyBorder="1" applyAlignment="1">
      <alignment horizontal="center"/>
    </xf>
    <xf numFmtId="0" fontId="67" fillId="0" borderId="2" xfId="29" applyFont="1" applyBorder="1" applyAlignment="1">
      <alignment horizontal="center"/>
    </xf>
    <xf numFmtId="2" fontId="67" fillId="0" borderId="2" xfId="29" applyNumberFormat="1" applyFont="1" applyBorder="1"/>
    <xf numFmtId="171" fontId="67" fillId="0" borderId="2" xfId="29" applyNumberFormat="1" applyFont="1" applyBorder="1" applyAlignment="1">
      <alignment horizontal="center"/>
    </xf>
    <xf numFmtId="43" fontId="67" fillId="0" borderId="2" xfId="1" applyFont="1" applyFill="1" applyBorder="1" applyAlignment="1">
      <alignment horizontal="center"/>
    </xf>
    <xf numFmtId="43" fontId="67" fillId="0" borderId="0" xfId="1" applyFont="1" applyFill="1" applyBorder="1" applyAlignment="1">
      <alignment horizontal="center"/>
    </xf>
    <xf numFmtId="0" fontId="73" fillId="0" borderId="0" xfId="29" applyFont="1" applyAlignment="1">
      <alignment vertical="center" wrapText="1"/>
    </xf>
    <xf numFmtId="171" fontId="73" fillId="0" borderId="0" xfId="29" applyNumberFormat="1" applyFont="1"/>
    <xf numFmtId="43" fontId="72" fillId="0" borderId="0" xfId="8" applyFont="1" applyFill="1" applyBorder="1" applyAlignment="1">
      <alignment horizontal="center"/>
    </xf>
    <xf numFmtId="0" fontId="74" fillId="0" borderId="0" xfId="29" applyFont="1" applyAlignment="1">
      <alignment horizontal="center" vertical="center"/>
    </xf>
    <xf numFmtId="2" fontId="76" fillId="0" borderId="0" xfId="29" applyNumberFormat="1" applyFont="1" applyAlignment="1">
      <alignment vertical="center"/>
    </xf>
    <xf numFmtId="2" fontId="76" fillId="0" borderId="0" xfId="29" applyNumberFormat="1" applyFont="1" applyAlignment="1">
      <alignment horizontal="left" vertical="center" wrapText="1"/>
    </xf>
    <xf numFmtId="2" fontId="76" fillId="0" borderId="0" xfId="29" applyNumberFormat="1" applyFont="1" applyAlignment="1">
      <alignment horizontal="center" vertical="center" wrapText="1"/>
    </xf>
    <xf numFmtId="171" fontId="76" fillId="0" borderId="0" xfId="29" applyNumberFormat="1" applyFont="1" applyAlignment="1">
      <alignment horizontal="center" vertical="center" wrapText="1"/>
    </xf>
    <xf numFmtId="43" fontId="76" fillId="0" borderId="0" xfId="8" applyFont="1" applyFill="1" applyBorder="1" applyAlignment="1">
      <alignment horizontal="center" vertical="center"/>
    </xf>
    <xf numFmtId="43" fontId="76" fillId="0" borderId="0" xfId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vertical="center"/>
    </xf>
    <xf numFmtId="0" fontId="77" fillId="0" borderId="0" xfId="29" applyFont="1" applyAlignment="1">
      <alignment vertical="center" wrapText="1"/>
    </xf>
    <xf numFmtId="0" fontId="77" fillId="0" borderId="0" xfId="29" applyFont="1" applyAlignment="1">
      <alignment vertical="center"/>
    </xf>
    <xf numFmtId="43" fontId="77" fillId="0" borderId="0" xfId="1" applyFont="1" applyFill="1" applyAlignment="1">
      <alignment vertical="center"/>
    </xf>
    <xf numFmtId="0" fontId="71" fillId="0" borderId="0" xfId="28" applyNumberFormat="1" applyFill="1" applyAlignment="1">
      <alignment horizontal="center"/>
    </xf>
    <xf numFmtId="0" fontId="78" fillId="0" borderId="0" xfId="28" applyNumberFormat="1" applyFont="1" applyFill="1" applyAlignment="1">
      <alignment horizontal="center"/>
    </xf>
    <xf numFmtId="43" fontId="67" fillId="3" borderId="0" xfId="1" applyFont="1" applyFill="1" applyBorder="1" applyAlignment="1">
      <alignment horizontal="center"/>
    </xf>
    <xf numFmtId="171" fontId="67" fillId="0" borderId="2" xfId="8" applyNumberFormat="1" applyFont="1" applyFill="1" applyBorder="1" applyAlignment="1">
      <alignment horizontal="center"/>
    </xf>
    <xf numFmtId="0" fontId="73" fillId="0" borderId="0" xfId="8" applyNumberFormat="1" applyFont="1" applyFill="1" applyAlignment="1">
      <alignment horizontal="center"/>
    </xf>
    <xf numFmtId="43" fontId="73" fillId="0" borderId="0" xfId="8" applyFont="1" applyFill="1" applyAlignment="1">
      <alignment horizontal="center"/>
    </xf>
    <xf numFmtId="43" fontId="72" fillId="0" borderId="2" xfId="8" applyFont="1" applyFill="1" applyBorder="1" applyAlignment="1">
      <alignment horizontal="center" vertical="top"/>
    </xf>
    <xf numFmtId="0" fontId="67" fillId="0" borderId="16" xfId="29" applyFont="1" applyBorder="1"/>
    <xf numFmtId="0" fontId="67" fillId="0" borderId="16" xfId="8" applyNumberFormat="1" applyFont="1" applyFill="1" applyBorder="1" applyAlignment="1">
      <alignment horizontal="center"/>
    </xf>
    <xf numFmtId="2" fontId="67" fillId="0" borderId="16" xfId="8" applyNumberFormat="1" applyFont="1" applyFill="1" applyBorder="1"/>
    <xf numFmtId="43" fontId="67" fillId="0" borderId="16" xfId="8" applyFont="1" applyFill="1" applyBorder="1" applyAlignment="1">
      <alignment horizontal="center"/>
    </xf>
    <xf numFmtId="0" fontId="67" fillId="0" borderId="16" xfId="29" applyFont="1" applyBorder="1" applyAlignment="1">
      <alignment horizontal="center"/>
    </xf>
    <xf numFmtId="43" fontId="73" fillId="0" borderId="16" xfId="1" applyFont="1" applyFill="1" applyBorder="1" applyAlignment="1">
      <alignment horizontal="center"/>
    </xf>
    <xf numFmtId="0" fontId="73" fillId="0" borderId="16" xfId="29" applyFont="1" applyBorder="1"/>
    <xf numFmtId="43" fontId="73" fillId="0" borderId="16" xfId="1" applyFont="1" applyFill="1" applyBorder="1"/>
    <xf numFmtId="43" fontId="67" fillId="0" borderId="0" xfId="29" applyNumberFormat="1" applyFont="1" applyAlignment="1">
      <alignment horizontal="center"/>
    </xf>
    <xf numFmtId="43" fontId="67" fillId="0" borderId="0" xfId="1" applyFont="1" applyFill="1"/>
    <xf numFmtId="43" fontId="67" fillId="0" borderId="0" xfId="1" applyFont="1" applyFill="1" applyAlignment="1">
      <alignment horizontal="center"/>
    </xf>
    <xf numFmtId="43" fontId="73" fillId="0" borderId="0" xfId="8" applyFont="1" applyFill="1" applyBorder="1"/>
    <xf numFmtId="0" fontId="76" fillId="0" borderId="0" xfId="29" applyFont="1"/>
    <xf numFmtId="0" fontId="76" fillId="0" borderId="0" xfId="29" applyFont="1" applyAlignment="1">
      <alignment horizontal="center"/>
    </xf>
    <xf numFmtId="2" fontId="76" fillId="0" borderId="0" xfId="29" applyNumberFormat="1" applyFont="1"/>
    <xf numFmtId="43" fontId="72" fillId="0" borderId="23" xfId="8" applyFont="1" applyFill="1" applyBorder="1" applyAlignment="1">
      <alignment horizontal="center"/>
    </xf>
    <xf numFmtId="43" fontId="76" fillId="0" borderId="0" xfId="1" applyFont="1" applyFill="1" applyBorder="1" applyAlignment="1">
      <alignment horizontal="center"/>
    </xf>
    <xf numFmtId="43" fontId="77" fillId="0" borderId="0" xfId="29" applyNumberFormat="1" applyFont="1"/>
    <xf numFmtId="0" fontId="77" fillId="0" borderId="0" xfId="29" applyFont="1"/>
    <xf numFmtId="43" fontId="77" fillId="0" borderId="0" xfId="1" applyFont="1" applyFill="1"/>
    <xf numFmtId="0" fontId="67" fillId="0" borderId="23" xfId="29" applyFont="1" applyBorder="1"/>
    <xf numFmtId="0" fontId="67" fillId="0" borderId="23" xfId="29" applyFont="1" applyBorder="1" applyAlignment="1">
      <alignment horizontal="center"/>
    </xf>
    <xf numFmtId="2" fontId="67" fillId="0" borderId="23" xfId="29" applyNumberFormat="1" applyFont="1" applyBorder="1"/>
    <xf numFmtId="43" fontId="72" fillId="0" borderId="23" xfId="8" applyFont="1" applyFill="1" applyBorder="1" applyAlignment="1">
      <alignment horizontal="center" vertical="top"/>
    </xf>
    <xf numFmtId="43" fontId="73" fillId="0" borderId="23" xfId="1" applyFont="1" applyFill="1" applyBorder="1" applyAlignment="1">
      <alignment horizontal="center"/>
    </xf>
    <xf numFmtId="0" fontId="73" fillId="0" borderId="23" xfId="29" applyFont="1" applyBorder="1"/>
    <xf numFmtId="43" fontId="72" fillId="0" borderId="0" xfId="8" applyFont="1" applyFill="1" applyBorder="1" applyAlignment="1">
      <alignment horizontal="center" vertical="top"/>
    </xf>
    <xf numFmtId="43" fontId="67" fillId="0" borderId="0" xfId="8" applyFont="1" applyFill="1" applyBorder="1" applyAlignment="1">
      <alignment horizontal="center" vertical="top"/>
    </xf>
    <xf numFmtId="43" fontId="67" fillId="0" borderId="0" xfId="1" applyFont="1" applyFill="1" applyBorder="1"/>
    <xf numFmtId="0" fontId="79" fillId="0" borderId="0" xfId="29" applyFont="1"/>
    <xf numFmtId="0" fontId="79" fillId="0" borderId="0" xfId="29" applyFont="1" applyAlignment="1">
      <alignment horizontal="center"/>
    </xf>
    <xf numFmtId="2" fontId="79" fillId="0" borderId="0" xfId="29" applyNumberFormat="1" applyFont="1"/>
    <xf numFmtId="43" fontId="72" fillId="0" borderId="2" xfId="8" applyFont="1" applyFill="1" applyBorder="1" applyAlignment="1">
      <alignment horizontal="center"/>
    </xf>
    <xf numFmtId="0" fontId="73" fillId="0" borderId="0" xfId="29" applyFont="1" applyAlignment="1">
      <alignment horizontal="center"/>
    </xf>
    <xf numFmtId="2" fontId="73" fillId="0" borderId="0" xfId="29" applyNumberFormat="1" applyFont="1"/>
    <xf numFmtId="2" fontId="67" fillId="0" borderId="0" xfId="8" applyNumberFormat="1" applyFont="1" applyFill="1" applyAlignment="1">
      <alignment horizontal="right"/>
    </xf>
    <xf numFmtId="0" fontId="67" fillId="0" borderId="0" xfId="29" quotePrefix="1" applyFont="1" applyAlignment="1">
      <alignment horizontal="center"/>
    </xf>
    <xf numFmtId="0" fontId="67" fillId="0" borderId="0" xfId="8" quotePrefix="1" applyNumberFormat="1" applyFont="1" applyFill="1" applyAlignment="1">
      <alignment horizontal="center"/>
    </xf>
    <xf numFmtId="43" fontId="72" fillId="0" borderId="0" xfId="8" applyFont="1" applyFill="1" applyAlignment="1">
      <alignment horizontal="center"/>
    </xf>
    <xf numFmtId="43" fontId="67" fillId="0" borderId="0" xfId="8" applyFont="1" applyFill="1" applyBorder="1"/>
    <xf numFmtId="43" fontId="72" fillId="0" borderId="0" xfId="1" applyFont="1" applyFill="1" applyAlignment="1">
      <alignment horizontal="center"/>
    </xf>
    <xf numFmtId="43" fontId="67" fillId="0" borderId="0" xfId="29" applyNumberFormat="1" applyFont="1"/>
    <xf numFmtId="43" fontId="75" fillId="0" borderId="2" xfId="1" applyFont="1" applyFill="1" applyBorder="1" applyAlignment="1">
      <alignment horizontal="center"/>
    </xf>
    <xf numFmtId="2" fontId="79" fillId="0" borderId="0" xfId="8" applyNumberFormat="1" applyFont="1" applyFill="1" applyBorder="1"/>
    <xf numFmtId="2" fontId="79" fillId="0" borderId="2" xfId="8" applyNumberFormat="1" applyFont="1" applyFill="1" applyBorder="1"/>
    <xf numFmtId="2" fontId="79" fillId="0" borderId="2" xfId="29" applyNumberFormat="1" applyFont="1" applyBorder="1"/>
    <xf numFmtId="43" fontId="72" fillId="0" borderId="2" xfId="29" applyNumberFormat="1" applyFont="1" applyBorder="1" applyAlignment="1">
      <alignment horizontal="center"/>
    </xf>
    <xf numFmtId="0" fontId="76" fillId="0" borderId="0" xfId="31" applyFont="1" applyFill="1" applyBorder="1" applyAlignment="1" applyProtection="1"/>
    <xf numFmtId="43" fontId="67" fillId="0" borderId="2" xfId="1" applyFont="1" applyFill="1" applyBorder="1"/>
    <xf numFmtId="43" fontId="67" fillId="0" borderId="23" xfId="8" applyFont="1" applyFill="1" applyBorder="1" applyAlignment="1">
      <alignment horizontal="center"/>
    </xf>
    <xf numFmtId="43" fontId="67" fillId="0" borderId="23" xfId="29" applyNumberFormat="1" applyFont="1" applyBorder="1" applyAlignment="1">
      <alignment horizontal="center"/>
    </xf>
    <xf numFmtId="43" fontId="67" fillId="0" borderId="23" xfId="1" applyFont="1" applyFill="1" applyBorder="1" applyAlignment="1">
      <alignment horizontal="center"/>
    </xf>
    <xf numFmtId="43" fontId="67" fillId="0" borderId="23" xfId="1" applyFont="1" applyFill="1" applyBorder="1"/>
    <xf numFmtId="43" fontId="73" fillId="0" borderId="0" xfId="8" applyFont="1" applyFill="1" applyBorder="1" applyAlignment="1">
      <alignment horizontal="center"/>
    </xf>
    <xf numFmtId="0" fontId="73" fillId="0" borderId="23" xfId="29" applyFont="1" applyBorder="1" applyAlignment="1">
      <alignment horizontal="center"/>
    </xf>
    <xf numFmtId="2" fontId="73" fillId="0" borderId="23" xfId="29" applyNumberFormat="1" applyFont="1" applyBorder="1"/>
    <xf numFmtId="43" fontId="73" fillId="0" borderId="23" xfId="8" applyFont="1" applyFill="1" applyBorder="1" applyAlignment="1">
      <alignment horizontal="center"/>
    </xf>
    <xf numFmtId="43" fontId="73" fillId="0" borderId="23" xfId="1" applyFont="1" applyFill="1" applyBorder="1"/>
    <xf numFmtId="2" fontId="72" fillId="0" borderId="0" xfId="29" applyNumberFormat="1" applyFont="1"/>
    <xf numFmtId="2" fontId="72" fillId="3" borderId="0" xfId="29" applyNumberFormat="1" applyFont="1" applyFill="1"/>
    <xf numFmtId="43" fontId="67" fillId="3" borderId="0" xfId="29" applyNumberFormat="1" applyFont="1" applyFill="1"/>
    <xf numFmtId="2" fontId="72" fillId="0" borderId="0" xfId="29" applyNumberFormat="1" applyFont="1" applyAlignment="1">
      <alignment vertical="center"/>
    </xf>
    <xf numFmtId="43" fontId="72" fillId="0" borderId="0" xfId="8" applyFont="1" applyFill="1" applyAlignment="1">
      <alignment horizontal="center" vertical="center"/>
    </xf>
    <xf numFmtId="43" fontId="75" fillId="0" borderId="0" xfId="1" applyFont="1" applyFill="1" applyAlignment="1">
      <alignment horizontal="center" vertical="center"/>
    </xf>
    <xf numFmtId="0" fontId="75" fillId="0" borderId="0" xfId="29" applyFont="1" applyAlignment="1">
      <alignment vertical="center"/>
    </xf>
    <xf numFmtId="43" fontId="75" fillId="0" borderId="0" xfId="1" applyFont="1" applyFill="1" applyAlignment="1">
      <alignment vertical="center"/>
    </xf>
    <xf numFmtId="0" fontId="0" fillId="3" borderId="0" xfId="0" applyFill="1"/>
    <xf numFmtId="0" fontId="42" fillId="3" borderId="0" xfId="0" applyFont="1" applyFill="1"/>
    <xf numFmtId="172" fontId="0" fillId="3" borderId="0" xfId="0" applyNumberFormat="1" applyFill="1" applyAlignment="1">
      <alignment horizontal="center"/>
    </xf>
    <xf numFmtId="0" fontId="42" fillId="3" borderId="12" xfId="0" applyFont="1" applyFill="1" applyBorder="1" applyAlignment="1">
      <alignment horizontal="left"/>
    </xf>
    <xf numFmtId="0" fontId="42" fillId="3" borderId="12" xfId="0" applyFont="1" applyFill="1" applyBorder="1" applyAlignment="1">
      <alignment horizontal="center"/>
    </xf>
    <xf numFmtId="39" fontId="42" fillId="3" borderId="12" xfId="0" applyNumberFormat="1" applyFont="1" applyFill="1" applyBorder="1"/>
    <xf numFmtId="0" fontId="42" fillId="3" borderId="13" xfId="0" applyFont="1" applyFill="1" applyBorder="1" applyAlignment="1">
      <alignment horizontal="left"/>
    </xf>
    <xf numFmtId="0" fontId="42" fillId="3" borderId="13" xfId="0" applyFont="1" applyFill="1" applyBorder="1" applyAlignment="1">
      <alignment horizontal="center"/>
    </xf>
    <xf numFmtId="39" fontId="42" fillId="3" borderId="13" xfId="0" applyNumberFormat="1" applyFont="1" applyFill="1" applyBorder="1"/>
    <xf numFmtId="0" fontId="45" fillId="3" borderId="13" xfId="0" applyFont="1" applyFill="1" applyBorder="1" applyAlignment="1">
      <alignment horizontal="left"/>
    </xf>
    <xf numFmtId="0" fontId="42" fillId="3" borderId="13" xfId="0" applyFont="1" applyFill="1" applyBorder="1" applyAlignment="1">
      <alignment horizontal="left" wrapText="1"/>
    </xf>
    <xf numFmtId="0" fontId="42" fillId="3" borderId="13" xfId="0" applyFont="1" applyFill="1" applyBorder="1" applyAlignment="1">
      <alignment horizontal="center" vertical="center"/>
    </xf>
    <xf numFmtId="39" fontId="42" fillId="3" borderId="13" xfId="0" applyNumberFormat="1" applyFont="1" applyFill="1" applyBorder="1" applyAlignment="1">
      <alignment vertical="center"/>
    </xf>
    <xf numFmtId="39" fontId="47" fillId="3" borderId="13" xfId="0" applyNumberFormat="1" applyFont="1" applyFill="1" applyBorder="1" applyAlignment="1">
      <alignment vertical="center"/>
    </xf>
    <xf numFmtId="9" fontId="42" fillId="3" borderId="13" xfId="3" applyFont="1" applyFill="1" applyBorder="1" applyProtection="1"/>
    <xf numFmtId="0" fontId="42" fillId="3" borderId="13" xfId="0" applyFont="1" applyFill="1" applyBorder="1" applyAlignment="1">
      <alignment horizontal="right"/>
    </xf>
    <xf numFmtId="39" fontId="45" fillId="3" borderId="13" xfId="0" applyNumberFormat="1" applyFont="1" applyFill="1" applyBorder="1"/>
    <xf numFmtId="0" fontId="42" fillId="3" borderId="24" xfId="0" applyFont="1" applyFill="1" applyBorder="1" applyAlignment="1">
      <alignment horizontal="right"/>
    </xf>
    <xf numFmtId="39" fontId="42" fillId="3" borderId="24" xfId="0" applyNumberFormat="1" applyFont="1" applyFill="1" applyBorder="1"/>
    <xf numFmtId="0" fontId="42" fillId="0" borderId="20" xfId="0" applyFont="1" applyBorder="1"/>
    <xf numFmtId="0" fontId="43" fillId="7" borderId="14" xfId="0" applyFont="1" applyFill="1" applyBorder="1" applyAlignment="1">
      <alignment horizontal="right"/>
    </xf>
    <xf numFmtId="0" fontId="43" fillId="7" borderId="14" xfId="0" applyFont="1" applyFill="1" applyBorder="1" applyAlignment="1">
      <alignment horizontal="center"/>
    </xf>
    <xf numFmtId="39" fontId="43" fillId="7" borderId="14" xfId="0" applyNumberFormat="1" applyFont="1" applyFill="1" applyBorder="1"/>
    <xf numFmtId="0" fontId="43" fillId="0" borderId="12" xfId="0" applyFont="1" applyBorder="1"/>
    <xf numFmtId="0" fontId="42" fillId="0" borderId="12" xfId="0" applyFont="1" applyBorder="1"/>
    <xf numFmtId="0" fontId="42" fillId="0" borderId="13" xfId="0" applyFont="1" applyBorder="1" applyAlignment="1">
      <alignment horizontal="left"/>
    </xf>
    <xf numFmtId="0" fontId="42" fillId="0" borderId="13" xfId="0" applyFont="1" applyBorder="1" applyAlignment="1">
      <alignment horizontal="center"/>
    </xf>
    <xf numFmtId="39" fontId="42" fillId="0" borderId="13" xfId="0" applyNumberFormat="1" applyFont="1" applyBorder="1"/>
    <xf numFmtId="0" fontId="45" fillId="0" borderId="13" xfId="0" applyFont="1" applyBorder="1" applyAlignment="1">
      <alignment horizontal="left"/>
    </xf>
    <xf numFmtId="43" fontId="42" fillId="0" borderId="13" xfId="1" applyFont="1" applyBorder="1"/>
    <xf numFmtId="165" fontId="42" fillId="0" borderId="13" xfId="3" applyNumberFormat="1" applyFont="1" applyBorder="1" applyProtection="1"/>
    <xf numFmtId="0" fontId="42" fillId="0" borderId="13" xfId="0" applyFont="1" applyBorder="1"/>
    <xf numFmtId="173" fontId="42" fillId="0" borderId="13" xfId="0" applyNumberFormat="1" applyFont="1" applyBorder="1"/>
    <xf numFmtId="0" fontId="42" fillId="0" borderId="21" xfId="0" applyFont="1" applyBorder="1"/>
    <xf numFmtId="0" fontId="42" fillId="0" borderId="13" xfId="0" applyFont="1" applyBorder="1" applyAlignment="1">
      <alignment horizontal="center" vertical="center"/>
    </xf>
    <xf numFmtId="43" fontId="49" fillId="0" borderId="13" xfId="1" applyFont="1" applyBorder="1"/>
    <xf numFmtId="0" fontId="42" fillId="0" borderId="13" xfId="0" applyFont="1" applyBorder="1" applyAlignment="1">
      <alignment horizontal="right"/>
    </xf>
    <xf numFmtId="9" fontId="42" fillId="0" borderId="13" xfId="3" applyFont="1" applyBorder="1" applyProtection="1"/>
    <xf numFmtId="43" fontId="43" fillId="7" borderId="14" xfId="1" applyFont="1" applyFill="1" applyBorder="1"/>
    <xf numFmtId="9" fontId="43" fillId="7" borderId="14" xfId="1" applyNumberFormat="1" applyFont="1" applyFill="1" applyBorder="1"/>
    <xf numFmtId="0" fontId="42" fillId="0" borderId="12" xfId="0" applyFont="1" applyBorder="1" applyAlignment="1">
      <alignment horizontal="left"/>
    </xf>
    <xf numFmtId="0" fontId="42" fillId="0" borderId="12" xfId="0" applyFont="1" applyBorder="1" applyAlignment="1">
      <alignment horizontal="center"/>
    </xf>
    <xf numFmtId="39" fontId="42" fillId="0" borderId="12" xfId="0" applyNumberFormat="1" applyFont="1" applyBorder="1"/>
    <xf numFmtId="43" fontId="42" fillId="0" borderId="13" xfId="1" applyFont="1" applyBorder="1" applyProtection="1"/>
    <xf numFmtId="39" fontId="45" fillId="0" borderId="13" xfId="0" applyNumberFormat="1" applyFont="1" applyBorder="1"/>
    <xf numFmtId="0" fontId="43" fillId="0" borderId="24" xfId="0" applyFont="1" applyBorder="1" applyAlignment="1">
      <alignment horizontal="right"/>
    </xf>
    <xf numFmtId="0" fontId="43" fillId="0" borderId="24" xfId="0" applyFont="1" applyBorder="1" applyAlignment="1">
      <alignment horizontal="center"/>
    </xf>
    <xf numFmtId="39" fontId="43" fillId="0" borderId="24" xfId="0" applyNumberFormat="1" applyFont="1" applyBorder="1"/>
    <xf numFmtId="0" fontId="42" fillId="7" borderId="14" xfId="0" applyFont="1" applyFill="1" applyBorder="1" applyAlignment="1">
      <alignment horizontal="center"/>
    </xf>
    <xf numFmtId="0" fontId="64" fillId="0" borderId="0" xfId="32" applyFont="1"/>
    <xf numFmtId="0" fontId="54" fillId="0" borderId="20" xfId="32" applyFont="1" applyBorder="1" applyAlignment="1">
      <alignment vertical="center"/>
    </xf>
    <xf numFmtId="0" fontId="56" fillId="0" borderId="0" xfId="32" applyFont="1" applyAlignment="1">
      <alignment horizontal="center" vertical="center"/>
    </xf>
    <xf numFmtId="0" fontId="56" fillId="0" borderId="0" xfId="32" applyFont="1" applyAlignment="1">
      <alignment horizontal="right" vertical="center"/>
    </xf>
    <xf numFmtId="0" fontId="23" fillId="0" borderId="20" xfId="32" applyFont="1" applyBorder="1" applyAlignment="1">
      <alignment vertical="center" wrapText="1"/>
    </xf>
    <xf numFmtId="0" fontId="58" fillId="0" borderId="26" xfId="32" applyFont="1" applyBorder="1" applyAlignment="1">
      <alignment horizontal="center" vertical="justify"/>
    </xf>
    <xf numFmtId="0" fontId="59" fillId="0" borderId="2" xfId="32" applyFont="1" applyBorder="1" applyAlignment="1">
      <alignment horizontal="right" vertical="center"/>
    </xf>
    <xf numFmtId="0" fontId="58" fillId="0" borderId="2" xfId="32" applyFont="1" applyBorder="1" applyAlignment="1">
      <alignment horizontal="center" vertical="center"/>
    </xf>
    <xf numFmtId="0" fontId="59" fillId="0" borderId="2" xfId="32" applyFont="1" applyBorder="1" applyAlignment="1">
      <alignment vertical="center"/>
    </xf>
    <xf numFmtId="0" fontId="60" fillId="0" borderId="2" xfId="32" applyFont="1" applyBorder="1" applyAlignment="1">
      <alignment horizontal="center" vertical="center"/>
    </xf>
    <xf numFmtId="0" fontId="58" fillId="0" borderId="25" xfId="32" applyFont="1" applyBorder="1" applyAlignment="1">
      <alignment horizontal="center" vertical="center"/>
    </xf>
    <xf numFmtId="0" fontId="61" fillId="0" borderId="28" xfId="32" applyFont="1" applyBorder="1" applyAlignment="1">
      <alignment horizontal="center" vertical="center"/>
    </xf>
    <xf numFmtId="0" fontId="58" fillId="0" borderId="28" xfId="32" applyFont="1" applyBorder="1" applyAlignment="1">
      <alignment horizontal="center" vertical="center"/>
    </xf>
    <xf numFmtId="0" fontId="58" fillId="0" borderId="3" xfId="32" applyFont="1" applyBorder="1" applyAlignment="1">
      <alignment horizontal="center" vertical="center"/>
    </xf>
    <xf numFmtId="0" fontId="58" fillId="0" borderId="18" xfId="32" applyFont="1" applyBorder="1" applyAlignment="1">
      <alignment horizontal="center" vertical="center"/>
    </xf>
    <xf numFmtId="0" fontId="61" fillId="0" borderId="18" xfId="32" applyFont="1" applyBorder="1" applyAlignment="1">
      <alignment horizontal="center" vertical="center" wrapText="1"/>
    </xf>
    <xf numFmtId="0" fontId="61" fillId="0" borderId="18" xfId="32" applyFont="1" applyBorder="1" applyAlignment="1">
      <alignment horizontal="center" vertical="center"/>
    </xf>
    <xf numFmtId="0" fontId="19" fillId="0" borderId="18" xfId="32" applyFont="1" applyBorder="1" applyAlignment="1">
      <alignment horizontal="left" vertical="center"/>
    </xf>
    <xf numFmtId="0" fontId="19" fillId="0" borderId="18" xfId="32" applyFont="1" applyBorder="1" applyAlignment="1">
      <alignment horizontal="center" vertical="center"/>
    </xf>
    <xf numFmtId="0" fontId="68" fillId="0" borderId="18" xfId="32" applyFont="1" applyBorder="1" applyAlignment="1">
      <alignment horizontal="center" vertical="center"/>
    </xf>
    <xf numFmtId="0" fontId="83" fillId="0" borderId="18" xfId="32" applyFont="1" applyBorder="1" applyAlignment="1">
      <alignment horizontal="left" vertical="center"/>
    </xf>
    <xf numFmtId="2" fontId="62" fillId="0" borderId="1" xfId="32" applyNumberFormat="1" applyFont="1" applyBorder="1" applyAlignment="1">
      <alignment horizontal="center" vertical="center"/>
    </xf>
    <xf numFmtId="0" fontId="62" fillId="0" borderId="1" xfId="32" applyFont="1" applyBorder="1" applyAlignment="1">
      <alignment vertical="center"/>
    </xf>
    <xf numFmtId="0" fontId="63" fillId="0" borderId="1" xfId="32" applyFont="1" applyBorder="1" applyAlignment="1">
      <alignment horizontal="center" vertical="center"/>
    </xf>
    <xf numFmtId="43" fontId="63" fillId="0" borderId="1" xfId="33" applyFont="1" applyBorder="1" applyAlignment="1">
      <alignment vertical="center"/>
    </xf>
    <xf numFmtId="0" fontId="63" fillId="0" borderId="1" xfId="32" applyFont="1" applyBorder="1" applyAlignment="1">
      <alignment vertical="center"/>
    </xf>
    <xf numFmtId="0" fontId="64" fillId="0" borderId="1" xfId="32" applyFont="1" applyBorder="1"/>
    <xf numFmtId="2" fontId="63" fillId="0" borderId="1" xfId="32" applyNumberFormat="1" applyFont="1" applyBorder="1" applyAlignment="1">
      <alignment horizontal="center" vertical="center"/>
    </xf>
    <xf numFmtId="43" fontId="63" fillId="0" borderId="1" xfId="33" applyFont="1" applyBorder="1" applyAlignment="1">
      <alignment horizontal="center" vertical="center"/>
    </xf>
    <xf numFmtId="43" fontId="63" fillId="0" borderId="1" xfId="33" applyFont="1" applyFill="1" applyBorder="1" applyAlignment="1">
      <alignment vertical="center"/>
    </xf>
    <xf numFmtId="2" fontId="63" fillId="0" borderId="1" xfId="32" applyNumberFormat="1" applyFont="1" applyBorder="1" applyAlignment="1">
      <alignment vertical="center"/>
    </xf>
    <xf numFmtId="0" fontId="65" fillId="0" borderId="1" xfId="32" applyFont="1" applyBorder="1" applyAlignment="1">
      <alignment wrapText="1"/>
    </xf>
    <xf numFmtId="0" fontId="63" fillId="0" borderId="15" xfId="32" applyFont="1" applyBorder="1" applyAlignment="1">
      <alignment vertical="center"/>
    </xf>
    <xf numFmtId="43" fontId="64" fillId="0" borderId="0" xfId="32" applyNumberFormat="1" applyFont="1"/>
    <xf numFmtId="2" fontId="61" fillId="0" borderId="1" xfId="32" applyNumberFormat="1" applyFont="1" applyBorder="1" applyAlignment="1">
      <alignment horizontal="center" vertical="center"/>
    </xf>
    <xf numFmtId="0" fontId="61" fillId="0" borderId="15" xfId="32" applyFont="1" applyBorder="1" applyAlignment="1">
      <alignment vertical="center"/>
    </xf>
    <xf numFmtId="43" fontId="61" fillId="0" borderId="1" xfId="33" applyFont="1" applyBorder="1" applyAlignment="1">
      <alignment vertical="center"/>
    </xf>
    <xf numFmtId="43" fontId="61" fillId="0" borderId="1" xfId="33" applyFont="1" applyBorder="1" applyAlignment="1">
      <alignment horizontal="center" vertical="center"/>
    </xf>
    <xf numFmtId="0" fontId="63" fillId="0" borderId="1" xfId="32" applyFont="1" applyBorder="1" applyAlignment="1">
      <alignment vertical="center" wrapText="1"/>
    </xf>
    <xf numFmtId="0" fontId="65" fillId="0" borderId="1" xfId="32" applyFont="1" applyBorder="1" applyAlignment="1">
      <alignment vertical="top" wrapText="1"/>
    </xf>
    <xf numFmtId="43" fontId="64" fillId="0" borderId="0" xfId="33" applyFont="1"/>
    <xf numFmtId="43" fontId="61" fillId="0" borderId="1" xfId="33" applyFont="1" applyFill="1" applyBorder="1" applyAlignment="1">
      <alignment vertical="center"/>
    </xf>
    <xf numFmtId="0" fontId="61" fillId="0" borderId="15" xfId="32" applyFont="1" applyBorder="1" applyAlignment="1">
      <alignment horizontal="left" vertical="center"/>
    </xf>
    <xf numFmtId="0" fontId="64" fillId="0" borderId="30" xfId="32" applyFont="1" applyBorder="1"/>
    <xf numFmtId="0" fontId="63" fillId="0" borderId="1" xfId="32" applyFont="1" applyBorder="1" applyAlignment="1">
      <alignment vertical="justify"/>
    </xf>
    <xf numFmtId="43" fontId="66" fillId="0" borderId="1" xfId="33" applyFont="1" applyBorder="1" applyAlignment="1">
      <alignment vertical="center"/>
    </xf>
    <xf numFmtId="2" fontId="66" fillId="0" borderId="1" xfId="32" applyNumberFormat="1" applyFont="1" applyBorder="1" applyAlignment="1">
      <alignment vertical="center"/>
    </xf>
    <xf numFmtId="10" fontId="63" fillId="0" borderId="1" xfId="32" applyNumberFormat="1" applyFont="1" applyBorder="1" applyAlignment="1">
      <alignment vertical="center"/>
    </xf>
    <xf numFmtId="10" fontId="31" fillId="0" borderId="1" xfId="32" applyNumberFormat="1" applyFont="1" applyBorder="1" applyAlignment="1">
      <alignment vertical="center"/>
    </xf>
    <xf numFmtId="0" fontId="65" fillId="0" borderId="1" xfId="32" applyFont="1" applyBorder="1"/>
    <xf numFmtId="0" fontId="61" fillId="0" borderId="1" xfId="32" applyFont="1" applyBorder="1" applyAlignment="1">
      <alignment vertical="center"/>
    </xf>
    <xf numFmtId="43" fontId="56" fillId="0" borderId="1" xfId="33" applyFont="1" applyBorder="1" applyAlignment="1">
      <alignment vertical="center"/>
    </xf>
    <xf numFmtId="43" fontId="59" fillId="0" borderId="1" xfId="33" applyFont="1" applyBorder="1" applyAlignment="1">
      <alignment vertical="center"/>
    </xf>
    <xf numFmtId="2" fontId="61" fillId="0" borderId="0" xfId="32" applyNumberFormat="1" applyFont="1" applyAlignment="1">
      <alignment horizontal="center" vertical="center"/>
    </xf>
    <xf numFmtId="0" fontId="61" fillId="0" borderId="0" xfId="32" applyFont="1" applyAlignment="1">
      <alignment vertical="center"/>
    </xf>
    <xf numFmtId="43" fontId="59" fillId="0" borderId="0" xfId="33" applyFont="1" applyBorder="1" applyAlignment="1">
      <alignment vertical="center"/>
    </xf>
    <xf numFmtId="43" fontId="56" fillId="0" borderId="0" xfId="33" applyFont="1" applyBorder="1" applyAlignment="1">
      <alignment vertical="center"/>
    </xf>
    <xf numFmtId="0" fontId="11" fillId="0" borderId="0" xfId="32"/>
    <xf numFmtId="0" fontId="0" fillId="0" borderId="0" xfId="32" applyFont="1"/>
    <xf numFmtId="0" fontId="11" fillId="0" borderId="0" xfId="32" applyAlignment="1">
      <alignment horizontal="center"/>
    </xf>
    <xf numFmtId="43" fontId="11" fillId="0" borderId="0" xfId="1" applyFont="1" applyAlignment="1">
      <alignment horizontal="center"/>
    </xf>
    <xf numFmtId="9" fontId="11" fillId="0" borderId="0" xfId="34" applyAlignment="1"/>
    <xf numFmtId="43" fontId="82" fillId="0" borderId="0" xfId="1" applyFont="1" applyAlignment="1">
      <alignment horizontal="center"/>
    </xf>
    <xf numFmtId="43" fontId="11" fillId="0" borderId="0" xfId="32" applyNumberFormat="1"/>
    <xf numFmtId="43" fontId="11" fillId="0" borderId="0" xfId="32" applyNumberFormat="1" applyAlignment="1">
      <alignment horizontal="center"/>
    </xf>
    <xf numFmtId="43" fontId="70" fillId="5" borderId="0" xfId="0" applyNumberFormat="1" applyFont="1" applyFill="1"/>
    <xf numFmtId="43" fontId="70" fillId="5" borderId="0" xfId="1" applyFont="1" applyFill="1"/>
    <xf numFmtId="0" fontId="0" fillId="4" borderId="0" xfId="0" applyFill="1"/>
    <xf numFmtId="0" fontId="0" fillId="0" borderId="3" xfId="0" applyBorder="1"/>
    <xf numFmtId="0" fontId="0" fillId="0" borderId="20" xfId="0" applyBorder="1"/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43" fontId="33" fillId="0" borderId="13" xfId="1" applyFont="1" applyFill="1" applyBorder="1" applyAlignment="1">
      <alignment horizontal="right"/>
    </xf>
    <xf numFmtId="0" fontId="33" fillId="0" borderId="27" xfId="0" applyFont="1" applyBorder="1" applyAlignment="1">
      <alignment wrapText="1"/>
    </xf>
    <xf numFmtId="2" fontId="33" fillId="0" borderId="0" xfId="0" applyNumberFormat="1" applyFont="1"/>
    <xf numFmtId="170" fontId="33" fillId="0" borderId="0" xfId="0" applyNumberFormat="1" applyFont="1"/>
    <xf numFmtId="169" fontId="33" fillId="0" borderId="0" xfId="0" applyNumberFormat="1" applyFont="1"/>
    <xf numFmtId="0" fontId="33" fillId="0" borderId="0" xfId="0" applyFont="1"/>
    <xf numFmtId="43" fontId="33" fillId="0" borderId="0" xfId="1" applyFont="1" applyFill="1" applyBorder="1"/>
    <xf numFmtId="43" fontId="33" fillId="0" borderId="0" xfId="0" applyNumberFormat="1" applyFont="1"/>
    <xf numFmtId="43" fontId="33" fillId="0" borderId="20" xfId="0" applyNumberFormat="1" applyFont="1" applyBorder="1"/>
    <xf numFmtId="43" fontId="18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46" fillId="0" borderId="1" xfId="29" applyFont="1" applyBorder="1" applyAlignment="1">
      <alignment horizontal="center"/>
    </xf>
    <xf numFmtId="43" fontId="0" fillId="15" borderId="1" xfId="1" applyFont="1" applyFill="1" applyBorder="1"/>
    <xf numFmtId="43" fontId="0" fillId="15" borderId="1" xfId="0" applyNumberFormat="1" applyFill="1" applyBorder="1"/>
    <xf numFmtId="0" fontId="0" fillId="15" borderId="1" xfId="0" applyFill="1" applyBorder="1"/>
    <xf numFmtId="43" fontId="10" fillId="0" borderId="1" xfId="8" applyFont="1" applyBorder="1"/>
    <xf numFmtId="0" fontId="46" fillId="0" borderId="1" xfId="29" applyFont="1" applyBorder="1"/>
    <xf numFmtId="170" fontId="46" fillId="0" borderId="17" xfId="29" applyNumberFormat="1" applyFont="1" applyBorder="1"/>
    <xf numFmtId="43" fontId="46" fillId="0" borderId="1" xfId="29" applyNumberFormat="1" applyFont="1" applyBorder="1"/>
    <xf numFmtId="43" fontId="46" fillId="0" borderId="1" xfId="8" applyFont="1" applyFill="1" applyBorder="1"/>
    <xf numFmtId="43" fontId="0" fillId="15" borderId="0" xfId="1" applyFont="1" applyFill="1" applyBorder="1"/>
    <xf numFmtId="43" fontId="0" fillId="0" borderId="0" xfId="8" applyFont="1"/>
    <xf numFmtId="43" fontId="9" fillId="0" borderId="1" xfId="8" applyFont="1" applyBorder="1"/>
    <xf numFmtId="43" fontId="9" fillId="0" borderId="18" xfId="8" applyFont="1" applyBorder="1"/>
    <xf numFmtId="170" fontId="0" fillId="0" borderId="0" xfId="0" applyNumberFormat="1"/>
    <xf numFmtId="2" fontId="0" fillId="0" borderId="0" xfId="0" applyNumberFormat="1"/>
    <xf numFmtId="167" fontId="0" fillId="15" borderId="1" xfId="1" applyNumberFormat="1" applyFont="1" applyFill="1" applyBorder="1"/>
    <xf numFmtId="43" fontId="8" fillId="0" borderId="1" xfId="8" applyFont="1" applyBorder="1"/>
    <xf numFmtId="0" fontId="0" fillId="0" borderId="1" xfId="0" applyBorder="1"/>
    <xf numFmtId="167" fontId="0" fillId="0" borderId="0" xfId="0" applyNumberFormat="1"/>
    <xf numFmtId="43" fontId="8" fillId="0" borderId="18" xfId="8" applyFont="1" applyBorder="1"/>
    <xf numFmtId="43" fontId="70" fillId="14" borderId="0" xfId="0" applyNumberFormat="1" applyFont="1" applyFill="1"/>
    <xf numFmtId="0" fontId="33" fillId="0" borderId="0" xfId="1" applyNumberFormat="1" applyFont="1" applyFill="1" applyBorder="1"/>
    <xf numFmtId="43" fontId="33" fillId="0" borderId="20" xfId="1" applyFont="1" applyFill="1" applyBorder="1"/>
    <xf numFmtId="0" fontId="33" fillId="0" borderId="27" xfId="0" applyFont="1" applyBorder="1" applyAlignment="1">
      <alignment horizontal="right" wrapText="1"/>
    </xf>
    <xf numFmtId="0" fontId="33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3" fontId="36" fillId="9" borderId="1" xfId="0" applyNumberFormat="1" applyFont="1" applyFill="1" applyBorder="1"/>
    <xf numFmtId="43" fontId="34" fillId="9" borderId="1" xfId="0" applyNumberFormat="1" applyFont="1" applyFill="1" applyBorder="1"/>
    <xf numFmtId="43" fontId="33" fillId="9" borderId="13" xfId="0" applyNumberFormat="1" applyFont="1" applyFill="1" applyBorder="1"/>
    <xf numFmtId="43" fontId="33" fillId="9" borderId="20" xfId="1" applyFont="1" applyFill="1" applyBorder="1"/>
    <xf numFmtId="43" fontId="33" fillId="0" borderId="13" xfId="0" applyNumberFormat="1" applyFont="1" applyBorder="1" applyAlignment="1">
      <alignment wrapText="1"/>
    </xf>
    <xf numFmtId="0" fontId="85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43" fontId="36" fillId="9" borderId="0" xfId="0" applyNumberFormat="1" applyFont="1" applyFill="1"/>
    <xf numFmtId="43" fontId="34" fillId="0" borderId="0" xfId="0" applyNumberFormat="1" applyFont="1"/>
    <xf numFmtId="43" fontId="36" fillId="0" borderId="0" xfId="0" applyNumberFormat="1" applyFont="1"/>
    <xf numFmtId="0" fontId="35" fillId="0" borderId="0" xfId="0" applyFont="1" applyAlignment="1">
      <alignment horizontal="left" vertical="center" wrapText="1"/>
    </xf>
    <xf numFmtId="0" fontId="32" fillId="12" borderId="0" xfId="0" applyFont="1" applyFill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5" fillId="12" borderId="0" xfId="0" applyFont="1" applyFill="1" applyAlignment="1">
      <alignment horizontal="left" vertical="center"/>
    </xf>
    <xf numFmtId="43" fontId="36" fillId="12" borderId="0" xfId="0" applyNumberFormat="1" applyFont="1" applyFill="1"/>
    <xf numFmtId="43" fontId="33" fillId="12" borderId="0" xfId="0" applyNumberFormat="1" applyFont="1" applyFill="1"/>
    <xf numFmtId="43" fontId="33" fillId="12" borderId="13" xfId="0" applyNumberFormat="1" applyFont="1" applyFill="1" applyBorder="1"/>
    <xf numFmtId="43" fontId="33" fillId="12" borderId="24" xfId="0" applyNumberFormat="1" applyFont="1" applyFill="1" applyBorder="1"/>
    <xf numFmtId="43" fontId="34" fillId="12" borderId="0" xfId="0" applyNumberFormat="1" applyFont="1" applyFill="1"/>
    <xf numFmtId="43" fontId="33" fillId="12" borderId="1" xfId="0" applyNumberFormat="1" applyFont="1" applyFill="1" applyBorder="1"/>
    <xf numFmtId="43" fontId="33" fillId="12" borderId="3" xfId="0" applyNumberFormat="1" applyFont="1" applyFill="1" applyBorder="1"/>
    <xf numFmtId="0" fontId="35" fillId="12" borderId="0" xfId="0" applyFont="1" applyFill="1" applyAlignment="1">
      <alignment horizontal="left" vertical="center" wrapText="1"/>
    </xf>
    <xf numFmtId="43" fontId="33" fillId="12" borderId="19" xfId="0" applyNumberFormat="1" applyFont="1" applyFill="1" applyBorder="1"/>
    <xf numFmtId="0" fontId="33" fillId="12" borderId="13" xfId="0" applyFont="1" applyFill="1" applyBorder="1"/>
    <xf numFmtId="167" fontId="33" fillId="0" borderId="13" xfId="0" applyNumberFormat="1" applyFont="1" applyBorder="1"/>
    <xf numFmtId="0" fontId="33" fillId="2" borderId="13" xfId="29" applyFont="1" applyFill="1" applyBorder="1" applyAlignment="1">
      <alignment wrapText="1"/>
    </xf>
    <xf numFmtId="43" fontId="33" fillId="0" borderId="13" xfId="8" applyFont="1" applyFill="1" applyBorder="1"/>
    <xf numFmtId="0" fontId="33" fillId="2" borderId="13" xfId="29" applyFont="1" applyFill="1" applyBorder="1" applyAlignment="1">
      <alignment horizontal="left" wrapText="1"/>
    </xf>
    <xf numFmtId="43" fontId="70" fillId="0" borderId="0" xfId="0" applyNumberFormat="1" applyFont="1"/>
    <xf numFmtId="0" fontId="43" fillId="0" borderId="1" xfId="29" applyFont="1" applyBorder="1"/>
    <xf numFmtId="0" fontId="43" fillId="16" borderId="1" xfId="29" applyFont="1" applyFill="1" applyBorder="1"/>
    <xf numFmtId="43" fontId="43" fillId="16" borderId="1" xfId="36" applyFont="1" applyFill="1" applyBorder="1"/>
    <xf numFmtId="0" fontId="43" fillId="0" borderId="12" xfId="29" applyFont="1" applyBorder="1" applyAlignment="1">
      <alignment horizontal="left"/>
    </xf>
    <xf numFmtId="0" fontId="42" fillId="0" borderId="12" xfId="29" applyFont="1" applyBorder="1" applyAlignment="1">
      <alignment horizontal="center"/>
    </xf>
    <xf numFmtId="39" fontId="42" fillId="0" borderId="12" xfId="29" applyNumberFormat="1" applyFont="1" applyBorder="1"/>
    <xf numFmtId="39" fontId="42" fillId="16" borderId="12" xfId="29" applyNumberFormat="1" applyFont="1" applyFill="1" applyBorder="1"/>
    <xf numFmtId="0" fontId="42" fillId="0" borderId="13" xfId="29" applyFont="1" applyBorder="1" applyAlignment="1">
      <alignment horizontal="left"/>
    </xf>
    <xf numFmtId="0" fontId="42" fillId="0" borderId="13" xfId="29" applyFont="1" applyBorder="1" applyAlignment="1">
      <alignment horizontal="center"/>
    </xf>
    <xf numFmtId="39" fontId="42" fillId="0" borderId="13" xfId="29" applyNumberFormat="1" applyFont="1" applyBorder="1"/>
    <xf numFmtId="39" fontId="42" fillId="16" borderId="13" xfId="29" applyNumberFormat="1" applyFont="1" applyFill="1" applyBorder="1"/>
    <xf numFmtId="0" fontId="41" fillId="0" borderId="13" xfId="29" applyFont="1" applyBorder="1" applyAlignment="1">
      <alignment horizontal="left"/>
    </xf>
    <xf numFmtId="39" fontId="42" fillId="13" borderId="13" xfId="29" applyNumberFormat="1" applyFont="1" applyFill="1" applyBorder="1" applyAlignment="1">
      <alignment horizontal="left"/>
    </xf>
    <xf numFmtId="39" fontId="42" fillId="0" borderId="13" xfId="29" applyNumberFormat="1" applyFont="1" applyBorder="1" applyAlignment="1">
      <alignment horizontal="left"/>
    </xf>
    <xf numFmtId="0" fontId="42" fillId="0" borderId="13" xfId="29" applyFont="1" applyBorder="1" applyAlignment="1">
      <alignment horizontal="left" wrapText="1"/>
    </xf>
    <xf numFmtId="0" fontId="42" fillId="0" borderId="13" xfId="29" applyFont="1" applyBorder="1" applyAlignment="1">
      <alignment horizontal="center" vertical="center"/>
    </xf>
    <xf numFmtId="39" fontId="42" fillId="0" borderId="13" xfId="29" applyNumberFormat="1" applyFont="1" applyBorder="1" applyAlignment="1">
      <alignment vertical="center"/>
    </xf>
    <xf numFmtId="39" fontId="42" fillId="0" borderId="13" xfId="29" applyNumberFormat="1" applyFont="1" applyBorder="1" applyAlignment="1">
      <alignment horizontal="left" vertical="center"/>
    </xf>
    <xf numFmtId="39" fontId="42" fillId="16" borderId="13" xfId="29" applyNumberFormat="1" applyFont="1" applyFill="1" applyBorder="1" applyAlignment="1">
      <alignment vertical="center" wrapText="1"/>
    </xf>
    <xf numFmtId="39" fontId="42" fillId="13" borderId="13" xfId="29" applyNumberFormat="1" applyFont="1" applyFill="1" applyBorder="1" applyAlignment="1">
      <alignment horizontal="left" vertical="center"/>
    </xf>
    <xf numFmtId="165" fontId="42" fillId="0" borderId="13" xfId="34" applyNumberFormat="1" applyFont="1" applyBorder="1"/>
    <xf numFmtId="165" fontId="42" fillId="16" borderId="13" xfId="34" applyNumberFormat="1" applyFont="1" applyFill="1" applyBorder="1"/>
    <xf numFmtId="0" fontId="42" fillId="0" borderId="13" xfId="35" applyFont="1" applyBorder="1"/>
    <xf numFmtId="9" fontId="42" fillId="0" borderId="13" xfId="34" applyFont="1" applyBorder="1"/>
    <xf numFmtId="165" fontId="42" fillId="16" borderId="13" xfId="34" applyNumberFormat="1" applyFont="1" applyFill="1" applyBorder="1" applyAlignment="1">
      <alignment wrapText="1"/>
    </xf>
    <xf numFmtId="39" fontId="45" fillId="0" borderId="13" xfId="29" applyNumberFormat="1" applyFont="1" applyBorder="1"/>
    <xf numFmtId="39" fontId="45" fillId="16" borderId="13" xfId="29" applyNumberFormat="1" applyFont="1" applyFill="1" applyBorder="1"/>
    <xf numFmtId="0" fontId="42" fillId="0" borderId="24" xfId="29" applyFont="1" applyBorder="1" applyAlignment="1">
      <alignment horizontal="left"/>
    </xf>
    <xf numFmtId="39" fontId="42" fillId="0" borderId="24" xfId="29" applyNumberFormat="1" applyFont="1" applyBorder="1"/>
    <xf numFmtId="39" fontId="42" fillId="16" borderId="24" xfId="29" applyNumberFormat="1" applyFont="1" applyFill="1" applyBorder="1"/>
    <xf numFmtId="0" fontId="43" fillId="0" borderId="14" xfId="29" applyFont="1" applyBorder="1" applyAlignment="1">
      <alignment horizontal="right"/>
    </xf>
    <xf numFmtId="0" fontId="43" fillId="0" borderId="14" xfId="29" applyFont="1" applyBorder="1" applyAlignment="1">
      <alignment horizontal="center"/>
    </xf>
    <xf numFmtId="39" fontId="43" fillId="0" borderId="14" xfId="29" applyNumberFormat="1" applyFont="1" applyBorder="1"/>
    <xf numFmtId="39" fontId="43" fillId="16" borderId="14" xfId="29" applyNumberFormat="1" applyFont="1" applyFill="1" applyBorder="1"/>
    <xf numFmtId="39" fontId="42" fillId="16" borderId="14" xfId="29" applyNumberFormat="1" applyFont="1" applyFill="1" applyBorder="1"/>
    <xf numFmtId="0" fontId="7" fillId="11" borderId="17" xfId="35" applyFill="1" applyBorder="1" applyAlignment="1">
      <alignment horizontal="center"/>
    </xf>
    <xf numFmtId="43" fontId="70" fillId="0" borderId="32" xfId="0" applyNumberFormat="1" applyFont="1" applyBorder="1"/>
    <xf numFmtId="0" fontId="17" fillId="0" borderId="27" xfId="29" applyBorder="1"/>
    <xf numFmtId="0" fontId="70" fillId="0" borderId="0" xfId="29" applyFont="1" applyAlignment="1">
      <alignment horizontal="center"/>
    </xf>
    <xf numFmtId="0" fontId="17" fillId="0" borderId="0" xfId="29"/>
    <xf numFmtId="0" fontId="17" fillId="0" borderId="2" xfId="29" applyBorder="1" applyAlignment="1">
      <alignment horizontal="center"/>
    </xf>
    <xf numFmtId="2" fontId="17" fillId="0" borderId="0" xfId="29" applyNumberFormat="1"/>
    <xf numFmtId="43" fontId="87" fillId="0" borderId="0" xfId="1" applyFont="1" applyBorder="1"/>
    <xf numFmtId="43" fontId="17" fillId="0" borderId="0" xfId="1" applyFont="1" applyBorder="1"/>
    <xf numFmtId="43" fontId="17" fillId="0" borderId="0" xfId="29" applyNumberFormat="1"/>
    <xf numFmtId="0" fontId="33" fillId="6" borderId="1" xfId="29" applyFont="1" applyFill="1" applyBorder="1" applyAlignment="1">
      <alignment vertical="center"/>
    </xf>
    <xf numFmtId="0" fontId="34" fillId="6" borderId="1" xfId="29" applyFont="1" applyFill="1" applyBorder="1" applyAlignment="1">
      <alignment horizontal="center" vertical="center"/>
    </xf>
    <xf numFmtId="0" fontId="17" fillId="0" borderId="0" xfId="29" applyAlignment="1">
      <alignment vertical="center"/>
    </xf>
    <xf numFmtId="0" fontId="17" fillId="12" borderId="0" xfId="29" applyFill="1" applyAlignment="1">
      <alignment vertical="center"/>
    </xf>
    <xf numFmtId="43" fontId="36" fillId="0" borderId="1" xfId="29" applyNumberFormat="1" applyFont="1" applyBorder="1"/>
    <xf numFmtId="0" fontId="36" fillId="0" borderId="1" xfId="29" applyFont="1" applyBorder="1"/>
    <xf numFmtId="0" fontId="33" fillId="0" borderId="19" xfId="29" applyFont="1" applyBorder="1" applyAlignment="1">
      <alignment wrapText="1"/>
    </xf>
    <xf numFmtId="43" fontId="33" fillId="0" borderId="19" xfId="8" applyFont="1" applyBorder="1"/>
    <xf numFmtId="0" fontId="33" fillId="0" borderId="19" xfId="29" applyFont="1" applyBorder="1"/>
    <xf numFmtId="169" fontId="33" fillId="0" borderId="19" xfId="29" applyNumberFormat="1" applyFont="1" applyBorder="1"/>
    <xf numFmtId="43" fontId="33" fillId="0" borderId="19" xfId="29" applyNumberFormat="1" applyFont="1" applyBorder="1"/>
    <xf numFmtId="0" fontId="33" fillId="0" borderId="13" xfId="29" applyFont="1" applyBorder="1" applyAlignment="1">
      <alignment wrapText="1"/>
    </xf>
    <xf numFmtId="170" fontId="33" fillId="0" borderId="13" xfId="8" applyNumberFormat="1" applyFont="1" applyBorder="1"/>
    <xf numFmtId="43" fontId="33" fillId="0" borderId="13" xfId="1" applyFont="1" applyBorder="1"/>
    <xf numFmtId="169" fontId="33" fillId="0" borderId="13" xfId="29" applyNumberFormat="1" applyFont="1" applyBorder="1"/>
    <xf numFmtId="0" fontId="33" fillId="0" borderId="13" xfId="29" applyFont="1" applyBorder="1"/>
    <xf numFmtId="43" fontId="33" fillId="0" borderId="13" xfId="8" applyFont="1" applyBorder="1"/>
    <xf numFmtId="43" fontId="33" fillId="18" borderId="19" xfId="29" applyNumberFormat="1" applyFont="1" applyFill="1" applyBorder="1"/>
    <xf numFmtId="2" fontId="33" fillId="0" borderId="13" xfId="29" applyNumberFormat="1" applyFont="1" applyBorder="1"/>
    <xf numFmtId="0" fontId="33" fillId="0" borderId="24" xfId="29" applyFont="1" applyBorder="1" applyAlignment="1">
      <alignment wrapText="1"/>
    </xf>
    <xf numFmtId="43" fontId="33" fillId="0" borderId="24" xfId="8" applyFont="1" applyBorder="1"/>
    <xf numFmtId="2" fontId="33" fillId="0" borderId="24" xfId="29" applyNumberFormat="1" applyFont="1" applyBorder="1"/>
    <xf numFmtId="169" fontId="33" fillId="0" borderId="24" xfId="29" applyNumberFormat="1" applyFont="1" applyBorder="1"/>
    <xf numFmtId="0" fontId="33" fillId="0" borderId="24" xfId="29" applyFont="1" applyBorder="1"/>
    <xf numFmtId="43" fontId="88" fillId="18" borderId="19" xfId="29" applyNumberFormat="1" applyFont="1" applyFill="1" applyBorder="1"/>
    <xf numFmtId="43" fontId="33" fillId="0" borderId="3" xfId="29" applyNumberFormat="1" applyFont="1" applyBorder="1"/>
    <xf numFmtId="43" fontId="88" fillId="0" borderId="3" xfId="29" applyNumberFormat="1" applyFont="1" applyBorder="1"/>
    <xf numFmtId="0" fontId="33" fillId="0" borderId="3" xfId="29" applyFont="1" applyBorder="1" applyAlignment="1">
      <alignment wrapText="1"/>
    </xf>
    <xf numFmtId="43" fontId="33" fillId="0" borderId="3" xfId="8" applyFont="1" applyBorder="1"/>
    <xf numFmtId="2" fontId="33" fillId="0" borderId="3" xfId="29" applyNumberFormat="1" applyFont="1" applyBorder="1"/>
    <xf numFmtId="169" fontId="33" fillId="0" borderId="3" xfId="29" applyNumberFormat="1" applyFont="1" applyBorder="1"/>
    <xf numFmtId="0" fontId="33" fillId="0" borderId="3" xfId="29" applyFont="1" applyBorder="1"/>
    <xf numFmtId="43" fontId="88" fillId="0" borderId="19" xfId="29" applyNumberFormat="1" applyFont="1" applyBorder="1"/>
    <xf numFmtId="0" fontId="37" fillId="0" borderId="1" xfId="29" applyFont="1" applyBorder="1"/>
    <xf numFmtId="43" fontId="34" fillId="0" borderId="1" xfId="29" applyNumberFormat="1" applyFont="1" applyBorder="1"/>
    <xf numFmtId="0" fontId="34" fillId="0" borderId="1" xfId="29" applyFont="1" applyBorder="1"/>
    <xf numFmtId="43" fontId="33" fillId="5" borderId="19" xfId="29" applyNumberFormat="1" applyFont="1" applyFill="1" applyBorder="1"/>
    <xf numFmtId="43" fontId="88" fillId="5" borderId="19" xfId="29" applyNumberFormat="1" applyFont="1" applyFill="1" applyBorder="1"/>
    <xf numFmtId="43" fontId="88" fillId="5" borderId="3" xfId="29" applyNumberFormat="1" applyFont="1" applyFill="1" applyBorder="1"/>
    <xf numFmtId="170" fontId="33" fillId="0" borderId="12" xfId="29" applyNumberFormat="1" applyFont="1" applyBorder="1"/>
    <xf numFmtId="1" fontId="33" fillId="0" borderId="12" xfId="29" applyNumberFormat="1" applyFont="1" applyBorder="1"/>
    <xf numFmtId="43" fontId="33" fillId="0" borderId="12" xfId="8" applyFont="1" applyBorder="1"/>
    <xf numFmtId="167" fontId="33" fillId="0" borderId="12" xfId="8" applyNumberFormat="1" applyFont="1" applyBorder="1"/>
    <xf numFmtId="0" fontId="33" fillId="0" borderId="12" xfId="29" applyFont="1" applyBorder="1"/>
    <xf numFmtId="43" fontId="33" fillId="0" borderId="12" xfId="29" applyNumberFormat="1" applyFont="1" applyBorder="1"/>
    <xf numFmtId="43" fontId="88" fillId="18" borderId="12" xfId="29" applyNumberFormat="1" applyFont="1" applyFill="1" applyBorder="1"/>
    <xf numFmtId="170" fontId="33" fillId="0" borderId="13" xfId="29" applyNumberFormat="1" applyFont="1" applyBorder="1"/>
    <xf numFmtId="1" fontId="33" fillId="0" borderId="13" xfId="29" applyNumberFormat="1" applyFont="1" applyBorder="1"/>
    <xf numFmtId="167" fontId="33" fillId="0" borderId="13" xfId="8" applyNumberFormat="1" applyFont="1" applyBorder="1"/>
    <xf numFmtId="43" fontId="34" fillId="18" borderId="19" xfId="29" applyNumberFormat="1" applyFont="1" applyFill="1" applyBorder="1"/>
    <xf numFmtId="43" fontId="34" fillId="0" borderId="19" xfId="29" applyNumberFormat="1" applyFont="1" applyBorder="1"/>
    <xf numFmtId="43" fontId="89" fillId="18" borderId="12" xfId="29" applyNumberFormat="1" applyFont="1" applyFill="1" applyBorder="1"/>
    <xf numFmtId="170" fontId="33" fillId="0" borderId="19" xfId="29" applyNumberFormat="1" applyFont="1" applyBorder="1"/>
    <xf numFmtId="1" fontId="33" fillId="0" borderId="19" xfId="29" applyNumberFormat="1" applyFont="1" applyBorder="1"/>
    <xf numFmtId="167" fontId="33" fillId="0" borderId="19" xfId="8" applyNumberFormat="1" applyFont="1" applyBorder="1"/>
    <xf numFmtId="43" fontId="89" fillId="18" borderId="19" xfId="29" applyNumberFormat="1" applyFont="1" applyFill="1" applyBorder="1"/>
    <xf numFmtId="43" fontId="33" fillId="0" borderId="13" xfId="29" applyNumberFormat="1" applyFont="1" applyBorder="1"/>
    <xf numFmtId="43" fontId="89" fillId="18" borderId="13" xfId="29" applyNumberFormat="1" applyFont="1" applyFill="1" applyBorder="1"/>
    <xf numFmtId="0" fontId="38" fillId="0" borderId="13" xfId="37" applyFont="1" applyBorder="1" applyAlignment="1">
      <alignment wrapText="1"/>
    </xf>
    <xf numFmtId="43" fontId="17" fillId="18" borderId="0" xfId="29" applyNumberFormat="1" applyFill="1"/>
    <xf numFmtId="2" fontId="33" fillId="0" borderId="13" xfId="8" applyNumberFormat="1" applyFont="1" applyBorder="1"/>
    <xf numFmtId="43" fontId="34" fillId="18" borderId="13" xfId="29" applyNumberFormat="1" applyFont="1" applyFill="1" applyBorder="1"/>
    <xf numFmtId="43" fontId="34" fillId="0" borderId="13" xfId="29" applyNumberFormat="1" applyFont="1" applyBorder="1"/>
    <xf numFmtId="0" fontId="33" fillId="7" borderId="1" xfId="29" applyFont="1" applyFill="1" applyBorder="1" applyAlignment="1">
      <alignment vertical="center"/>
    </xf>
    <xf numFmtId="0" fontId="34" fillId="7" borderId="1" xfId="29" applyFont="1" applyFill="1" applyBorder="1" applyAlignment="1">
      <alignment horizontal="center" vertical="center"/>
    </xf>
    <xf numFmtId="0" fontId="34" fillId="7" borderId="1" xfId="29" applyFont="1" applyFill="1" applyBorder="1" applyAlignment="1">
      <alignment horizontal="center" vertical="center" wrapText="1"/>
    </xf>
    <xf numFmtId="0" fontId="33" fillId="0" borderId="13" xfId="29" applyFont="1" applyBorder="1" applyAlignment="1">
      <alignment horizontal="right" wrapText="1"/>
    </xf>
    <xf numFmtId="174" fontId="33" fillId="0" borderId="13" xfId="29" applyNumberFormat="1" applyFont="1" applyBorder="1"/>
    <xf numFmtId="0" fontId="33" fillId="0" borderId="13" xfId="29" applyFont="1" applyBorder="1" applyAlignment="1">
      <alignment horizontal="left" wrapText="1"/>
    </xf>
    <xf numFmtId="0" fontId="33" fillId="2" borderId="13" xfId="29" applyFont="1" applyFill="1" applyBorder="1"/>
    <xf numFmtId="43" fontId="33" fillId="2" borderId="13" xfId="29" applyNumberFormat="1" applyFont="1" applyFill="1" applyBorder="1"/>
    <xf numFmtId="175" fontId="33" fillId="0" borderId="13" xfId="29" applyNumberFormat="1" applyFont="1" applyBorder="1"/>
    <xf numFmtId="0" fontId="35" fillId="0" borderId="13" xfId="29" applyFont="1" applyBorder="1"/>
    <xf numFmtId="0" fontId="33" fillId="0" borderId="14" xfId="29" applyFont="1" applyBorder="1" applyAlignment="1">
      <alignment horizontal="right" wrapText="1"/>
    </xf>
    <xf numFmtId="2" fontId="33" fillId="0" borderId="14" xfId="29" applyNumberFormat="1" applyFont="1" applyBorder="1"/>
    <xf numFmtId="0" fontId="33" fillId="0" borderId="14" xfId="29" applyFont="1" applyBorder="1"/>
    <xf numFmtId="169" fontId="33" fillId="0" borderId="14" xfId="29" applyNumberFormat="1" applyFont="1" applyBorder="1"/>
    <xf numFmtId="43" fontId="33" fillId="0" borderId="14" xfId="8" applyFont="1" applyBorder="1"/>
    <xf numFmtId="43" fontId="33" fillId="0" borderId="14" xfId="29" applyNumberFormat="1" applyFont="1" applyBorder="1"/>
    <xf numFmtId="0" fontId="33" fillId="0" borderId="27" xfId="29" applyFont="1" applyBorder="1" applyAlignment="1">
      <alignment horizontal="right" wrapText="1"/>
    </xf>
    <xf numFmtId="2" fontId="33" fillId="0" borderId="0" xfId="29" applyNumberFormat="1" applyFont="1"/>
    <xf numFmtId="0" fontId="33" fillId="0" borderId="0" xfId="29" applyFont="1"/>
    <xf numFmtId="169" fontId="33" fillId="0" borderId="0" xfId="29" applyNumberFormat="1" applyFont="1"/>
    <xf numFmtId="43" fontId="33" fillId="0" borderId="0" xfId="8" applyFont="1"/>
    <xf numFmtId="43" fontId="33" fillId="0" borderId="0" xfId="29" applyNumberFormat="1" applyFont="1"/>
    <xf numFmtId="43" fontId="33" fillId="0" borderId="20" xfId="29" applyNumberFormat="1" applyFont="1" applyBorder="1"/>
    <xf numFmtId="43" fontId="89" fillId="5" borderId="19" xfId="29" applyNumberFormat="1" applyFont="1" applyFill="1" applyBorder="1"/>
    <xf numFmtId="43" fontId="88" fillId="5" borderId="13" xfId="29" applyNumberFormat="1" applyFont="1" applyFill="1" applyBorder="1"/>
    <xf numFmtId="0" fontId="33" fillId="0" borderId="14" xfId="29" applyFont="1" applyBorder="1" applyAlignment="1">
      <alignment wrapText="1"/>
    </xf>
    <xf numFmtId="170" fontId="33" fillId="0" borderId="14" xfId="29" applyNumberFormat="1" applyFont="1" applyBorder="1"/>
    <xf numFmtId="43" fontId="34" fillId="5" borderId="14" xfId="29" applyNumberFormat="1" applyFont="1" applyFill="1" applyBorder="1"/>
    <xf numFmtId="166" fontId="33" fillId="0" borderId="13" xfId="29" applyNumberFormat="1" applyFont="1" applyBorder="1"/>
    <xf numFmtId="43" fontId="88" fillId="0" borderId="13" xfId="29" applyNumberFormat="1" applyFont="1" applyBorder="1"/>
    <xf numFmtId="43" fontId="88" fillId="18" borderId="24" xfId="29" applyNumberFormat="1" applyFont="1" applyFill="1" applyBorder="1"/>
    <xf numFmtId="43" fontId="89" fillId="0" borderId="24" xfId="29" applyNumberFormat="1" applyFont="1" applyBorder="1"/>
    <xf numFmtId="43" fontId="33" fillId="5" borderId="13" xfId="29" applyNumberFormat="1" applyFont="1" applyFill="1" applyBorder="1"/>
    <xf numFmtId="170" fontId="33" fillId="0" borderId="24" xfId="29" applyNumberFormat="1" applyFont="1" applyBorder="1"/>
    <xf numFmtId="0" fontId="33" fillId="2" borderId="14" xfId="29" applyFont="1" applyFill="1" applyBorder="1"/>
    <xf numFmtId="14" fontId="30" fillId="0" borderId="7" xfId="0" quotePrefix="1" applyNumberFormat="1" applyFont="1" applyBorder="1" applyAlignment="1">
      <alignment horizontal="centerContinuous"/>
    </xf>
    <xf numFmtId="9" fontId="18" fillId="0" borderId="0" xfId="38" applyFont="1" applyBorder="1" applyAlignment="1">
      <alignment vertical="center"/>
    </xf>
    <xf numFmtId="43" fontId="18" fillId="0" borderId="0" xfId="8" applyFont="1" applyFill="1" applyAlignment="1">
      <alignment horizontal="right" vertical="center"/>
    </xf>
    <xf numFmtId="3" fontId="19" fillId="0" borderId="3" xfId="29" applyNumberFormat="1" applyFont="1" applyBorder="1" applyAlignment="1">
      <alignment horizontal="center" vertical="center" wrapText="1"/>
    </xf>
    <xf numFmtId="3" fontId="19" fillId="0" borderId="3" xfId="29" applyNumberFormat="1" applyFont="1" applyBorder="1" applyAlignment="1">
      <alignment horizontal="left" vertical="center" wrapText="1"/>
    </xf>
    <xf numFmtId="167" fontId="19" fillId="0" borderId="3" xfId="8" applyNumberFormat="1" applyFont="1" applyBorder="1" applyAlignment="1">
      <alignment horizontal="center" vertical="center" wrapText="1"/>
    </xf>
    <xf numFmtId="3" fontId="19" fillId="2" borderId="0" xfId="29" applyNumberFormat="1" applyFont="1" applyFill="1" applyAlignment="1">
      <alignment vertical="center" wrapText="1"/>
    </xf>
    <xf numFmtId="3" fontId="21" fillId="0" borderId="0" xfId="8" applyNumberFormat="1" applyFont="1" applyAlignment="1">
      <alignment wrapText="1"/>
    </xf>
    <xf numFmtId="3" fontId="18" fillId="0" borderId="0" xfId="29" applyNumberFormat="1" applyFont="1" applyAlignment="1">
      <alignment horizontal="center" vertical="center" wrapText="1"/>
    </xf>
    <xf numFmtId="43" fontId="18" fillId="0" borderId="0" xfId="8" applyFont="1" applyAlignment="1">
      <alignment horizontal="right" vertical="center" wrapText="1"/>
    </xf>
    <xf numFmtId="3" fontId="18" fillId="0" borderId="0" xfId="29" applyNumberFormat="1" applyFont="1" applyAlignment="1">
      <alignment wrapText="1"/>
    </xf>
    <xf numFmtId="2" fontId="19" fillId="0" borderId="0" xfId="29" quotePrefix="1" applyNumberFormat="1" applyFont="1" applyAlignment="1">
      <alignment horizontal="center" vertical="center" wrapText="1"/>
    </xf>
    <xf numFmtId="43" fontId="18" fillId="0" borderId="20" xfId="8" applyFont="1" applyBorder="1" applyAlignment="1">
      <alignment horizontal="right" vertical="center" wrapText="1"/>
    </xf>
    <xf numFmtId="3" fontId="23" fillId="0" borderId="0" xfId="29" applyNumberFormat="1" applyFont="1" applyAlignment="1">
      <alignment horizontal="left" vertical="center" wrapText="1"/>
    </xf>
    <xf numFmtId="3" fontId="18" fillId="0" borderId="0" xfId="29" applyNumberFormat="1" applyFont="1" applyAlignment="1">
      <alignment horizontal="center" wrapText="1"/>
    </xf>
    <xf numFmtId="43" fontId="18" fillId="0" borderId="0" xfId="8" applyFont="1" applyAlignment="1">
      <alignment horizontal="right" wrapText="1"/>
    </xf>
    <xf numFmtId="43" fontId="18" fillId="0" borderId="20" xfId="8" applyFont="1" applyBorder="1" applyAlignment="1">
      <alignment horizontal="right" wrapText="1"/>
    </xf>
    <xf numFmtId="3" fontId="26" fillId="2" borderId="0" xfId="29" applyNumberFormat="1" applyFont="1" applyFill="1" applyAlignment="1">
      <alignment vertical="center" wrapText="1"/>
    </xf>
    <xf numFmtId="43" fontId="84" fillId="2" borderId="0" xfId="39" applyFont="1" applyFill="1" applyAlignment="1">
      <alignment vertical="center" wrapText="1"/>
    </xf>
    <xf numFmtId="43" fontId="59" fillId="2" borderId="0" xfId="39" applyFont="1" applyFill="1" applyAlignment="1">
      <alignment vertical="center" wrapText="1"/>
    </xf>
    <xf numFmtId="3" fontId="18" fillId="2" borderId="13" xfId="29" applyNumberFormat="1" applyFont="1" applyFill="1" applyBorder="1" applyAlignment="1" applyProtection="1">
      <alignment horizontal="center" vertical="center" wrapText="1"/>
      <protection locked="0"/>
    </xf>
    <xf numFmtId="3" fontId="18" fillId="0" borderId="13" xfId="40" applyNumberFormat="1" applyFont="1" applyBorder="1" applyAlignment="1">
      <alignment horizontal="left" vertical="center" wrapText="1"/>
    </xf>
    <xf numFmtId="3" fontId="63" fillId="2" borderId="13" xfId="29" applyNumberFormat="1" applyFont="1" applyFill="1" applyBorder="1" applyAlignment="1">
      <alignment horizontal="center" vertical="center" wrapText="1"/>
    </xf>
    <xf numFmtId="43" fontId="31" fillId="2" borderId="0" xfId="39" applyFont="1" applyFill="1" applyAlignment="1">
      <alignment horizontal="center" vertical="center" wrapText="1"/>
    </xf>
    <xf numFmtId="3" fontId="17" fillId="2" borderId="0" xfId="29" applyNumberFormat="1" applyFill="1" applyAlignment="1">
      <alignment vertical="center" wrapText="1"/>
    </xf>
    <xf numFmtId="3" fontId="17" fillId="2" borderId="0" xfId="29" applyNumberFormat="1" applyFill="1" applyAlignment="1">
      <alignment horizontal="center" vertical="center"/>
    </xf>
    <xf numFmtId="3" fontId="26" fillId="2" borderId="0" xfId="8" applyNumberFormat="1" applyFont="1" applyFill="1" applyAlignment="1">
      <alignment wrapText="1"/>
    </xf>
    <xf numFmtId="43" fontId="84" fillId="2" borderId="0" xfId="39" applyFont="1" applyFill="1" applyAlignment="1">
      <alignment wrapText="1"/>
    </xf>
    <xf numFmtId="3" fontId="26" fillId="2" borderId="0" xfId="29" applyNumberFormat="1" applyFont="1" applyFill="1" applyAlignment="1">
      <alignment wrapText="1"/>
    </xf>
    <xf numFmtId="3" fontId="18" fillId="2" borderId="0" xfId="29" applyNumberFormat="1" applyFont="1" applyFill="1" applyAlignment="1">
      <alignment horizontal="center" vertical="center" wrapText="1"/>
    </xf>
    <xf numFmtId="3" fontId="18" fillId="2" borderId="0" xfId="29" applyNumberFormat="1" applyFont="1" applyFill="1" applyAlignment="1">
      <alignment vertical="center" wrapText="1"/>
    </xf>
    <xf numFmtId="43" fontId="18" fillId="2" borderId="0" xfId="8" applyFont="1" applyFill="1" applyAlignment="1">
      <alignment horizontal="right" vertical="center" wrapText="1"/>
    </xf>
    <xf numFmtId="3" fontId="18" fillId="2" borderId="0" xfId="29" applyNumberFormat="1" applyFont="1" applyFill="1" applyAlignment="1">
      <alignment wrapText="1"/>
    </xf>
    <xf numFmtId="43" fontId="31" fillId="2" borderId="0" xfId="39" applyFont="1" applyFill="1" applyAlignment="1">
      <alignment wrapText="1"/>
    </xf>
    <xf numFmtId="3" fontId="18" fillId="2" borderId="0" xfId="29" applyNumberFormat="1" applyFont="1" applyFill="1" applyAlignment="1">
      <alignment horizontal="center" wrapText="1"/>
    </xf>
    <xf numFmtId="43" fontId="18" fillId="2" borderId="0" xfId="8" applyFont="1" applyFill="1" applyAlignment="1">
      <alignment horizontal="right" wrapText="1"/>
    </xf>
    <xf numFmtId="43" fontId="59" fillId="2" borderId="0" xfId="39" applyFont="1" applyFill="1" applyAlignment="1">
      <alignment horizontal="center" vertical="center" wrapText="1"/>
    </xf>
    <xf numFmtId="3" fontId="19" fillId="2" borderId="13" xfId="29" applyNumberFormat="1" applyFont="1" applyFill="1" applyBorder="1" applyAlignment="1">
      <alignment horizontal="left" vertical="center" wrapText="1"/>
    </xf>
    <xf numFmtId="3" fontId="21" fillId="2" borderId="0" xfId="8" applyNumberFormat="1" applyFont="1" applyFill="1" applyAlignment="1">
      <alignment wrapText="1"/>
    </xf>
    <xf numFmtId="43" fontId="31" fillId="2" borderId="0" xfId="39" applyFont="1" applyFill="1" applyAlignment="1">
      <alignment horizontal="center" wrapText="1"/>
    </xf>
    <xf numFmtId="3" fontId="21" fillId="2" borderId="0" xfId="29" applyNumberFormat="1" applyFont="1" applyFill="1" applyAlignment="1">
      <alignment wrapText="1"/>
    </xf>
    <xf numFmtId="43" fontId="86" fillId="2" borderId="0" xfId="39" applyFont="1" applyFill="1" applyAlignment="1">
      <alignment vertical="center" wrapText="1"/>
    </xf>
    <xf numFmtId="168" fontId="21" fillId="2" borderId="0" xfId="29" applyNumberFormat="1" applyFont="1" applyFill="1" applyAlignment="1">
      <alignment vertical="center" wrapText="1"/>
    </xf>
    <xf numFmtId="168" fontId="18" fillId="2" borderId="0" xfId="29" applyNumberFormat="1" applyFont="1" applyFill="1" applyAlignment="1">
      <alignment horizontal="center" vertical="center" wrapText="1"/>
    </xf>
    <xf numFmtId="168" fontId="18" fillId="2" borderId="13" xfId="29" applyNumberFormat="1" applyFont="1" applyFill="1" applyBorder="1" applyAlignment="1">
      <alignment horizontal="center" vertical="center" wrapText="1"/>
    </xf>
    <xf numFmtId="43" fontId="86" fillId="2" borderId="0" xfId="39" applyFont="1" applyFill="1" applyAlignment="1">
      <alignment wrapText="1"/>
    </xf>
    <xf numFmtId="168" fontId="21" fillId="2" borderId="0" xfId="29" applyNumberFormat="1" applyFont="1" applyFill="1" applyAlignment="1">
      <alignment wrapText="1"/>
    </xf>
    <xf numFmtId="3" fontId="18" fillId="2" borderId="0" xfId="29" applyNumberFormat="1" applyFont="1" applyFill="1" applyAlignment="1">
      <alignment horizontal="right" vertical="center" wrapText="1"/>
    </xf>
    <xf numFmtId="168" fontId="18" fillId="2" borderId="0" xfId="29" applyNumberFormat="1" applyFont="1" applyFill="1" applyAlignment="1">
      <alignment wrapText="1"/>
    </xf>
    <xf numFmtId="3" fontId="18" fillId="2" borderId="0" xfId="29" applyNumberFormat="1" applyFont="1" applyFill="1" applyAlignment="1">
      <alignment horizontal="right" wrapText="1"/>
    </xf>
    <xf numFmtId="0" fontId="19" fillId="0" borderId="2" xfId="29" applyFont="1" applyBorder="1" applyAlignment="1">
      <alignment horizontal="center" vertical="center"/>
    </xf>
    <xf numFmtId="0" fontId="18" fillId="0" borderId="0" xfId="29" applyFont="1"/>
    <xf numFmtId="43" fontId="18" fillId="0" borderId="20" xfId="8" applyFont="1" applyBorder="1" applyAlignment="1">
      <alignment horizontal="left" vertical="center" wrapText="1"/>
    </xf>
    <xf numFmtId="3" fontId="18" fillId="0" borderId="21" xfId="29" applyNumberFormat="1" applyFont="1" applyBorder="1" applyAlignment="1">
      <alignment horizontal="left" vertical="center" indent="1"/>
    </xf>
    <xf numFmtId="3" fontId="19" fillId="0" borderId="21" xfId="29" applyNumberFormat="1" applyFont="1" applyBorder="1" applyAlignment="1">
      <alignment horizontal="left" vertical="center" indent="1"/>
    </xf>
    <xf numFmtId="0" fontId="18" fillId="0" borderId="0" xfId="29" applyFont="1" applyAlignment="1">
      <alignment vertical="center"/>
    </xf>
    <xf numFmtId="0" fontId="18" fillId="0" borderId="0" xfId="29" applyFont="1" applyAlignment="1">
      <alignment horizontal="center" vertical="center"/>
    </xf>
    <xf numFmtId="3" fontId="18" fillId="0" borderId="0" xfId="29" applyNumberFormat="1" applyFont="1" applyAlignment="1">
      <alignment horizontal="center" vertical="center"/>
    </xf>
    <xf numFmtId="0" fontId="18" fillId="0" borderId="0" xfId="29" applyFont="1" applyAlignment="1">
      <alignment vertical="top"/>
    </xf>
    <xf numFmtId="3" fontId="21" fillId="2" borderId="0" xfId="0" applyNumberFormat="1" applyFont="1" applyFill="1" applyAlignment="1">
      <alignment vertical="center" wrapText="1"/>
    </xf>
    <xf numFmtId="0" fontId="82" fillId="0" borderId="1" xfId="17" applyFont="1" applyBorder="1" applyAlignment="1">
      <alignment horizontal="center" vertical="center"/>
    </xf>
    <xf numFmtId="0" fontId="82" fillId="0" borderId="1" xfId="17" applyFont="1" applyBorder="1" applyAlignment="1">
      <alignment horizontal="center" vertical="center" wrapText="1"/>
    </xf>
    <xf numFmtId="0" fontId="82" fillId="0" borderId="1" xfId="14" applyFont="1" applyBorder="1" applyAlignment="1">
      <alignment horizontal="center" vertical="center"/>
    </xf>
    <xf numFmtId="0" fontId="82" fillId="0" borderId="1" xfId="14" applyFont="1" applyBorder="1" applyAlignment="1">
      <alignment horizontal="center" vertical="center" wrapText="1"/>
    </xf>
    <xf numFmtId="43" fontId="21" fillId="2" borderId="0" xfId="1" applyFont="1" applyFill="1" applyAlignment="1">
      <alignment vertical="center" wrapText="1"/>
    </xf>
    <xf numFmtId="0" fontId="14" fillId="0" borderId="3" xfId="17" applyBorder="1" applyAlignment="1">
      <alignment horizontal="center"/>
    </xf>
    <xf numFmtId="0" fontId="14" fillId="0" borderId="3" xfId="17" applyBorder="1"/>
    <xf numFmtId="43" fontId="4" fillId="0" borderId="3" xfId="42" applyFont="1" applyBorder="1"/>
    <xf numFmtId="0" fontId="14" fillId="0" borderId="18" xfId="17" applyBorder="1" applyAlignment="1">
      <alignment horizontal="center"/>
    </xf>
    <xf numFmtId="0" fontId="14" fillId="0" borderId="18" xfId="17" applyBorder="1"/>
    <xf numFmtId="43" fontId="4" fillId="0" borderId="18" xfId="42" applyFont="1" applyBorder="1"/>
    <xf numFmtId="0" fontId="82" fillId="0" borderId="17" xfId="17" applyFont="1" applyBorder="1" applyAlignment="1">
      <alignment horizontal="center" vertical="center"/>
    </xf>
    <xf numFmtId="43" fontId="21" fillId="2" borderId="1" xfId="1" applyFont="1" applyFill="1" applyBorder="1" applyAlignment="1">
      <alignment vertical="center" wrapText="1"/>
    </xf>
    <xf numFmtId="43" fontId="19" fillId="2" borderId="1" xfId="1" applyFont="1" applyFill="1" applyBorder="1" applyAlignment="1">
      <alignment wrapText="1"/>
    </xf>
    <xf numFmtId="0" fontId="82" fillId="0" borderId="1" xfId="17" applyFont="1" applyBorder="1"/>
    <xf numFmtId="0" fontId="14" fillId="0" borderId="1" xfId="17" applyBorder="1"/>
    <xf numFmtId="0" fontId="82" fillId="0" borderId="1" xfId="17" applyFont="1" applyBorder="1" applyAlignment="1">
      <alignment wrapText="1"/>
    </xf>
    <xf numFmtId="0" fontId="18" fillId="2" borderId="33" xfId="39" applyNumberFormat="1" applyFont="1" applyFill="1" applyBorder="1" applyAlignment="1">
      <alignment horizontal="right" vertical="center" wrapText="1"/>
    </xf>
    <xf numFmtId="0" fontId="18" fillId="2" borderId="34" xfId="29" applyFont="1" applyFill="1" applyBorder="1" applyAlignment="1">
      <alignment horizontal="right" vertical="center" wrapText="1"/>
    </xf>
    <xf numFmtId="0" fontId="18" fillId="2" borderId="35" xfId="39" applyNumberFormat="1" applyFont="1" applyFill="1" applyBorder="1" applyAlignment="1">
      <alignment horizontal="right" vertical="center" wrapText="1"/>
    </xf>
    <xf numFmtId="0" fontId="18" fillId="2" borderId="36" xfId="29" applyFont="1" applyFill="1" applyBorder="1" applyAlignment="1">
      <alignment horizontal="right" vertical="center" wrapText="1"/>
    </xf>
    <xf numFmtId="0" fontId="82" fillId="0" borderId="1" xfId="14" applyFont="1" applyBorder="1"/>
    <xf numFmtId="0" fontId="15" fillId="0" borderId="1" xfId="14" applyBorder="1"/>
    <xf numFmtId="0" fontId="82" fillId="0" borderId="1" xfId="14" applyFont="1" applyBorder="1" applyAlignment="1">
      <alignment wrapText="1"/>
    </xf>
    <xf numFmtId="0" fontId="4" fillId="0" borderId="1" xfId="14" applyFont="1" applyBorder="1" applyAlignment="1">
      <alignment horizontal="center"/>
    </xf>
    <xf numFmtId="0" fontId="4" fillId="0" borderId="1" xfId="14" applyFont="1" applyBorder="1"/>
    <xf numFmtId="43" fontId="4" fillId="0" borderId="1" xfId="43" applyFont="1" applyBorder="1"/>
    <xf numFmtId="43" fontId="90" fillId="2" borderId="1" xfId="1" applyFont="1" applyFill="1" applyBorder="1" applyAlignment="1">
      <alignment vertical="center" wrapText="1"/>
    </xf>
    <xf numFmtId="43" fontId="0" fillId="15" borderId="1" xfId="8" applyFont="1" applyFill="1" applyBorder="1"/>
    <xf numFmtId="3" fontId="19" fillId="2" borderId="0" xfId="29" applyNumberFormat="1" applyFont="1" applyFill="1" applyAlignment="1">
      <alignment horizontal="left" vertical="center" wrapText="1"/>
    </xf>
    <xf numFmtId="3" fontId="26" fillId="2" borderId="0" xfId="29" applyNumberFormat="1" applyFont="1" applyFill="1" applyAlignment="1">
      <alignment horizontal="left" vertical="center" wrapText="1"/>
    </xf>
    <xf numFmtId="3" fontId="17" fillId="2" borderId="0" xfId="29" applyNumberFormat="1" applyFill="1" applyAlignment="1">
      <alignment horizontal="left" vertical="center" wrapText="1"/>
    </xf>
    <xf numFmtId="43" fontId="19" fillId="2" borderId="18" xfId="1" applyFont="1" applyFill="1" applyBorder="1" applyAlignment="1">
      <alignment horizontal="center"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wrapText="1"/>
    </xf>
    <xf numFmtId="0" fontId="94" fillId="0" borderId="1" xfId="0" applyFont="1" applyBorder="1" applyAlignment="1">
      <alignment horizontal="right" wrapText="1"/>
    </xf>
    <xf numFmtId="43" fontId="84" fillId="2" borderId="0" xfId="39" applyFont="1" applyFill="1" applyAlignment="1">
      <alignment horizontal="right" vertical="center" wrapText="1"/>
    </xf>
    <xf numFmtId="3" fontId="19" fillId="2" borderId="3" xfId="29" applyNumberFormat="1" applyFont="1" applyFill="1" applyBorder="1" applyAlignment="1">
      <alignment horizontal="center" vertical="center" wrapText="1"/>
    </xf>
    <xf numFmtId="0" fontId="18" fillId="2" borderId="0" xfId="39" applyNumberFormat="1" applyFont="1" applyFill="1" applyBorder="1" applyAlignment="1">
      <alignment horizontal="right" vertical="center" wrapText="1"/>
    </xf>
    <xf numFmtId="0" fontId="18" fillId="2" borderId="0" xfId="29" applyFont="1" applyFill="1" applyAlignment="1">
      <alignment horizontal="right" vertical="center" wrapText="1"/>
    </xf>
    <xf numFmtId="0" fontId="21" fillId="19" borderId="1" xfId="0" applyFont="1" applyFill="1" applyBorder="1" applyAlignment="1">
      <alignment vertical="center" wrapText="1"/>
    </xf>
    <xf numFmtId="0" fontId="21" fillId="19" borderId="1" xfId="0" applyFont="1" applyFill="1" applyBorder="1" applyAlignment="1">
      <alignment horizontal="right" vertical="center" wrapText="1"/>
    </xf>
    <xf numFmtId="0" fontId="18" fillId="0" borderId="0" xfId="29" applyFont="1" applyAlignment="1">
      <alignment horizontal="center"/>
    </xf>
    <xf numFmtId="3" fontId="18" fillId="0" borderId="0" xfId="29" applyNumberFormat="1" applyFont="1" applyAlignment="1">
      <alignment horizontal="center"/>
    </xf>
    <xf numFmtId="3" fontId="21" fillId="0" borderId="0" xfId="29" applyNumberFormat="1" applyFont="1" applyAlignment="1">
      <alignment vertical="center" wrapText="1"/>
    </xf>
    <xf numFmtId="0" fontId="63" fillId="0" borderId="13" xfId="44" applyFont="1" applyBorder="1" applyAlignment="1">
      <alignment horizontal="center" vertical="center"/>
    </xf>
    <xf numFmtId="3" fontId="19" fillId="0" borderId="13" xfId="29" applyNumberFormat="1" applyFont="1" applyBorder="1" applyAlignment="1">
      <alignment horizontal="left" vertical="center" wrapText="1"/>
    </xf>
    <xf numFmtId="3" fontId="18" fillId="0" borderId="0" xfId="29" applyNumberFormat="1" applyFont="1" applyAlignment="1">
      <alignment vertical="center" wrapText="1"/>
    </xf>
    <xf numFmtId="3" fontId="18" fillId="0" borderId="13" xfId="29" applyNumberFormat="1" applyFont="1" applyBorder="1" applyAlignment="1" applyProtection="1">
      <alignment horizontal="center" vertical="center" wrapText="1"/>
      <protection locked="0"/>
    </xf>
    <xf numFmtId="3" fontId="18" fillId="0" borderId="13" xfId="29" applyNumberFormat="1" applyFont="1" applyBorder="1" applyAlignment="1">
      <alignment horizontal="left" vertical="center" wrapText="1"/>
    </xf>
    <xf numFmtId="3" fontId="21" fillId="0" borderId="0" xfId="29" applyNumberFormat="1" applyFont="1" applyAlignment="1">
      <alignment wrapText="1"/>
    </xf>
    <xf numFmtId="3" fontId="21" fillId="0" borderId="0" xfId="29" applyNumberFormat="1" applyFont="1" applyAlignment="1">
      <alignment horizontal="center" vertical="center" wrapText="1"/>
    </xf>
    <xf numFmtId="3" fontId="21" fillId="0" borderId="0" xfId="29" applyNumberFormat="1" applyFont="1" applyAlignment="1">
      <alignment horizontal="center" wrapText="1"/>
    </xf>
    <xf numFmtId="0" fontId="63" fillId="0" borderId="13" xfId="44" applyFont="1" applyBorder="1" applyAlignment="1">
      <alignment horizontal="justify" vertical="center"/>
    </xf>
    <xf numFmtId="3" fontId="18" fillId="0" borderId="21" xfId="29" applyNumberFormat="1" applyFont="1" applyBorder="1" applyAlignment="1">
      <alignment vertical="center"/>
    </xf>
    <xf numFmtId="3" fontId="18" fillId="0" borderId="22" xfId="29" applyNumberFormat="1" applyFont="1" applyBorder="1" applyAlignment="1">
      <alignment vertical="center"/>
    </xf>
    <xf numFmtId="0" fontId="26" fillId="19" borderId="1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wrapText="1"/>
    </xf>
    <xf numFmtId="0" fontId="95" fillId="19" borderId="1" xfId="0" applyFont="1" applyFill="1" applyBorder="1" applyAlignment="1">
      <alignment vertical="center" wrapText="1"/>
    </xf>
    <xf numFmtId="0" fontId="18" fillId="19" borderId="1" xfId="0" applyFont="1" applyFill="1" applyBorder="1" applyAlignment="1">
      <alignment horizontal="center" vertical="center" wrapText="1"/>
    </xf>
    <xf numFmtId="0" fontId="23" fillId="19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wrapText="1"/>
    </xf>
    <xf numFmtId="1" fontId="26" fillId="19" borderId="1" xfId="0" applyNumberFormat="1" applyFont="1" applyFill="1" applyBorder="1" applyAlignment="1">
      <alignment horizontal="center" vertical="center" wrapText="1"/>
    </xf>
    <xf numFmtId="1" fontId="23" fillId="19" borderId="1" xfId="0" applyNumberFormat="1" applyFont="1" applyFill="1" applyBorder="1" applyAlignment="1">
      <alignment horizontal="center" vertical="center" wrapText="1"/>
    </xf>
    <xf numFmtId="43" fontId="59" fillId="2" borderId="0" xfId="39" applyFont="1" applyFill="1" applyAlignment="1">
      <alignment horizontal="right" vertical="center" wrapText="1"/>
    </xf>
    <xf numFmtId="9" fontId="18" fillId="0" borderId="0" xfId="38" applyFont="1" applyAlignment="1">
      <alignment vertical="center"/>
    </xf>
    <xf numFmtId="43" fontId="18" fillId="0" borderId="0" xfId="8" applyFont="1" applyAlignment="1">
      <alignment horizontal="right" vertical="center"/>
    </xf>
    <xf numFmtId="43" fontId="18" fillId="0" borderId="0" xfId="8" applyFont="1" applyAlignment="1">
      <alignment horizontal="right"/>
    </xf>
    <xf numFmtId="9" fontId="18" fillId="0" borderId="0" xfId="38" applyFont="1"/>
    <xf numFmtId="0" fontId="63" fillId="0" borderId="13" xfId="48" applyFont="1" applyBorder="1" applyAlignment="1">
      <alignment horizontal="center" vertical="center"/>
    </xf>
    <xf numFmtId="43" fontId="63" fillId="0" borderId="13" xfId="47" applyFont="1" applyBorder="1" applyAlignment="1">
      <alignment vertical="center"/>
    </xf>
    <xf numFmtId="3" fontId="18" fillId="0" borderId="13" xfId="29" applyNumberFormat="1" applyFont="1" applyBorder="1" applyAlignment="1">
      <alignment horizontal="center" vertical="center" wrapText="1"/>
    </xf>
    <xf numFmtId="43" fontId="18" fillId="0" borderId="13" xfId="8" applyFont="1" applyBorder="1" applyAlignment="1">
      <alignment horizontal="left" vertical="center" wrapText="1"/>
    </xf>
    <xf numFmtId="3" fontId="18" fillId="2" borderId="13" xfId="29" applyNumberFormat="1" applyFont="1" applyFill="1" applyBorder="1" applyAlignment="1">
      <alignment horizontal="center" vertical="center" wrapText="1"/>
    </xf>
    <xf numFmtId="3" fontId="18" fillId="2" borderId="13" xfId="29" applyNumberFormat="1" applyFont="1" applyFill="1" applyBorder="1" applyAlignment="1">
      <alignment horizontal="left" vertical="center" wrapText="1"/>
    </xf>
    <xf numFmtId="3" fontId="63" fillId="0" borderId="13" xfId="48" applyNumberFormat="1" applyFont="1" applyBorder="1" applyAlignment="1">
      <alignment horizontal="center" vertical="center"/>
    </xf>
    <xf numFmtId="43" fontId="18" fillId="0" borderId="0" xfId="8" applyFont="1" applyBorder="1" applyAlignment="1">
      <alignment horizontal="right" vertical="center"/>
    </xf>
    <xf numFmtId="3" fontId="21" fillId="2" borderId="0" xfId="29" applyNumberFormat="1" applyFont="1" applyFill="1" applyAlignment="1">
      <alignment vertical="center" wrapText="1"/>
    </xf>
    <xf numFmtId="0" fontId="14" fillId="0" borderId="0" xfId="17" applyAlignment="1">
      <alignment horizontal="center"/>
    </xf>
    <xf numFmtId="0" fontId="14" fillId="0" borderId="0" xfId="17"/>
    <xf numFmtId="43" fontId="4" fillId="0" borderId="0" xfId="42" applyFont="1" applyBorder="1"/>
    <xf numFmtId="0" fontId="4" fillId="0" borderId="0" xfId="14" applyFont="1" applyAlignment="1">
      <alignment horizontal="center"/>
    </xf>
    <xf numFmtId="0" fontId="4" fillId="0" borderId="0" xfId="14" applyFont="1"/>
    <xf numFmtId="43" fontId="4" fillId="0" borderId="0" xfId="43" applyFont="1" applyBorder="1"/>
    <xf numFmtId="43" fontId="0" fillId="15" borderId="0" xfId="0" applyNumberFormat="1" applyFill="1"/>
    <xf numFmtId="43" fontId="0" fillId="15" borderId="0" xfId="8" applyFont="1" applyFill="1" applyBorder="1"/>
    <xf numFmtId="168" fontId="19" fillId="2" borderId="0" xfId="29" applyNumberFormat="1" applyFont="1" applyFill="1" applyAlignment="1">
      <alignment horizontal="left" vertical="center" wrapText="1"/>
    </xf>
    <xf numFmtId="3" fontId="21" fillId="2" borderId="20" xfId="29" applyNumberFormat="1" applyFont="1" applyFill="1" applyBorder="1" applyAlignment="1">
      <alignment horizontal="left" vertical="center" wrapText="1"/>
    </xf>
    <xf numFmtId="3" fontId="92" fillId="2" borderId="1" xfId="29" applyNumberFormat="1" applyFont="1" applyFill="1" applyBorder="1" applyAlignment="1">
      <alignment horizontal="left" vertical="center"/>
    </xf>
    <xf numFmtId="0" fontId="63" fillId="0" borderId="13" xfId="0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justify" vertical="center" wrapText="1"/>
    </xf>
    <xf numFmtId="43" fontId="21" fillId="2" borderId="0" xfId="1" applyFont="1" applyFill="1" applyBorder="1" applyAlignment="1">
      <alignment vertical="center" wrapText="1"/>
    </xf>
    <xf numFmtId="178" fontId="19" fillId="0" borderId="37" xfId="0" applyNumberFormat="1" applyFont="1" applyBorder="1" applyAlignment="1">
      <alignment horizontal="center" vertical="center" wrapText="1"/>
    </xf>
    <xf numFmtId="176" fontId="18" fillId="0" borderId="37" xfId="0" applyNumberFormat="1" applyFont="1" applyBorder="1" applyAlignment="1">
      <alignment horizontal="center" vertical="center" wrapText="1"/>
    </xf>
    <xf numFmtId="176" fontId="18" fillId="0" borderId="38" xfId="0" applyNumberFormat="1" applyFont="1" applyBorder="1" applyAlignment="1">
      <alignment horizontal="center" vertical="center" wrapText="1"/>
    </xf>
    <xf numFmtId="3" fontId="18" fillId="2" borderId="14" xfId="29" applyNumberFormat="1" applyFont="1" applyFill="1" applyBorder="1" applyAlignment="1">
      <alignment horizontal="center" vertical="center" wrapText="1"/>
    </xf>
    <xf numFmtId="2" fontId="21" fillId="19" borderId="1" xfId="0" applyNumberFormat="1" applyFont="1" applyFill="1" applyBorder="1" applyAlignment="1">
      <alignment horizontal="right" vertical="center" wrapText="1"/>
    </xf>
    <xf numFmtId="49" fontId="23" fillId="0" borderId="7" xfId="0" applyNumberFormat="1" applyFont="1" applyBorder="1" applyAlignment="1" applyProtection="1">
      <alignment vertical="center" wrapText="1"/>
      <protection locked="0"/>
    </xf>
    <xf numFmtId="49" fontId="23" fillId="0" borderId="31" xfId="0" applyNumberFormat="1" applyFont="1" applyBorder="1" applyAlignment="1" applyProtection="1">
      <alignment vertical="center" wrapText="1"/>
      <protection locked="0"/>
    </xf>
    <xf numFmtId="3" fontId="18" fillId="0" borderId="13" xfId="49" applyNumberFormat="1" applyFont="1" applyBorder="1" applyAlignment="1">
      <alignment horizontal="center" vertical="center" wrapText="1"/>
    </xf>
    <xf numFmtId="3" fontId="26" fillId="0" borderId="0" xfId="49" applyNumberFormat="1" applyFont="1" applyAlignment="1">
      <alignment vertical="center" wrapText="1"/>
    </xf>
    <xf numFmtId="9" fontId="21" fillId="0" borderId="0" xfId="68" applyFont="1" applyAlignment="1">
      <alignment vertical="center" wrapText="1"/>
    </xf>
    <xf numFmtId="3" fontId="21" fillId="0" borderId="0" xfId="49" applyNumberFormat="1" applyFont="1" applyAlignment="1">
      <alignment vertical="center" wrapText="1"/>
    </xf>
    <xf numFmtId="43" fontId="21" fillId="0" borderId="0" xfId="8" applyFont="1" applyAlignment="1">
      <alignment vertical="center" wrapText="1"/>
    </xf>
    <xf numFmtId="3" fontId="26" fillId="0" borderId="0" xfId="49" applyNumberFormat="1" applyFont="1" applyAlignment="1">
      <alignment horizontal="center" vertical="center" wrapText="1"/>
    </xf>
    <xf numFmtId="3" fontId="19" fillId="0" borderId="19" xfId="49" applyNumberFormat="1" applyFont="1" applyBorder="1" applyAlignment="1">
      <alignment horizontal="left" vertical="center" wrapText="1"/>
    </xf>
    <xf numFmtId="3" fontId="18" fillId="0" borderId="0" xfId="49" applyNumberFormat="1" applyFont="1" applyAlignment="1">
      <alignment vertical="center" wrapText="1"/>
    </xf>
    <xf numFmtId="3" fontId="18" fillId="0" borderId="13" xfId="49" applyNumberFormat="1" applyFont="1" applyBorder="1" applyAlignment="1">
      <alignment vertical="center" wrapText="1"/>
    </xf>
    <xf numFmtId="43" fontId="18" fillId="0" borderId="0" xfId="8" applyFont="1" applyAlignment="1">
      <alignment vertical="center" wrapText="1"/>
    </xf>
    <xf numFmtId="3" fontId="18" fillId="0" borderId="19" xfId="49" applyNumberFormat="1" applyFont="1" applyBorder="1" applyAlignment="1">
      <alignment vertical="center" wrapText="1"/>
    </xf>
    <xf numFmtId="3" fontId="19" fillId="0" borderId="13" xfId="49" applyNumberFormat="1" applyFont="1" applyBorder="1" applyAlignment="1">
      <alignment horizontal="center" vertical="center" wrapText="1"/>
    </xf>
    <xf numFmtId="9" fontId="18" fillId="0" borderId="13" xfId="61" applyFont="1" applyBorder="1" applyAlignment="1">
      <alignment horizontal="center" vertical="center" wrapText="1"/>
    </xf>
    <xf numFmtId="9" fontId="18" fillId="0" borderId="13" xfId="8" applyNumberFormat="1" applyFont="1" applyBorder="1" applyAlignment="1">
      <alignment horizontal="right" vertical="center" wrapText="1"/>
    </xf>
    <xf numFmtId="43" fontId="18" fillId="0" borderId="13" xfId="8" applyFont="1" applyBorder="1" applyAlignment="1" applyProtection="1">
      <alignment horizontal="right" vertical="center" wrapText="1"/>
      <protection locked="0"/>
    </xf>
    <xf numFmtId="9" fontId="18" fillId="0" borderId="13" xfId="8" applyNumberFormat="1" applyFont="1" applyBorder="1" applyAlignment="1" applyProtection="1">
      <alignment horizontal="right" vertical="center" wrapText="1"/>
      <protection locked="0"/>
    </xf>
    <xf numFmtId="0" fontId="19" fillId="0" borderId="13" xfId="49" applyFont="1" applyBorder="1" applyAlignment="1">
      <alignment vertical="center"/>
    </xf>
    <xf numFmtId="0" fontId="18" fillId="0" borderId="13" xfId="49" applyFont="1" applyBorder="1" applyAlignment="1">
      <alignment vertical="center" wrapText="1"/>
    </xf>
    <xf numFmtId="0" fontId="18" fillId="0" borderId="19" xfId="49" applyFont="1" applyBorder="1" applyAlignment="1">
      <alignment vertical="center" wrapText="1"/>
    </xf>
    <xf numFmtId="3" fontId="19" fillId="0" borderId="19" xfId="49" applyNumberFormat="1" applyFont="1" applyBorder="1" applyAlignment="1">
      <alignment horizontal="left" vertical="center"/>
    </xf>
    <xf numFmtId="3" fontId="26" fillId="0" borderId="0" xfId="49" applyNumberFormat="1" applyFont="1" applyAlignment="1">
      <alignment vertical="center"/>
    </xf>
    <xf numFmtId="3" fontId="18" fillId="0" borderId="37" xfId="49" applyNumberFormat="1" applyFont="1" applyBorder="1" applyAlignment="1">
      <alignment horizontal="left" vertical="center" wrapText="1" indent="1"/>
    </xf>
    <xf numFmtId="43" fontId="18" fillId="0" borderId="13" xfId="69" applyFont="1" applyBorder="1" applyAlignment="1">
      <alignment horizontal="right" vertical="center" wrapText="1"/>
    </xf>
    <xf numFmtId="3" fontId="18" fillId="0" borderId="13" xfId="71" applyNumberFormat="1" applyFont="1" applyBorder="1" applyAlignment="1">
      <alignment horizontal="center" vertical="center" wrapText="1"/>
    </xf>
    <xf numFmtId="9" fontId="18" fillId="0" borderId="13" xfId="61" applyFont="1" applyBorder="1" applyAlignment="1">
      <alignment horizontal="right" vertical="center" wrapText="1"/>
    </xf>
    <xf numFmtId="3" fontId="19" fillId="0" borderId="13" xfId="49" applyNumberFormat="1" applyFont="1" applyBorder="1" applyAlignment="1">
      <alignment horizontal="left" vertical="center" wrapText="1"/>
    </xf>
    <xf numFmtId="3" fontId="18" fillId="0" borderId="13" xfId="49" applyNumberFormat="1" applyFont="1" applyBorder="1" applyAlignment="1" applyProtection="1">
      <alignment horizontal="center" vertical="center" wrapText="1"/>
      <protection locked="0"/>
    </xf>
    <xf numFmtId="3" fontId="18" fillId="0" borderId="1" xfId="49" applyNumberFormat="1" applyFont="1" applyBorder="1" applyAlignment="1">
      <alignment vertical="center" wrapText="1"/>
    </xf>
    <xf numFmtId="43" fontId="18" fillId="0" borderId="1" xfId="8" applyFont="1" applyBorder="1" applyAlignment="1">
      <alignment horizontal="center" vertical="center" wrapText="1"/>
    </xf>
    <xf numFmtId="3" fontId="18" fillId="0" borderId="24" xfId="49" applyNumberFormat="1" applyFont="1" applyBorder="1" applyAlignment="1">
      <alignment horizontal="center" vertical="center" wrapText="1"/>
    </xf>
    <xf numFmtId="3" fontId="19" fillId="0" borderId="24" xfId="49" applyNumberFormat="1" applyFont="1" applyBorder="1" applyAlignment="1">
      <alignment horizontal="center" vertical="center" wrapText="1"/>
    </xf>
    <xf numFmtId="3" fontId="19" fillId="0" borderId="24" xfId="49" applyNumberFormat="1" applyFont="1" applyBorder="1" applyAlignment="1" applyProtection="1">
      <alignment horizontal="center" vertical="center" wrapText="1"/>
      <protection locked="0"/>
    </xf>
    <xf numFmtId="43" fontId="19" fillId="0" borderId="24" xfId="8" applyFont="1" applyBorder="1" applyAlignment="1">
      <alignment horizontal="left" vertical="center" wrapText="1"/>
    </xf>
    <xf numFmtId="9" fontId="18" fillId="0" borderId="24" xfId="61" applyFont="1" applyBorder="1" applyAlignment="1" applyProtection="1">
      <alignment horizontal="center" vertical="center" wrapText="1"/>
      <protection locked="0"/>
    </xf>
    <xf numFmtId="9" fontId="18" fillId="0" borderId="24" xfId="61" applyFont="1" applyBorder="1" applyAlignment="1" applyProtection="1">
      <alignment horizontal="right" vertical="center" wrapText="1"/>
      <protection locked="0"/>
    </xf>
    <xf numFmtId="43" fontId="18" fillId="0" borderId="24" xfId="8" applyFont="1" applyBorder="1" applyAlignment="1">
      <alignment horizontal="left" vertical="center" wrapText="1"/>
    </xf>
    <xf numFmtId="43" fontId="18" fillId="0" borderId="39" xfId="8" applyFont="1" applyBorder="1" applyAlignment="1">
      <alignment vertical="center" wrapText="1"/>
    </xf>
    <xf numFmtId="43" fontId="19" fillId="0" borderId="39" xfId="8" applyFont="1" applyBorder="1" applyAlignment="1">
      <alignment vertical="center" wrapText="1"/>
    </xf>
    <xf numFmtId="3" fontId="18" fillId="0" borderId="1" xfId="49" applyNumberFormat="1" applyFont="1" applyBorder="1" applyAlignment="1">
      <alignment horizontal="center" vertical="center" wrapText="1"/>
    </xf>
    <xf numFmtId="3" fontId="26" fillId="0" borderId="0" xfId="49" applyNumberFormat="1" applyFont="1" applyAlignment="1">
      <alignment wrapText="1"/>
    </xf>
    <xf numFmtId="3" fontId="21" fillId="0" borderId="0" xfId="49" applyNumberFormat="1" applyFont="1" applyAlignment="1">
      <alignment wrapText="1"/>
    </xf>
    <xf numFmtId="3" fontId="21" fillId="0" borderId="0" xfId="49" applyNumberFormat="1" applyFont="1" applyAlignment="1">
      <alignment horizontal="center" vertical="center" wrapText="1"/>
    </xf>
    <xf numFmtId="3" fontId="21" fillId="0" borderId="0" xfId="49" applyNumberFormat="1" applyFont="1" applyAlignment="1">
      <alignment horizontal="center" wrapText="1"/>
    </xf>
    <xf numFmtId="43" fontId="21" fillId="0" borderId="0" xfId="8" applyFont="1" applyAlignment="1">
      <alignment horizontal="right" wrapText="1"/>
    </xf>
    <xf numFmtId="9" fontId="21" fillId="0" borderId="0" xfId="61" applyFont="1" applyAlignment="1">
      <alignment horizontal="right" wrapText="1"/>
    </xf>
    <xf numFmtId="0" fontId="19" fillId="0" borderId="2" xfId="29" applyFont="1" applyBorder="1" applyAlignment="1">
      <alignment horizontal="left" vertical="center" indent="1"/>
    </xf>
    <xf numFmtId="3" fontId="19" fillId="0" borderId="2" xfId="29" applyNumberFormat="1" applyFont="1" applyBorder="1" applyAlignment="1">
      <alignment horizontal="center" vertical="center"/>
    </xf>
    <xf numFmtId="43" fontId="19" fillId="0" borderId="25" xfId="8" applyFont="1" applyBorder="1" applyAlignment="1">
      <alignment horizontal="center" vertical="center"/>
    </xf>
    <xf numFmtId="43" fontId="19" fillId="0" borderId="18" xfId="8" applyFont="1" applyBorder="1" applyAlignment="1">
      <alignment horizontal="center" vertical="center"/>
    </xf>
    <xf numFmtId="9" fontId="18" fillId="0" borderId="22" xfId="3" applyFont="1" applyBorder="1" applyAlignment="1">
      <alignment vertical="center"/>
    </xf>
    <xf numFmtId="9" fontId="0" fillId="0" borderId="0" xfId="3" applyFont="1"/>
    <xf numFmtId="43" fontId="19" fillId="0" borderId="44" xfId="8" applyFont="1" applyBorder="1" applyAlignment="1">
      <alignment horizontal="left" vertical="center" wrapText="1" indent="1"/>
    </xf>
    <xf numFmtId="43" fontId="18" fillId="0" borderId="39" xfId="29" applyNumberFormat="1" applyFont="1" applyBorder="1" applyAlignment="1">
      <alignment horizontal="right" vertical="center" wrapText="1" indent="1"/>
    </xf>
    <xf numFmtId="3" fontId="23" fillId="0" borderId="35" xfId="29" applyNumberFormat="1" applyFont="1" applyBorder="1" applyAlignment="1">
      <alignment horizontal="left" vertical="center" wrapText="1"/>
    </xf>
    <xf numFmtId="43" fontId="23" fillId="0" borderId="36" xfId="8" applyFont="1" applyBorder="1" applyAlignment="1">
      <alignment horizontal="right" vertical="center" wrapText="1" indent="1"/>
    </xf>
    <xf numFmtId="43" fontId="18" fillId="0" borderId="50" xfId="8" applyFont="1" applyBorder="1" applyAlignment="1">
      <alignment horizontal="right" vertical="center" wrapText="1" indent="1"/>
    </xf>
    <xf numFmtId="43" fontId="23" fillId="2" borderId="36" xfId="8" applyFont="1" applyFill="1" applyBorder="1" applyAlignment="1">
      <alignment horizontal="right" vertical="center" wrapText="1" indent="1"/>
    </xf>
    <xf numFmtId="43" fontId="18" fillId="0" borderId="39" xfId="8" applyFont="1" applyBorder="1" applyAlignment="1">
      <alignment horizontal="right" vertical="center" wrapText="1" indent="1"/>
    </xf>
    <xf numFmtId="177" fontId="18" fillId="0" borderId="35" xfId="0" applyNumberFormat="1" applyFont="1" applyBorder="1" applyAlignment="1">
      <alignment vertical="center" wrapText="1"/>
    </xf>
    <xf numFmtId="3" fontId="19" fillId="2" borderId="51" xfId="29" applyNumberFormat="1" applyFont="1" applyFill="1" applyBorder="1" applyAlignment="1">
      <alignment horizontal="center" vertical="center" wrapText="1"/>
    </xf>
    <xf numFmtId="43" fontId="18" fillId="0" borderId="52" xfId="8" applyFont="1" applyBorder="1" applyAlignment="1">
      <alignment horizontal="right" vertical="center" wrapText="1" indent="1"/>
    </xf>
    <xf numFmtId="3" fontId="23" fillId="2" borderId="53" xfId="29" applyNumberFormat="1" applyFont="1" applyFill="1" applyBorder="1" applyAlignment="1">
      <alignment vertical="center" wrapText="1"/>
    </xf>
    <xf numFmtId="43" fontId="23" fillId="2" borderId="36" xfId="29" applyNumberFormat="1" applyFont="1" applyFill="1" applyBorder="1" applyAlignment="1">
      <alignment horizontal="right" vertical="center" wrapText="1" indent="1"/>
    </xf>
    <xf numFmtId="3" fontId="19" fillId="20" borderId="40" xfId="49" applyNumberFormat="1" applyFont="1" applyFill="1" applyBorder="1" applyAlignment="1">
      <alignment vertical="center"/>
    </xf>
    <xf numFmtId="3" fontId="19" fillId="20" borderId="41" xfId="49" applyNumberFormat="1" applyFont="1" applyFill="1" applyBorder="1" applyAlignment="1">
      <alignment vertical="center"/>
    </xf>
    <xf numFmtId="3" fontId="19" fillId="20" borderId="41" xfId="49" applyNumberFormat="1" applyFont="1" applyFill="1" applyBorder="1" applyAlignment="1">
      <alignment vertical="center" wrapText="1"/>
    </xf>
    <xf numFmtId="166" fontId="19" fillId="0" borderId="37" xfId="49" applyNumberFormat="1" applyFont="1" applyBorder="1" applyAlignment="1">
      <alignment horizontal="left" vertical="center" wrapText="1" indent="1"/>
    </xf>
    <xf numFmtId="43" fontId="18" fillId="0" borderId="39" xfId="49" applyNumberFormat="1" applyFont="1" applyBorder="1" applyAlignment="1">
      <alignment vertical="center" wrapText="1"/>
    </xf>
    <xf numFmtId="166" fontId="19" fillId="0" borderId="37" xfId="49" applyNumberFormat="1" applyFont="1" applyBorder="1" applyAlignment="1">
      <alignment horizontal="center" vertical="center" wrapText="1"/>
    </xf>
    <xf numFmtId="3" fontId="18" fillId="0" borderId="37" xfId="49" applyNumberFormat="1" applyFont="1" applyBorder="1" applyAlignment="1">
      <alignment horizontal="center" vertical="center" wrapText="1"/>
    </xf>
    <xf numFmtId="43" fontId="18" fillId="0" borderId="39" xfId="69" applyFont="1" applyBorder="1" applyAlignment="1">
      <alignment vertical="center" wrapText="1"/>
    </xf>
    <xf numFmtId="166" fontId="19" fillId="0" borderId="37" xfId="49" quotePrefix="1" applyNumberFormat="1" applyFont="1" applyBorder="1" applyAlignment="1">
      <alignment horizontal="left" vertical="center" wrapText="1" indent="1"/>
    </xf>
    <xf numFmtId="3" fontId="18" fillId="0" borderId="55" xfId="49" applyNumberFormat="1" applyFont="1" applyBorder="1" applyAlignment="1">
      <alignment horizontal="left" vertical="center" wrapText="1" indent="1"/>
    </xf>
    <xf numFmtId="43" fontId="18" fillId="0" borderId="52" xfId="49" applyNumberFormat="1" applyFont="1" applyBorder="1" applyAlignment="1">
      <alignment vertical="center" wrapText="1"/>
    </xf>
    <xf numFmtId="3" fontId="23" fillId="0" borderId="35" xfId="49" applyNumberFormat="1" applyFont="1" applyBorder="1" applyAlignment="1">
      <alignment horizontal="left" vertical="center" wrapText="1"/>
    </xf>
    <xf numFmtId="165" fontId="0" fillId="0" borderId="0" xfId="3" applyNumberFormat="1" applyFont="1"/>
    <xf numFmtId="43" fontId="19" fillId="2" borderId="0" xfId="1" applyFont="1" applyFill="1" applyBorder="1" applyAlignment="1">
      <alignment wrapText="1"/>
    </xf>
    <xf numFmtId="2" fontId="94" fillId="0" borderId="1" xfId="0" applyNumberFormat="1" applyFont="1" applyBorder="1" applyAlignment="1">
      <alignment horizontal="right" wrapText="1"/>
    </xf>
    <xf numFmtId="2" fontId="0" fillId="0" borderId="1" xfId="0" applyNumberFormat="1" applyBorder="1"/>
    <xf numFmtId="0" fontId="0" fillId="0" borderId="0" xfId="29" applyFont="1"/>
    <xf numFmtId="0" fontId="17" fillId="0" borderId="0" xfId="29" applyAlignment="1">
      <alignment horizontal="center"/>
    </xf>
    <xf numFmtId="0" fontId="19" fillId="0" borderId="18" xfId="29" applyFont="1" applyBorder="1" applyAlignment="1">
      <alignment horizontal="center" vertical="center"/>
    </xf>
    <xf numFmtId="0" fontId="19" fillId="0" borderId="1" xfId="29" applyFont="1" applyBorder="1" applyAlignment="1">
      <alignment horizontal="left" vertical="center" indent="1"/>
    </xf>
    <xf numFmtId="0" fontId="95" fillId="0" borderId="1" xfId="29" applyFont="1" applyBorder="1" applyAlignment="1">
      <alignment vertical="center"/>
    </xf>
    <xf numFmtId="167" fontId="19" fillId="0" borderId="1" xfId="8" applyNumberFormat="1" applyFont="1" applyBorder="1" applyAlignment="1">
      <alignment horizontal="center" vertical="center"/>
    </xf>
    <xf numFmtId="0" fontId="18" fillId="0" borderId="12" xfId="29" applyFont="1" applyBorder="1" applyAlignment="1">
      <alignment horizontal="left" vertical="center" indent="1"/>
    </xf>
    <xf numFmtId="0" fontId="18" fillId="0" borderId="12" xfId="29" applyFont="1" applyBorder="1" applyAlignment="1">
      <alignment horizontal="center" vertical="center"/>
    </xf>
    <xf numFmtId="0" fontId="99" fillId="0" borderId="12" xfId="29" applyFont="1" applyBorder="1" applyAlignment="1">
      <alignment horizontal="center" vertical="center" wrapText="1"/>
    </xf>
    <xf numFmtId="43" fontId="18" fillId="0" borderId="12" xfId="8" applyFont="1" applyBorder="1" applyAlignment="1">
      <alignment horizontal="right" vertical="center" wrapText="1" indent="1"/>
    </xf>
    <xf numFmtId="0" fontId="18" fillId="0" borderId="13" xfId="29" applyFont="1" applyBorder="1" applyAlignment="1">
      <alignment horizontal="left" vertical="center" indent="1"/>
    </xf>
    <xf numFmtId="0" fontId="18" fillId="0" borderId="13" xfId="29" applyFont="1" applyBorder="1" applyAlignment="1">
      <alignment horizontal="center" vertical="center"/>
    </xf>
    <xf numFmtId="43" fontId="18" fillId="0" borderId="13" xfId="8" applyFont="1" applyBorder="1" applyAlignment="1">
      <alignment horizontal="right" vertical="center" wrapText="1" indent="1"/>
    </xf>
    <xf numFmtId="0" fontId="18" fillId="0" borderId="14" xfId="29" applyFont="1" applyBorder="1" applyAlignment="1">
      <alignment horizontal="center" vertical="center"/>
    </xf>
    <xf numFmtId="43" fontId="18" fillId="0" borderId="14" xfId="8" applyFont="1" applyBorder="1" applyAlignment="1">
      <alignment horizontal="right" vertical="center" wrapText="1" indent="1"/>
    </xf>
    <xf numFmtId="0" fontId="18" fillId="0" borderId="13" xfId="29" applyFont="1" applyBorder="1" applyAlignment="1">
      <alignment horizontal="left" vertical="center" wrapText="1" indent="1"/>
    </xf>
    <xf numFmtId="0" fontId="18" fillId="0" borderId="13" xfId="29" applyFont="1" applyBorder="1" applyAlignment="1">
      <alignment horizontal="center" vertical="center" wrapText="1"/>
    </xf>
    <xf numFmtId="0" fontId="18" fillId="0" borderId="14" xfId="29" applyFont="1" applyBorder="1" applyAlignment="1">
      <alignment horizontal="left" vertical="center" wrapText="1" indent="1"/>
    </xf>
    <xf numFmtId="0" fontId="18" fillId="0" borderId="14" xfId="29" applyFont="1" applyBorder="1" applyAlignment="1">
      <alignment horizontal="center" vertical="center" wrapText="1"/>
    </xf>
    <xf numFmtId="0" fontId="99" fillId="0" borderId="13" xfId="29" applyFont="1" applyBorder="1" applyAlignment="1">
      <alignment horizontal="left" vertical="center" wrapText="1" indent="1"/>
    </xf>
    <xf numFmtId="0" fontId="99" fillId="0" borderId="13" xfId="29" applyFont="1" applyBorder="1" applyAlignment="1">
      <alignment horizontal="center" vertical="center"/>
    </xf>
    <xf numFmtId="43" fontId="99" fillId="0" borderId="13" xfId="8" applyFont="1" applyBorder="1" applyAlignment="1">
      <alignment horizontal="right" vertical="center" wrapText="1" indent="1"/>
    </xf>
    <xf numFmtId="43" fontId="18" fillId="0" borderId="13" xfId="8" applyFont="1" applyFill="1" applyBorder="1" applyAlignment="1">
      <alignment horizontal="left" vertical="center" wrapText="1"/>
    </xf>
    <xf numFmtId="0" fontId="99" fillId="0" borderId="13" xfId="29" applyFont="1" applyBorder="1" applyAlignment="1">
      <alignment horizontal="center" vertical="center" wrapText="1"/>
    </xf>
    <xf numFmtId="0" fontId="19" fillId="0" borderId="13" xfId="29" applyFont="1" applyBorder="1" applyAlignment="1">
      <alignment horizontal="left" vertical="center" indent="1"/>
    </xf>
    <xf numFmtId="0" fontId="95" fillId="0" borderId="13" xfId="29" applyFont="1" applyBorder="1" applyAlignment="1">
      <alignment vertical="center"/>
    </xf>
    <xf numFmtId="167" fontId="95" fillId="0" borderId="13" xfId="8" applyNumberFormat="1" applyFont="1" applyBorder="1" applyAlignment="1">
      <alignment horizontal="right" vertical="center"/>
    </xf>
    <xf numFmtId="0" fontId="19" fillId="0" borderId="45" xfId="29" applyFont="1" applyBorder="1" applyAlignment="1">
      <alignment horizontal="center" vertical="center"/>
    </xf>
    <xf numFmtId="43" fontId="19" fillId="0" borderId="46" xfId="8" applyFont="1" applyBorder="1" applyAlignment="1">
      <alignment horizontal="center" vertical="center"/>
    </xf>
    <xf numFmtId="0" fontId="19" fillId="0" borderId="61" xfId="29" applyFont="1" applyBorder="1" applyAlignment="1">
      <alignment horizontal="center" vertical="center"/>
    </xf>
    <xf numFmtId="167" fontId="19" fillId="0" borderId="54" xfId="8" applyNumberFormat="1" applyFont="1" applyBorder="1" applyAlignment="1">
      <alignment horizontal="center" vertical="center"/>
    </xf>
    <xf numFmtId="0" fontId="18" fillId="0" borderId="62" xfId="29" applyFont="1" applyBorder="1" applyAlignment="1">
      <alignment horizontal="left" vertical="center" indent="1"/>
    </xf>
    <xf numFmtId="0" fontId="18" fillId="0" borderId="37" xfId="29" applyFont="1" applyBorder="1" applyAlignment="1">
      <alignment horizontal="left" vertical="center" indent="1"/>
    </xf>
    <xf numFmtId="0" fontId="19" fillId="0" borderId="37" xfId="29" applyFont="1" applyBorder="1" applyAlignment="1">
      <alignment horizontal="center" vertical="center"/>
    </xf>
    <xf numFmtId="167" fontId="95" fillId="0" borderId="39" xfId="8" applyNumberFormat="1" applyFont="1" applyBorder="1" applyAlignment="1">
      <alignment horizontal="right" vertical="center"/>
    </xf>
    <xf numFmtId="0" fontId="18" fillId="0" borderId="37" xfId="29" applyFont="1" applyBorder="1" applyAlignment="1">
      <alignment horizontal="left" vertical="center" wrapText="1" indent="1"/>
    </xf>
    <xf numFmtId="0" fontId="18" fillId="0" borderId="38" xfId="29" applyFont="1" applyBorder="1" applyAlignment="1">
      <alignment horizontal="left" vertical="center" wrapText="1" indent="1"/>
    </xf>
    <xf numFmtId="43" fontId="18" fillId="0" borderId="63" xfId="8" applyFont="1" applyBorder="1" applyAlignment="1">
      <alignment horizontal="right" vertical="center" wrapText="1" indent="1"/>
    </xf>
    <xf numFmtId="3" fontId="19" fillId="2" borderId="53" xfId="29" applyNumberFormat="1" applyFont="1" applyFill="1" applyBorder="1" applyAlignment="1">
      <alignment vertical="center" wrapText="1"/>
    </xf>
    <xf numFmtId="43" fontId="19" fillId="2" borderId="36" xfId="8" applyFont="1" applyFill="1" applyBorder="1" applyAlignment="1">
      <alignment vertical="center" wrapText="1"/>
    </xf>
    <xf numFmtId="0" fontId="18" fillId="20" borderId="64" xfId="29" applyFont="1" applyFill="1" applyBorder="1" applyAlignment="1">
      <alignment horizontal="center"/>
    </xf>
    <xf numFmtId="0" fontId="18" fillId="20" borderId="65" xfId="29" applyFont="1" applyFill="1" applyBorder="1"/>
    <xf numFmtId="0" fontId="18" fillId="20" borderId="65" xfId="29" applyFont="1" applyFill="1" applyBorder="1" applyAlignment="1">
      <alignment horizontal="center"/>
    </xf>
    <xf numFmtId="3" fontId="18" fillId="20" borderId="65" xfId="29" applyNumberFormat="1" applyFont="1" applyFill="1" applyBorder="1" applyAlignment="1">
      <alignment horizontal="center"/>
    </xf>
    <xf numFmtId="43" fontId="18" fillId="20" borderId="65" xfId="8" applyFont="1" applyFill="1" applyBorder="1" applyAlignment="1">
      <alignment horizontal="right"/>
    </xf>
    <xf numFmtId="43" fontId="18" fillId="20" borderId="66" xfId="8" applyFont="1" applyFill="1" applyBorder="1" applyAlignment="1">
      <alignment horizontal="right"/>
    </xf>
    <xf numFmtId="0" fontId="18" fillId="0" borderId="67" xfId="29" applyFont="1" applyBorder="1" applyAlignment="1">
      <alignment horizontal="center" vertical="center"/>
    </xf>
    <xf numFmtId="0" fontId="18" fillId="0" borderId="71" xfId="29" applyFont="1" applyBorder="1" applyAlignment="1">
      <alignment horizontal="center" vertical="center"/>
    </xf>
    <xf numFmtId="43" fontId="18" fillId="0" borderId="72" xfId="8" applyFont="1" applyBorder="1" applyAlignment="1">
      <alignment horizontal="right" vertical="center"/>
    </xf>
    <xf numFmtId="43" fontId="19" fillId="0" borderId="72" xfId="8" applyFont="1" applyBorder="1" applyAlignment="1">
      <alignment horizontal="right" vertical="center"/>
    </xf>
    <xf numFmtId="0" fontId="18" fillId="0" borderId="73" xfId="29" applyFont="1" applyBorder="1" applyAlignment="1">
      <alignment horizontal="center" vertical="center"/>
    </xf>
    <xf numFmtId="43" fontId="18" fillId="0" borderId="74" xfId="8" applyFont="1" applyBorder="1" applyAlignment="1">
      <alignment horizontal="right" vertical="center"/>
    </xf>
    <xf numFmtId="0" fontId="18" fillId="0" borderId="73" xfId="29" applyFont="1" applyBorder="1" applyAlignment="1">
      <alignment vertical="center"/>
    </xf>
    <xf numFmtId="0" fontId="18" fillId="0" borderId="73" xfId="29" applyFont="1" applyBorder="1" applyAlignment="1">
      <alignment horizontal="left" vertical="center"/>
    </xf>
    <xf numFmtId="0" fontId="18" fillId="0" borderId="75" xfId="29" applyFont="1" applyBorder="1" applyAlignment="1">
      <alignment horizontal="center" vertical="center"/>
    </xf>
    <xf numFmtId="0" fontId="18" fillId="0" borderId="76" xfId="29" applyFont="1" applyBorder="1" applyAlignment="1">
      <alignment vertical="center"/>
    </xf>
    <xf numFmtId="0" fontId="18" fillId="0" borderId="76" xfId="29" applyFont="1" applyBorder="1" applyAlignment="1">
      <alignment horizontal="center" vertical="center"/>
    </xf>
    <xf numFmtId="3" fontId="18" fillId="0" borderId="76" xfId="29" applyNumberFormat="1" applyFont="1" applyBorder="1" applyAlignment="1">
      <alignment horizontal="center" vertical="center"/>
    </xf>
    <xf numFmtId="43" fontId="18" fillId="0" borderId="76" xfId="8" applyFont="1" applyBorder="1" applyAlignment="1">
      <alignment horizontal="right" vertical="center"/>
    </xf>
    <xf numFmtId="43" fontId="18" fillId="0" borderId="77" xfId="8" applyFont="1" applyBorder="1" applyAlignment="1">
      <alignment horizontal="right" vertical="center"/>
    </xf>
    <xf numFmtId="0" fontId="30" fillId="0" borderId="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8" xfId="0" applyFont="1" applyBorder="1" applyAlignment="1">
      <alignment horizontal="center"/>
    </xf>
    <xf numFmtId="49" fontId="23" fillId="0" borderId="7" xfId="0" applyNumberFormat="1" applyFont="1" applyBorder="1" applyAlignment="1" applyProtection="1">
      <alignment horizontal="left" vertical="center" wrapText="1" indent="1"/>
      <protection locked="0"/>
    </xf>
    <xf numFmtId="49" fontId="23" fillId="0" borderId="0" xfId="0" applyNumberFormat="1" applyFont="1" applyAlignment="1" applyProtection="1">
      <alignment horizontal="left" vertical="center" wrapText="1" indent="1"/>
      <protection locked="0"/>
    </xf>
    <xf numFmtId="49" fontId="26" fillId="0" borderId="7" xfId="0" applyNumberFormat="1" applyFont="1" applyBorder="1" applyAlignment="1" applyProtection="1">
      <alignment horizontal="left" vertical="center" wrapText="1" indent="1"/>
      <protection locked="0"/>
    </xf>
    <xf numFmtId="49" fontId="26" fillId="0" borderId="0" xfId="0" applyNumberFormat="1" applyFont="1" applyAlignment="1" applyProtection="1">
      <alignment horizontal="left" vertical="center" wrapText="1" inden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3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/>
    </xf>
    <xf numFmtId="49" fontId="23" fillId="0" borderId="0" xfId="0" applyNumberFormat="1" applyFont="1" applyAlignment="1" applyProtection="1">
      <alignment horizontal="center" vertical="center" wrapText="1"/>
      <protection locked="0"/>
    </xf>
    <xf numFmtId="0" fontId="30" fillId="20" borderId="67" xfId="29" applyFont="1" applyFill="1" applyBorder="1" applyAlignment="1">
      <alignment horizontal="center" vertical="center" wrapText="1"/>
    </xf>
    <xf numFmtId="0" fontId="30" fillId="20" borderId="2" xfId="29" applyFont="1" applyFill="1" applyBorder="1" applyAlignment="1">
      <alignment horizontal="center" vertical="center" wrapText="1"/>
    </xf>
    <xf numFmtId="0" fontId="30" fillId="20" borderId="68" xfId="29" applyFont="1" applyFill="1" applyBorder="1" applyAlignment="1">
      <alignment horizontal="center" vertical="center" wrapText="1"/>
    </xf>
    <xf numFmtId="0" fontId="91" fillId="20" borderId="69" xfId="29" applyFont="1" applyFill="1" applyBorder="1" applyAlignment="1">
      <alignment horizontal="center" vertical="center"/>
    </xf>
    <xf numFmtId="0" fontId="91" fillId="20" borderId="16" xfId="29" applyFont="1" applyFill="1" applyBorder="1" applyAlignment="1">
      <alignment horizontal="center" vertical="center"/>
    </xf>
    <xf numFmtId="0" fontId="91" fillId="20" borderId="17" xfId="29" applyFont="1" applyFill="1" applyBorder="1" applyAlignment="1">
      <alignment horizontal="center" vertical="center"/>
    </xf>
    <xf numFmtId="0" fontId="91" fillId="20" borderId="70" xfId="29" applyFont="1" applyFill="1" applyBorder="1" applyAlignment="1">
      <alignment horizontal="center" vertical="center"/>
    </xf>
    <xf numFmtId="3" fontId="23" fillId="0" borderId="56" xfId="49" applyNumberFormat="1" applyFont="1" applyBorder="1" applyAlignment="1">
      <alignment horizontal="left" vertical="center" wrapText="1"/>
    </xf>
    <xf numFmtId="3" fontId="96" fillId="20" borderId="41" xfId="49" applyNumberFormat="1" applyFont="1" applyFill="1" applyBorder="1" applyAlignment="1">
      <alignment horizontal="left" vertical="center" wrapText="1"/>
    </xf>
    <xf numFmtId="3" fontId="97" fillId="20" borderId="41" xfId="49" applyNumberFormat="1" applyFont="1" applyFill="1" applyBorder="1" applyAlignment="1">
      <alignment horizontal="left" vertical="center" wrapText="1"/>
    </xf>
    <xf numFmtId="3" fontId="97" fillId="20" borderId="42" xfId="49" applyNumberFormat="1" applyFont="1" applyFill="1" applyBorder="1" applyAlignment="1">
      <alignment horizontal="left" vertical="center" wrapText="1"/>
    </xf>
    <xf numFmtId="3" fontId="19" fillId="0" borderId="43" xfId="49" applyNumberFormat="1" applyFont="1" applyBorder="1" applyAlignment="1">
      <alignment horizontal="center" vertical="center" wrapText="1"/>
    </xf>
    <xf numFmtId="3" fontId="19" fillId="0" borderId="45" xfId="49" applyNumberFormat="1" applyFont="1" applyBorder="1" applyAlignment="1">
      <alignment horizontal="center" vertical="center" wrapText="1"/>
    </xf>
    <xf numFmtId="3" fontId="19" fillId="0" borderId="28" xfId="49" applyNumberFormat="1" applyFont="1" applyBorder="1" applyAlignment="1">
      <alignment horizontal="center" vertical="center" wrapText="1"/>
    </xf>
    <xf numFmtId="3" fontId="19" fillId="0" borderId="18" xfId="49" applyNumberFormat="1" applyFont="1" applyBorder="1" applyAlignment="1">
      <alignment horizontal="center" vertical="center" wrapText="1"/>
    </xf>
    <xf numFmtId="3" fontId="19" fillId="0" borderId="1" xfId="49" applyNumberFormat="1" applyFont="1" applyBorder="1" applyAlignment="1">
      <alignment horizontal="center" vertical="center" wrapText="1"/>
    </xf>
    <xf numFmtId="43" fontId="19" fillId="0" borderId="1" xfId="8" applyFont="1" applyBorder="1" applyAlignment="1">
      <alignment horizontal="center" vertical="center" wrapText="1"/>
    </xf>
    <xf numFmtId="43" fontId="19" fillId="0" borderId="54" xfId="8" applyFont="1" applyBorder="1" applyAlignment="1">
      <alignment horizontal="center" vertical="center" wrapText="1"/>
    </xf>
    <xf numFmtId="3" fontId="23" fillId="0" borderId="47" xfId="29" applyNumberFormat="1" applyFont="1" applyBorder="1" applyAlignment="1">
      <alignment horizontal="left" vertical="center" wrapText="1"/>
    </xf>
    <xf numFmtId="3" fontId="23" fillId="0" borderId="48" xfId="29" applyNumberFormat="1" applyFont="1" applyBorder="1" applyAlignment="1">
      <alignment horizontal="left" vertical="center" wrapText="1"/>
    </xf>
    <xf numFmtId="3" fontId="23" fillId="0" borderId="49" xfId="29" applyNumberFormat="1" applyFont="1" applyBorder="1" applyAlignment="1">
      <alignment horizontal="left" vertical="center" wrapText="1"/>
    </xf>
    <xf numFmtId="3" fontId="19" fillId="20" borderId="40" xfId="29" applyNumberFormat="1" applyFont="1" applyFill="1" applyBorder="1" applyAlignment="1">
      <alignment horizontal="left" vertical="center"/>
    </xf>
    <xf numFmtId="3" fontId="19" fillId="20" borderId="41" xfId="29" applyNumberFormat="1" applyFont="1" applyFill="1" applyBorder="1" applyAlignment="1">
      <alignment horizontal="left" vertical="center"/>
    </xf>
    <xf numFmtId="3" fontId="25" fillId="20" borderId="41" xfId="29" applyNumberFormat="1" applyFont="1" applyFill="1" applyBorder="1" applyAlignment="1">
      <alignment horizontal="left" vertical="center" wrapText="1"/>
    </xf>
    <xf numFmtId="3" fontId="25" fillId="20" borderId="42" xfId="29" applyNumberFormat="1" applyFont="1" applyFill="1" applyBorder="1" applyAlignment="1">
      <alignment horizontal="left" vertical="center" wrapText="1"/>
    </xf>
    <xf numFmtId="3" fontId="19" fillId="0" borderId="43" xfId="29" applyNumberFormat="1" applyFont="1" applyBorder="1" applyAlignment="1">
      <alignment horizontal="center" vertical="center" wrapText="1"/>
    </xf>
    <xf numFmtId="3" fontId="19" fillId="0" borderId="45" xfId="29" applyNumberFormat="1" applyFont="1" applyBorder="1" applyAlignment="1">
      <alignment horizontal="center" vertical="center" wrapText="1"/>
    </xf>
    <xf numFmtId="3" fontId="19" fillId="0" borderId="28" xfId="29" applyNumberFormat="1" applyFont="1" applyBorder="1" applyAlignment="1">
      <alignment horizontal="center" vertical="center" wrapText="1"/>
    </xf>
    <xf numFmtId="3" fontId="19" fillId="0" borderId="18" xfId="29" applyNumberFormat="1" applyFont="1" applyBorder="1" applyAlignment="1">
      <alignment horizontal="center" vertical="center" wrapText="1"/>
    </xf>
    <xf numFmtId="43" fontId="19" fillId="0" borderId="28" xfId="8" applyFont="1" applyBorder="1" applyAlignment="1">
      <alignment horizontal="center" vertical="center" wrapText="1"/>
    </xf>
    <xf numFmtId="43" fontId="19" fillId="0" borderId="18" xfId="8" applyFont="1" applyBorder="1" applyAlignment="1">
      <alignment horizontal="center" vertical="center" wrapText="1"/>
    </xf>
    <xf numFmtId="43" fontId="19" fillId="0" borderId="44" xfId="8" applyFont="1" applyBorder="1" applyAlignment="1">
      <alignment horizontal="center" vertical="center" wrapText="1"/>
    </xf>
    <xf numFmtId="43" fontId="19" fillId="0" borderId="46" xfId="8" applyFont="1" applyBorder="1" applyAlignment="1">
      <alignment horizontal="center" vertical="center" wrapText="1"/>
    </xf>
    <xf numFmtId="3" fontId="19" fillId="2" borderId="28" xfId="29" applyNumberFormat="1" applyFont="1" applyFill="1" applyBorder="1" applyAlignment="1">
      <alignment horizontal="center" vertical="center" wrapText="1"/>
    </xf>
    <xf numFmtId="3" fontId="19" fillId="2" borderId="18" xfId="29" applyNumberFormat="1" applyFont="1" applyFill="1" applyBorder="1" applyAlignment="1">
      <alignment horizontal="center" vertical="center" wrapText="1"/>
    </xf>
    <xf numFmtId="43" fontId="19" fillId="2" borderId="28" xfId="8" applyFont="1" applyFill="1" applyBorder="1" applyAlignment="1">
      <alignment horizontal="center" vertical="center" wrapText="1"/>
    </xf>
    <xf numFmtId="43" fontId="19" fillId="2" borderId="18" xfId="8" applyFont="1" applyFill="1" applyBorder="1" applyAlignment="1">
      <alignment horizontal="center" vertical="center" wrapText="1"/>
    </xf>
    <xf numFmtId="43" fontId="19" fillId="2" borderId="44" xfId="8" applyFont="1" applyFill="1" applyBorder="1" applyAlignment="1">
      <alignment horizontal="center" vertical="center" wrapText="1"/>
    </xf>
    <xf numFmtId="43" fontId="19" fillId="2" borderId="46" xfId="8" applyFont="1" applyFill="1" applyBorder="1" applyAlignment="1">
      <alignment horizontal="center" vertical="center" wrapText="1"/>
    </xf>
    <xf numFmtId="0" fontId="82" fillId="0" borderId="15" xfId="14" applyFont="1" applyBorder="1" applyAlignment="1">
      <alignment horizontal="left"/>
    </xf>
    <xf numFmtId="0" fontId="82" fillId="0" borderId="16" xfId="14" applyFont="1" applyBorder="1" applyAlignment="1">
      <alignment horizontal="left"/>
    </xf>
    <xf numFmtId="0" fontId="82" fillId="0" borderId="17" xfId="14" applyFont="1" applyBorder="1" applyAlignment="1">
      <alignment horizontal="left"/>
    </xf>
    <xf numFmtId="3" fontId="19" fillId="20" borderId="57" xfId="29" applyNumberFormat="1" applyFont="1" applyFill="1" applyBorder="1" applyAlignment="1">
      <alignment horizontal="left" vertical="center"/>
    </xf>
    <xf numFmtId="3" fontId="19" fillId="20" borderId="58" xfId="29" applyNumberFormat="1" applyFont="1" applyFill="1" applyBorder="1" applyAlignment="1">
      <alignment horizontal="left" vertical="center"/>
    </xf>
    <xf numFmtId="3" fontId="25" fillId="20" borderId="58" xfId="29" applyNumberFormat="1" applyFont="1" applyFill="1" applyBorder="1" applyAlignment="1">
      <alignment horizontal="left" vertical="center" wrapText="1"/>
    </xf>
    <xf numFmtId="3" fontId="25" fillId="20" borderId="59" xfId="29" applyNumberFormat="1" applyFont="1" applyFill="1" applyBorder="1" applyAlignment="1">
      <alignment horizontal="left" vertical="center" wrapText="1"/>
    </xf>
    <xf numFmtId="3" fontId="19" fillId="0" borderId="60" xfId="29" applyNumberFormat="1" applyFont="1" applyBorder="1" applyAlignment="1">
      <alignment horizontal="center" vertical="center" wrapText="1"/>
    </xf>
    <xf numFmtId="3" fontId="19" fillId="2" borderId="3" xfId="29" applyNumberFormat="1" applyFont="1" applyFill="1" applyBorder="1" applyAlignment="1">
      <alignment horizontal="center" vertical="center" wrapText="1"/>
    </xf>
    <xf numFmtId="3" fontId="19" fillId="2" borderId="51" xfId="29" applyNumberFormat="1" applyFont="1" applyFill="1" applyBorder="1" applyAlignment="1">
      <alignment horizontal="center" vertical="center" wrapText="1"/>
    </xf>
    <xf numFmtId="3" fontId="19" fillId="2" borderId="46" xfId="29" applyNumberFormat="1" applyFont="1" applyFill="1" applyBorder="1" applyAlignment="1">
      <alignment horizontal="center" vertical="center" wrapText="1"/>
    </xf>
    <xf numFmtId="3" fontId="19" fillId="2" borderId="47" xfId="29" applyNumberFormat="1" applyFont="1" applyFill="1" applyBorder="1" applyAlignment="1">
      <alignment horizontal="center" vertical="center" wrapText="1"/>
    </xf>
    <xf numFmtId="3" fontId="19" fillId="2" borderId="48" xfId="29" applyNumberFormat="1" applyFont="1" applyFill="1" applyBorder="1" applyAlignment="1">
      <alignment horizontal="center" vertical="center" wrapText="1"/>
    </xf>
    <xf numFmtId="0" fontId="88" fillId="0" borderId="15" xfId="29" applyFont="1" applyBorder="1" applyAlignment="1">
      <alignment horizontal="left" wrapText="1"/>
    </xf>
    <xf numFmtId="0" fontId="88" fillId="0" borderId="16" xfId="29" applyFont="1" applyBorder="1" applyAlignment="1">
      <alignment horizontal="left" wrapText="1"/>
    </xf>
    <xf numFmtId="0" fontId="88" fillId="0" borderId="17" xfId="29" applyFont="1" applyBorder="1" applyAlignment="1">
      <alignment horizontal="left" wrapText="1"/>
    </xf>
    <xf numFmtId="0" fontId="35" fillId="5" borderId="29" xfId="29" applyFont="1" applyFill="1" applyBorder="1" applyAlignment="1">
      <alignment horizontal="left" vertical="center" wrapText="1"/>
    </xf>
    <xf numFmtId="0" fontId="35" fillId="5" borderId="23" xfId="29" applyFont="1" applyFill="1" applyBorder="1" applyAlignment="1">
      <alignment horizontal="left" vertical="center" wrapText="1"/>
    </xf>
    <xf numFmtId="0" fontId="35" fillId="5" borderId="30" xfId="29" applyFont="1" applyFill="1" applyBorder="1" applyAlignment="1">
      <alignment horizontal="left" vertical="center" wrapText="1"/>
    </xf>
    <xf numFmtId="0" fontId="34" fillId="0" borderId="15" xfId="29" applyFont="1" applyBorder="1" applyAlignment="1">
      <alignment wrapText="1"/>
    </xf>
    <xf numFmtId="0" fontId="34" fillId="0" borderId="16" xfId="29" applyFont="1" applyBorder="1" applyAlignment="1">
      <alignment wrapText="1"/>
    </xf>
    <xf numFmtId="0" fontId="34" fillId="0" borderId="17" xfId="29" applyFont="1" applyBorder="1" applyAlignment="1">
      <alignment wrapText="1"/>
    </xf>
    <xf numFmtId="0" fontId="35" fillId="5" borderId="15" xfId="29" applyFont="1" applyFill="1" applyBorder="1" applyAlignment="1">
      <alignment horizontal="left" vertical="center" wrapText="1"/>
    </xf>
    <xf numFmtId="0" fontId="35" fillId="5" borderId="16" xfId="29" applyFont="1" applyFill="1" applyBorder="1" applyAlignment="1">
      <alignment horizontal="left" vertical="center" wrapText="1"/>
    </xf>
    <xf numFmtId="0" fontId="35" fillId="5" borderId="17" xfId="29" applyFont="1" applyFill="1" applyBorder="1" applyAlignment="1">
      <alignment horizontal="left" vertical="center" wrapText="1"/>
    </xf>
    <xf numFmtId="0" fontId="34" fillId="0" borderId="15" xfId="29" applyFont="1" applyBorder="1"/>
    <xf numFmtId="0" fontId="34" fillId="0" borderId="16" xfId="29" applyFont="1" applyBorder="1"/>
    <xf numFmtId="0" fontId="34" fillId="0" borderId="17" xfId="29" applyFont="1" applyBorder="1"/>
    <xf numFmtId="0" fontId="32" fillId="4" borderId="15" xfId="29" applyFont="1" applyFill="1" applyBorder="1" applyAlignment="1">
      <alignment horizontal="center" vertical="center"/>
    </xf>
    <xf numFmtId="0" fontId="32" fillId="4" borderId="16" xfId="29" applyFont="1" applyFill="1" applyBorder="1" applyAlignment="1">
      <alignment horizontal="center" vertical="center"/>
    </xf>
    <xf numFmtId="0" fontId="32" fillId="4" borderId="17" xfId="29" applyFont="1" applyFill="1" applyBorder="1" applyAlignment="1">
      <alignment horizontal="center" vertical="center"/>
    </xf>
    <xf numFmtId="0" fontId="35" fillId="5" borderId="15" xfId="29" applyFont="1" applyFill="1" applyBorder="1" applyAlignment="1">
      <alignment horizontal="left" vertical="center"/>
    </xf>
    <xf numFmtId="0" fontId="35" fillId="5" borderId="16" xfId="29" applyFont="1" applyFill="1" applyBorder="1" applyAlignment="1">
      <alignment horizontal="left" vertical="center"/>
    </xf>
    <xf numFmtId="0" fontId="35" fillId="5" borderId="17" xfId="29" applyFont="1" applyFill="1" applyBorder="1" applyAlignment="1">
      <alignment horizontal="left" vertical="center"/>
    </xf>
    <xf numFmtId="0" fontId="36" fillId="0" borderId="15" xfId="29" applyFont="1" applyBorder="1"/>
    <xf numFmtId="0" fontId="36" fillId="0" borderId="16" xfId="29" applyFont="1" applyBorder="1"/>
    <xf numFmtId="0" fontId="36" fillId="0" borderId="17" xfId="29" applyFont="1" applyBorder="1"/>
    <xf numFmtId="0" fontId="36" fillId="0" borderId="15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17" xfId="0" applyFont="1" applyBorder="1" applyAlignment="1">
      <alignment wrapText="1"/>
    </xf>
    <xf numFmtId="0" fontId="35" fillId="5" borderId="15" xfId="0" applyFont="1" applyFill="1" applyBorder="1" applyAlignment="1">
      <alignment horizontal="left" vertical="center" wrapText="1"/>
    </xf>
    <xf numFmtId="0" fontId="35" fillId="5" borderId="16" xfId="0" applyFont="1" applyFill="1" applyBorder="1" applyAlignment="1">
      <alignment horizontal="left" vertical="center" wrapText="1"/>
    </xf>
    <xf numFmtId="0" fontId="35" fillId="5" borderId="17" xfId="0" applyFont="1" applyFill="1" applyBorder="1" applyAlignment="1">
      <alignment horizontal="left" vertical="center" wrapText="1"/>
    </xf>
    <xf numFmtId="0" fontId="36" fillId="0" borderId="15" xfId="0" applyFont="1" applyBorder="1"/>
    <xf numFmtId="0" fontId="36" fillId="0" borderId="16" xfId="0" applyFont="1" applyBorder="1"/>
    <xf numFmtId="0" fontId="36" fillId="0" borderId="17" xfId="0" applyFont="1" applyBorder="1"/>
    <xf numFmtId="0" fontId="32" fillId="4" borderId="15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left" vertical="center"/>
    </xf>
    <xf numFmtId="0" fontId="35" fillId="5" borderId="16" xfId="0" applyFont="1" applyFill="1" applyBorder="1" applyAlignment="1">
      <alignment horizontal="left" vertical="center"/>
    </xf>
    <xf numFmtId="0" fontId="35" fillId="5" borderId="17" xfId="0" applyFont="1" applyFill="1" applyBorder="1" applyAlignment="1">
      <alignment horizontal="left" vertical="center"/>
    </xf>
    <xf numFmtId="0" fontId="34" fillId="0" borderId="15" xfId="0" applyFont="1" applyBorder="1"/>
    <xf numFmtId="0" fontId="34" fillId="0" borderId="16" xfId="0" applyFont="1" applyBorder="1"/>
    <xf numFmtId="0" fontId="34" fillId="0" borderId="17" xfId="0" applyFont="1" applyBorder="1"/>
    <xf numFmtId="0" fontId="46" fillId="0" borderId="15" xfId="29" applyFont="1" applyBorder="1" applyAlignment="1">
      <alignment horizontal="center"/>
    </xf>
    <xf numFmtId="0" fontId="46" fillId="0" borderId="17" xfId="29" applyFont="1" applyBorder="1" applyAlignment="1">
      <alignment horizontal="center"/>
    </xf>
    <xf numFmtId="0" fontId="46" fillId="3" borderId="15" xfId="29" applyFont="1" applyFill="1" applyBorder="1" applyAlignment="1">
      <alignment horizontal="center"/>
    </xf>
    <xf numFmtId="0" fontId="46" fillId="3" borderId="16" xfId="29" applyFont="1" applyFill="1" applyBorder="1" applyAlignment="1">
      <alignment horizontal="center"/>
    </xf>
    <xf numFmtId="0" fontId="46" fillId="3" borderId="17" xfId="29" applyFont="1" applyFill="1" applyBorder="1" applyAlignment="1">
      <alignment horizontal="center"/>
    </xf>
    <xf numFmtId="0" fontId="46" fillId="0" borderId="16" xfId="29" applyFont="1" applyBorder="1" applyAlignment="1">
      <alignment horizontal="center"/>
    </xf>
    <xf numFmtId="0" fontId="0" fillId="11" borderId="15" xfId="35" applyFont="1" applyFill="1" applyBorder="1" applyAlignment="1">
      <alignment horizontal="center"/>
    </xf>
    <xf numFmtId="0" fontId="7" fillId="11" borderId="16" xfId="35" applyFill="1" applyBorder="1" applyAlignment="1">
      <alignment horizontal="center"/>
    </xf>
    <xf numFmtId="0" fontId="7" fillId="11" borderId="17" xfId="35" applyFill="1" applyBorder="1" applyAlignment="1">
      <alignment horizontal="center"/>
    </xf>
    <xf numFmtId="0" fontId="7" fillId="11" borderId="15" xfId="35" applyFill="1" applyBorder="1" applyAlignment="1">
      <alignment horizontal="center"/>
    </xf>
    <xf numFmtId="39" fontId="42" fillId="16" borderId="24" xfId="29" applyNumberFormat="1" applyFont="1" applyFill="1" applyBorder="1" applyAlignment="1">
      <alignment horizontal="center" vertical="center" wrapText="1"/>
    </xf>
    <xf numFmtId="39" fontId="42" fillId="16" borderId="19" xfId="29" applyNumberFormat="1" applyFont="1" applyFill="1" applyBorder="1" applyAlignment="1">
      <alignment horizontal="center" vertical="center" wrapText="1"/>
    </xf>
    <xf numFmtId="39" fontId="42" fillId="13" borderId="24" xfId="29" applyNumberFormat="1" applyFont="1" applyFill="1" applyBorder="1" applyAlignment="1">
      <alignment horizontal="center" vertical="center"/>
    </xf>
    <xf numFmtId="39" fontId="42" fillId="13" borderId="19" xfId="29" applyNumberFormat="1" applyFont="1" applyFill="1" applyBorder="1" applyAlignment="1">
      <alignment horizontal="center" vertical="center"/>
    </xf>
    <xf numFmtId="0" fontId="17" fillId="3" borderId="0" xfId="29" applyFill="1" applyAlignment="1">
      <alignment horizontal="center"/>
    </xf>
    <xf numFmtId="0" fontId="17" fillId="17" borderId="0" xfId="29" applyFill="1" applyAlignment="1">
      <alignment horizont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58" fillId="0" borderId="28" xfId="23" applyFont="1" applyBorder="1" applyAlignment="1">
      <alignment horizontal="center" vertical="center"/>
    </xf>
    <xf numFmtId="0" fontId="58" fillId="0" borderId="18" xfId="23" applyFont="1" applyBorder="1" applyAlignment="1">
      <alignment horizontal="center" vertical="center"/>
    </xf>
    <xf numFmtId="0" fontId="53" fillId="0" borderId="27" xfId="23" applyFont="1" applyBorder="1" applyAlignment="1">
      <alignment horizontal="center" vertical="center"/>
    </xf>
    <xf numFmtId="0" fontId="53" fillId="0" borderId="0" xfId="23" applyFont="1" applyAlignment="1">
      <alignment horizontal="center" vertical="center"/>
    </xf>
    <xf numFmtId="0" fontId="55" fillId="0" borderId="27" xfId="23" applyFont="1" applyBorder="1" applyAlignment="1">
      <alignment horizontal="left" vertical="center"/>
    </xf>
    <xf numFmtId="0" fontId="55" fillId="0" borderId="0" xfId="23" applyFont="1" applyAlignment="1">
      <alignment horizontal="left" vertical="center"/>
    </xf>
    <xf numFmtId="0" fontId="55" fillId="0" borderId="20" xfId="23" applyFont="1" applyBorder="1" applyAlignment="1">
      <alignment horizontal="left" vertical="center"/>
    </xf>
    <xf numFmtId="0" fontId="23" fillId="0" borderId="27" xfId="23" applyFont="1" applyBorder="1" applyAlignment="1">
      <alignment horizontal="left" vertical="center" wrapText="1"/>
    </xf>
    <xf numFmtId="0" fontId="23" fillId="0" borderId="0" xfId="23" applyFont="1" applyAlignment="1">
      <alignment horizontal="left" vertical="center" wrapText="1"/>
    </xf>
    <xf numFmtId="0" fontId="61" fillId="0" borderId="28" xfId="23" applyFont="1" applyBorder="1" applyAlignment="1">
      <alignment horizontal="center" vertical="center" wrapText="1"/>
    </xf>
    <xf numFmtId="0" fontId="61" fillId="0" borderId="3" xfId="23" applyFont="1" applyBorder="1" applyAlignment="1">
      <alignment horizontal="center" vertical="center" wrapText="1"/>
    </xf>
    <xf numFmtId="0" fontId="61" fillId="0" borderId="18" xfId="23" applyFont="1" applyBorder="1" applyAlignment="1">
      <alignment horizontal="center" vertical="center" wrapText="1"/>
    </xf>
    <xf numFmtId="0" fontId="61" fillId="0" borderId="28" xfId="23" applyFont="1" applyBorder="1" applyAlignment="1">
      <alignment horizontal="center" vertical="center"/>
    </xf>
    <xf numFmtId="0" fontId="61" fillId="0" borderId="3" xfId="23" applyFont="1" applyBorder="1" applyAlignment="1">
      <alignment horizontal="center" vertical="center"/>
    </xf>
    <xf numFmtId="0" fontId="61" fillId="0" borderId="18" xfId="23" applyFont="1" applyBorder="1" applyAlignment="1">
      <alignment horizontal="center" vertical="center"/>
    </xf>
    <xf numFmtId="0" fontId="61" fillId="11" borderId="15" xfId="23" applyFont="1" applyFill="1" applyBorder="1" applyAlignment="1">
      <alignment horizontal="center" vertical="center"/>
    </xf>
    <xf numFmtId="0" fontId="61" fillId="11" borderId="16" xfId="23" applyFont="1" applyFill="1" applyBorder="1" applyAlignment="1">
      <alignment horizontal="center" vertical="center"/>
    </xf>
    <xf numFmtId="0" fontId="61" fillId="11" borderId="17" xfId="23" applyFont="1" applyFill="1" applyBorder="1" applyAlignment="1">
      <alignment horizontal="center" vertical="center"/>
    </xf>
    <xf numFmtId="0" fontId="58" fillId="0" borderId="3" xfId="23" applyFont="1" applyBorder="1" applyAlignment="1">
      <alignment horizontal="center" vertical="center"/>
    </xf>
    <xf numFmtId="0" fontId="63" fillId="0" borderId="0" xfId="32" applyFont="1" applyAlignment="1">
      <alignment horizontal="left" vertical="center" wrapText="1"/>
    </xf>
    <xf numFmtId="0" fontId="61" fillId="0" borderId="28" xfId="32" applyFont="1" applyBorder="1" applyAlignment="1">
      <alignment horizontal="center" vertical="center" wrapText="1"/>
    </xf>
    <xf numFmtId="0" fontId="61" fillId="0" borderId="3" xfId="32" applyFont="1" applyBorder="1" applyAlignment="1">
      <alignment horizontal="center" vertical="center" wrapText="1"/>
    </xf>
    <xf numFmtId="0" fontId="61" fillId="0" borderId="18" xfId="32" applyFont="1" applyBorder="1" applyAlignment="1">
      <alignment horizontal="center" vertical="center" wrapText="1"/>
    </xf>
    <xf numFmtId="0" fontId="61" fillId="0" borderId="28" xfId="32" applyFont="1" applyBorder="1" applyAlignment="1">
      <alignment horizontal="center" vertical="center"/>
    </xf>
    <xf numFmtId="0" fontId="61" fillId="0" borderId="3" xfId="32" applyFont="1" applyBorder="1" applyAlignment="1">
      <alignment horizontal="center" vertical="center"/>
    </xf>
    <xf numFmtId="0" fontId="61" fillId="0" borderId="18" xfId="32" applyFont="1" applyBorder="1" applyAlignment="1">
      <alignment horizontal="center" vertical="center"/>
    </xf>
    <xf numFmtId="0" fontId="61" fillId="11" borderId="15" xfId="32" applyFont="1" applyFill="1" applyBorder="1" applyAlignment="1">
      <alignment horizontal="center" vertical="center"/>
    </xf>
    <xf numFmtId="0" fontId="61" fillId="11" borderId="16" xfId="32" applyFont="1" applyFill="1" applyBorder="1" applyAlignment="1">
      <alignment horizontal="center" vertical="center"/>
    </xf>
    <xf numFmtId="0" fontId="61" fillId="11" borderId="17" xfId="32" applyFont="1" applyFill="1" applyBorder="1" applyAlignment="1">
      <alignment horizontal="center" vertical="center"/>
    </xf>
    <xf numFmtId="0" fontId="58" fillId="0" borderId="28" xfId="32" applyFont="1" applyBorder="1" applyAlignment="1">
      <alignment horizontal="center" vertical="center"/>
    </xf>
    <xf numFmtId="0" fontId="58" fillId="0" borderId="3" xfId="32" applyFont="1" applyBorder="1" applyAlignment="1">
      <alignment horizontal="center" vertical="center"/>
    </xf>
    <xf numFmtId="0" fontId="58" fillId="0" borderId="18" xfId="32" applyFont="1" applyBorder="1" applyAlignment="1">
      <alignment horizontal="center" vertical="center"/>
    </xf>
    <xf numFmtId="0" fontId="51" fillId="0" borderId="29" xfId="32" applyFont="1" applyBorder="1" applyAlignment="1">
      <alignment horizontal="center" vertical="center"/>
    </xf>
    <xf numFmtId="0" fontId="51" fillId="0" borderId="23" xfId="32" applyFont="1" applyBorder="1" applyAlignment="1">
      <alignment horizontal="center" vertical="center"/>
    </xf>
    <xf numFmtId="0" fontId="51" fillId="0" borderId="30" xfId="32" applyFont="1" applyBorder="1" applyAlignment="1">
      <alignment horizontal="center" vertical="center"/>
    </xf>
    <xf numFmtId="0" fontId="55" fillId="0" borderId="27" xfId="32" applyFont="1" applyBorder="1" applyAlignment="1">
      <alignment horizontal="center" vertical="center"/>
    </xf>
    <xf numFmtId="0" fontId="55" fillId="0" borderId="0" xfId="32" applyFont="1" applyAlignment="1">
      <alignment horizontal="center" vertical="center"/>
    </xf>
    <xf numFmtId="0" fontId="55" fillId="0" borderId="20" xfId="32" applyFont="1" applyBorder="1" applyAlignment="1">
      <alignment horizontal="center" vertical="center"/>
    </xf>
    <xf numFmtId="0" fontId="53" fillId="0" borderId="27" xfId="32" applyFont="1" applyBorder="1" applyAlignment="1">
      <alignment horizontal="center" vertical="center"/>
    </xf>
    <xf numFmtId="0" fontId="53" fillId="0" borderId="0" xfId="32" applyFont="1" applyAlignment="1">
      <alignment horizontal="center" vertical="center"/>
    </xf>
    <xf numFmtId="0" fontId="23" fillId="0" borderId="27" xfId="32" applyFont="1" applyBorder="1" applyAlignment="1">
      <alignment horizontal="left" vertical="center" wrapText="1"/>
    </xf>
    <xf numFmtId="0" fontId="23" fillId="0" borderId="0" xfId="32" applyFont="1" applyAlignment="1">
      <alignment horizontal="left" vertical="center" wrapText="1"/>
    </xf>
    <xf numFmtId="0" fontId="56" fillId="0" borderId="0" xfId="32" applyFont="1" applyAlignment="1">
      <alignment horizontal="left" vertical="center"/>
    </xf>
    <xf numFmtId="0" fontId="56" fillId="0" borderId="20" xfId="32" applyFont="1" applyBorder="1" applyAlignment="1">
      <alignment horizontal="left" vertical="center"/>
    </xf>
    <xf numFmtId="0" fontId="56" fillId="0" borderId="0" xfId="32" applyFont="1" applyAlignment="1">
      <alignment horizontal="left" vertical="center" wrapText="1"/>
    </xf>
  </cellXfs>
  <cellStyles count="72">
    <cellStyle name="Comma" xfId="1" builtinId="3"/>
    <cellStyle name="Comma 10" xfId="69" xr:uid="{FC9C3795-0E55-4A00-9009-BB28A3EFD39D}"/>
    <cellStyle name="Comma 11" xfId="62" xr:uid="{00000000-0005-0000-0000-000001000000}"/>
    <cellStyle name="Comma 2" xfId="8" xr:uid="{00000000-0005-0000-0000-000001000000}"/>
    <cellStyle name="Comma 2 2" xfId="6" xr:uid="{00000000-0005-0000-0000-000002000000}"/>
    <cellStyle name="Comma 3" xfId="9" xr:uid="{00000000-0005-0000-0000-000003000000}"/>
    <cellStyle name="Comma 3 2" xfId="33" xr:uid="{00000000-0005-0000-0000-000004000000}"/>
    <cellStyle name="Comma 3 2 2" xfId="59" xr:uid="{00000000-0005-0000-0000-000003000000}"/>
    <cellStyle name="Comma 3 3" xfId="43" xr:uid="{7ABE6E19-4E12-4DE0-B99B-58F0E3EEE1C9}"/>
    <cellStyle name="Comma 3 4" xfId="42" xr:uid="{39489742-75FC-4CCF-B3C4-EE56E11AEFD0}"/>
    <cellStyle name="Comma 4" xfId="7" xr:uid="{00000000-0005-0000-0000-000005000000}"/>
    <cellStyle name="Comma 5" xfId="19" xr:uid="{00000000-0005-0000-0000-000006000000}"/>
    <cellStyle name="Comma 5 3 2" xfId="30" xr:uid="{00000000-0005-0000-0000-000007000000}"/>
    <cellStyle name="Comma 5 3 3" xfId="63" xr:uid="{00000000-0005-0000-0000-000004000000}"/>
    <cellStyle name="Comma 6" xfId="24" xr:uid="{00000000-0005-0000-0000-000008000000}"/>
    <cellStyle name="Comma 6 2" xfId="36" xr:uid="{00000000-0005-0000-0000-000009000000}"/>
    <cellStyle name="Comma 6 3" xfId="47" xr:uid="{86456BA0-E018-4F25-98F5-27062D1143B6}"/>
    <cellStyle name="Comma 6 4" xfId="55" xr:uid="{00000000-0005-0000-0000-000005000000}"/>
    <cellStyle name="Comma 7" xfId="39" xr:uid="{33346331-7D50-4FA5-AD88-CB8702A11B7E}"/>
    <cellStyle name="Comma 8" xfId="45" xr:uid="{00000000-0005-0000-0000-000059000000}"/>
    <cellStyle name="Comma 9" xfId="57" xr:uid="{00000000-0005-0000-0000-000060000000}"/>
    <cellStyle name="Hyperlink" xfId="28" builtinId="8"/>
    <cellStyle name="Hyperlink 2" xfId="31" xr:uid="{00000000-0005-0000-0000-00000B000000}"/>
    <cellStyle name="Hyperlink 2 2" xfId="65" xr:uid="{00000000-0005-0000-0000-000007000000}"/>
    <cellStyle name="Hyperlink 2 3" xfId="64" xr:uid="{00000000-0005-0000-0000-000006000000}"/>
    <cellStyle name="Normal" xfId="0" builtinId="0"/>
    <cellStyle name="Normal 10" xfId="26" xr:uid="{00000000-0005-0000-0000-00000D000000}"/>
    <cellStyle name="Normal 11" xfId="70" xr:uid="{B53DFFDF-80F8-4E42-B9A2-9AB6CBB64C4A}"/>
    <cellStyle name="Normal 18" xfId="66" xr:uid="{00000000-0005-0000-0000-000009000000}"/>
    <cellStyle name="Normal 2" xfId="4" xr:uid="{00000000-0005-0000-0000-00000E000000}"/>
    <cellStyle name="Normal 2 10" xfId="49" xr:uid="{775F3E10-C44F-4C46-8D59-EDE7ECBAD9A7}"/>
    <cellStyle name="Normal 2 2" xfId="10" xr:uid="{00000000-0005-0000-0000-00000F000000}"/>
    <cellStyle name="Normal 2 2 2" xfId="37" xr:uid="{00000000-0005-0000-0000-000010000000}"/>
    <cellStyle name="Normal 2 2 3" xfId="52" xr:uid="{00000000-0005-0000-0000-00000C000000}"/>
    <cellStyle name="Normal 2 3" xfId="14" xr:uid="{00000000-0005-0000-0000-000011000000}"/>
    <cellStyle name="Normal 2 3 2" xfId="20" xr:uid="{00000000-0005-0000-0000-000012000000}"/>
    <cellStyle name="Normal 2 3 2 2" xfId="21" xr:uid="{00000000-0005-0000-0000-000013000000}"/>
    <cellStyle name="Normal 2 4" xfId="17" xr:uid="{00000000-0005-0000-0000-000014000000}"/>
    <cellStyle name="Normal 2 5" xfId="27" xr:uid="{00000000-0005-0000-0000-000015000000}"/>
    <cellStyle name="Normal 2 5 2" xfId="29" xr:uid="{00000000-0005-0000-0000-000016000000}"/>
    <cellStyle name="Normal 2 5 2 2" xfId="41" xr:uid="{6F3CB2A8-4481-4221-907C-5FC3A745721A}"/>
    <cellStyle name="Normal 2 5 2 2 2" xfId="48" xr:uid="{B9C1D7A9-A1F2-4D21-9B47-10637367E457}"/>
    <cellStyle name="Normal 2 5 2 2 3" xfId="71" xr:uid="{DF7410CB-EF2E-4BFC-96D7-F5974DDD6C38}"/>
    <cellStyle name="Normal 2 5 2 3" xfId="53" xr:uid="{00000000-0005-0000-0000-00000E000000}"/>
    <cellStyle name="Normal 2 6" xfId="32" xr:uid="{00000000-0005-0000-0000-000017000000}"/>
    <cellStyle name="Normal 2 6 2" xfId="58" xr:uid="{00000000-0005-0000-0000-00000F000000}"/>
    <cellStyle name="Normal 3" xfId="11" xr:uid="{00000000-0005-0000-0000-000018000000}"/>
    <cellStyle name="Normal 3 2" xfId="12" xr:uid="{00000000-0005-0000-0000-000019000000}"/>
    <cellStyle name="Normal 3 2 2" xfId="13" xr:uid="{00000000-0005-0000-0000-00001A000000}"/>
    <cellStyle name="Normal 4" xfId="5" xr:uid="{00000000-0005-0000-0000-00001B000000}"/>
    <cellStyle name="Normal 4 2" xfId="15" xr:uid="{00000000-0005-0000-0000-00001C000000}"/>
    <cellStyle name="Normal 4 2 2" xfId="22" xr:uid="{00000000-0005-0000-0000-00001D000000}"/>
    <cellStyle name="Normal 4 3" xfId="16" xr:uid="{00000000-0005-0000-0000-00001E000000}"/>
    <cellStyle name="Normal 5" xfId="18" xr:uid="{00000000-0005-0000-0000-00001F000000}"/>
    <cellStyle name="Normal 6" xfId="23" xr:uid="{00000000-0005-0000-0000-000020000000}"/>
    <cellStyle name="Normal 6 2" xfId="46" xr:uid="{66FA055D-96B5-4C18-A51B-C04534C1FA4C}"/>
    <cellStyle name="Normal 6 3" xfId="35" xr:uid="{00000000-0005-0000-0000-000021000000}"/>
    <cellStyle name="Normal 6 4" xfId="54" xr:uid="{00000000-0005-0000-0000-000010000000}"/>
    <cellStyle name="Normal 7" xfId="40" xr:uid="{96E33CBA-39B0-427B-BFAF-A0AA3E8EF429}"/>
    <cellStyle name="Normal 8" xfId="44" xr:uid="{00000000-0005-0000-0000-00005B000000}"/>
    <cellStyle name="Normal 9" xfId="51" xr:uid="{00000000-0005-0000-0000-000067000000}"/>
    <cellStyle name="Percent" xfId="3" builtinId="5"/>
    <cellStyle name="Percent 2" xfId="25" xr:uid="{00000000-0005-0000-0000-000023000000}"/>
    <cellStyle name="Percent 2 10" xfId="61" xr:uid="{00000000-0005-0000-0000-000012000000}"/>
    <cellStyle name="Percent 2 2" xfId="38" xr:uid="{D51DD37F-BA82-461F-9396-89CF06D06769}"/>
    <cellStyle name="Percent 2 2 2" xfId="56" xr:uid="{00000000-0005-0000-0000-000013000000}"/>
    <cellStyle name="Percent 3" xfId="34" xr:uid="{00000000-0005-0000-0000-000024000000}"/>
    <cellStyle name="Percent 3 2" xfId="60" xr:uid="{00000000-0005-0000-0000-000014000000}"/>
    <cellStyle name="Percent 4" xfId="50" xr:uid="{00000000-0005-0000-0000-00005F000000}"/>
    <cellStyle name="Percent 5" xfId="67" xr:uid="{00000000-0005-0000-0000-00006D000000}"/>
    <cellStyle name="Percent 6" xfId="68" xr:uid="{8C0DB1E3-6D37-442C-93CD-272AD9DFEA07}"/>
    <cellStyle name="標準_A_1_Preliminary" xfId="2" xr:uid="{00000000-0005-0000-0000-000025000000}"/>
  </cellStyles>
  <dxfs count="0"/>
  <tableStyles count="0" defaultTableStyle="TableStyleMedium2" defaultPivotStyle="PivotStyleLight16"/>
  <colors>
    <mruColors>
      <color rgb="FFA7EC9C"/>
      <color rgb="FF99FF66"/>
      <color rgb="FF76E264"/>
      <color rgb="FFFF3399"/>
      <color rgb="FFFF0066"/>
      <color rgb="FFFED3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272416</xdr:colOff>
      <xdr:row>5</xdr:row>
      <xdr:rowOff>188594</xdr:rowOff>
    </xdr:from>
    <xdr:to>
      <xdr:col>5</xdr:col>
      <xdr:colOff>497205</xdr:colOff>
      <xdr:row>13</xdr:row>
      <xdr:rowOff>55244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6" y="1007744"/>
          <a:ext cx="849629" cy="1150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2124075</xdr:colOff>
      <xdr:row>0</xdr:row>
      <xdr:rowOff>85725</xdr:rowOff>
    </xdr:from>
    <xdr:to>
      <xdr:col>7</xdr:col>
      <xdr:colOff>3028950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11039475" y="85725"/>
          <a:ext cx="381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Annex</a:t>
          </a:r>
          <a:r>
            <a:rPr lang="en-US" sz="1100" baseline="0"/>
            <a:t> C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ith\shareddocs\AJITH\FORMATS\SuStructure%20Conc%20Take%20o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-pc\users\CCC\INDIKA\Pre%20contract\MMGS\Graphitec\Evaluation%20Graphitec\AJITH\FORMATS\SuStructure%20Conc%20Take%20of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ANDA-PC\PROJECTS%20-%20SUNANDA\PROPOSALS\Sunanda\Projects\Archimedia\Central-province\Budget%20Estimate-%20PC%20Kandy\AJITH\FORMATS\SuStructure%20Conc%20Take%20o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IIB%20new/Group%201/Combined%20G1%20checked22.03.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ihan/Beragala%20project/Post%20Contract/Variation/Eng's%20Evaluation%20-%20Gabion%20wall%20base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Off"/>
      <sheetName val="Schedules"/>
      <sheetName val="Sheet3"/>
      <sheetName val="B-3.2 EB"/>
      <sheetName val="PLT-SUM"/>
      <sheetName val="Factor Sheet"/>
      <sheetName val="Price Sheet"/>
      <sheetName val="B-2"/>
      <sheetName val="Rates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Off"/>
      <sheetName val="Schedules"/>
      <sheetName val="Sheet3"/>
      <sheetName val="B-2"/>
      <sheetName val="Option"/>
      <sheetName val="Details"/>
      <sheetName val=" GULF"/>
      <sheetName val="BOQ"/>
      <sheetName val="CCS summary "/>
      <sheetName val="16 Consum's"/>
      <sheetName val="24 B'up"/>
      <sheetName val="SuStructure Conc Take off"/>
      <sheetName val="Det_Des"/>
      <sheetName val="Ra  stair"/>
      <sheetName val="9600-T1"/>
      <sheetName val="C&amp;IEVA"/>
      <sheetName val="EC(Rev)"/>
      <sheetName val="#REF"/>
      <sheetName val="Bill 1"/>
      <sheetName val="Bill 2"/>
      <sheetName val="Bill 3"/>
      <sheetName val="Bill 4"/>
      <sheetName val="Bill 5"/>
      <sheetName val="Bill 6"/>
      <sheetName val="Bill 7"/>
      <sheetName val="Summary"/>
      <sheetName val="#3E1_GCR"/>
      <sheetName val="_GULF"/>
      <sheetName val="CCS_summary_"/>
      <sheetName val="16_Consum's"/>
      <sheetName val="24_B'up"/>
      <sheetName val="SuStructure_Conc_Take_off"/>
      <sheetName val="Ra__stair"/>
      <sheetName val="Bill_1"/>
      <sheetName val="Bill_2"/>
      <sheetName val="Bill_3"/>
      <sheetName val="Bill_4"/>
      <sheetName val="Bill_5"/>
      <sheetName val="Bill_6"/>
      <sheetName val="Bill_7"/>
      <sheetName val="설계서"/>
      <sheetName val="기준액"/>
      <sheetName val="B-3"/>
      <sheetName val="Calculation"/>
      <sheetName val="Factors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Off"/>
      <sheetName val="Schedules"/>
      <sheetName val="Sheet3"/>
      <sheetName val="B-3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d Locations"/>
      <sheetName val="Grand Summary"/>
      <sheetName val="Bill No 1"/>
      <sheetName val="Bill No. 2"/>
      <sheetName val="Bill 2.1"/>
      <sheetName val="Bill 2.2"/>
      <sheetName val="Bill 2.3"/>
      <sheetName val="Bill 2.4"/>
      <sheetName val="Bill No. 3"/>
      <sheetName val="Bill 3.1"/>
      <sheetName val="Bill 3.2"/>
      <sheetName val="Bill 3.3"/>
      <sheetName val="Bill No. 4"/>
      <sheetName val="Bill 4.1"/>
      <sheetName val="Bill 4.2"/>
      <sheetName val="Bill 4.3"/>
      <sheetName val="Bill 4.4"/>
      <sheetName val="Bill No. 5"/>
      <sheetName val="Bill 5.1"/>
      <sheetName val="Bill 5.2"/>
      <sheetName val="Bill 5.3"/>
      <sheetName val="Bill 5.4"/>
      <sheetName val="Bill No. 6"/>
      <sheetName val="Bill 6.1"/>
      <sheetName val="Bill 6.2"/>
      <sheetName val="Bill 6.3"/>
      <sheetName val="Bill 6.4"/>
      <sheetName val="Bill No. 7"/>
      <sheetName val="Bill 7.1"/>
      <sheetName val="Bill 7.2"/>
      <sheetName val="Bill 7.3"/>
      <sheetName val="Bill No. 8"/>
      <sheetName val="Bill 8.1"/>
      <sheetName val="Bill 8.2"/>
      <sheetName val="Bill 8.3"/>
      <sheetName val="Bill 8.4"/>
      <sheetName val="Bill No. 9"/>
      <sheetName val="Bill 9.1"/>
      <sheetName val="Bill 9.2"/>
      <sheetName val="Bill 9.3"/>
      <sheetName val="Bill No. 10"/>
      <sheetName val="Bill 10.1"/>
      <sheetName val="Bill 10.2"/>
      <sheetName val="Bill 10.3"/>
      <sheetName val="Bill No. 11"/>
      <sheetName val="Bill 11.1"/>
      <sheetName val="Bill 11.2"/>
      <sheetName val="Bill 11.3"/>
      <sheetName val="Bill 11.4"/>
      <sheetName val="Bill No. 12"/>
      <sheetName val="Bill 12.1"/>
      <sheetName val="Bill 12.2"/>
      <sheetName val="Bill 12.3"/>
      <sheetName val="Bill 12.4"/>
      <sheetName val="Bill No. 13"/>
      <sheetName val="Bill 13.1"/>
      <sheetName val="Bill 13.2"/>
      <sheetName val="Bill 13.3"/>
      <sheetName val="Bill No. 14"/>
      <sheetName val="Bill 14.1"/>
      <sheetName val="Bill 14.2"/>
      <sheetName val="Bill 14.3"/>
      <sheetName val="Bill No. 15"/>
      <sheetName val="Bill 15.1"/>
      <sheetName val="Bill 15.2"/>
      <sheetName val="Bill 15.3"/>
      <sheetName val="Bill 15.4"/>
      <sheetName val="Bill No. 16"/>
      <sheetName val="Bill 16.1"/>
      <sheetName val="Bill 16.2"/>
      <sheetName val="Bill 16.3"/>
      <sheetName val="Bill No.17"/>
      <sheetName val="Bill 17.1"/>
      <sheetName val="Bill 17.2"/>
      <sheetName val="Bill 17.3"/>
      <sheetName val="Bill No. 18"/>
      <sheetName val="Bill 18.1"/>
      <sheetName val="Bill 18.2"/>
      <sheetName val="Bill 18.3"/>
      <sheetName val="Bill No. 19"/>
      <sheetName val="Bill 19.1"/>
      <sheetName val="Bill 19.2"/>
      <sheetName val="Bill 19.3"/>
      <sheetName val="Bill 19.4"/>
      <sheetName val="Bill No. 20"/>
      <sheetName val="Bill 20.1"/>
      <sheetName val="Bill 20.2"/>
      <sheetName val="Bill 20.3"/>
      <sheetName val="Bill 20.4"/>
      <sheetName val="Bill No. 21"/>
      <sheetName val="Bill 21.1"/>
      <sheetName val="Bill 21.2"/>
      <sheetName val="Bill 21.3"/>
      <sheetName val="Bill 21.4"/>
      <sheetName val="Bill No. 22"/>
      <sheetName val="Bill 22.1"/>
      <sheetName val="Bill 22.2"/>
      <sheetName val="Bill 22.3 "/>
      <sheetName val="Bill 22.3"/>
      <sheetName val="Bill 22.4"/>
      <sheetName val="QTY96"/>
      <sheetName val="Bill No. 23"/>
      <sheetName val="Bill 23.1"/>
      <sheetName val="Bill 23.2"/>
      <sheetName val="Bill 23.3"/>
      <sheetName val="Bill 23.4"/>
      <sheetName val="Bill No. 24"/>
      <sheetName val="Bill 24.1"/>
      <sheetName val="Bill 24.2"/>
      <sheetName val="Bill 24.3"/>
      <sheetName val="Bill 24.4"/>
      <sheetName val="Bill No. 25 "/>
      <sheetName val="Bill No. 25.1"/>
      <sheetName val="Bill 25.1.1"/>
      <sheetName val="Bill 25.1.2"/>
      <sheetName val="Bill 25.1.3"/>
      <sheetName val="Bill 25.1.4"/>
      <sheetName val="Bill No. 25.2"/>
      <sheetName val="Bill 25.2.1"/>
      <sheetName val="Bill 25.2.2"/>
      <sheetName val="Bill 25.2.3"/>
      <sheetName val="Bill 25.2.4"/>
      <sheetName val="Bill No. 25.3"/>
      <sheetName val="Bill 25.3.1 "/>
      <sheetName val="Bill 25.3.2"/>
      <sheetName val="Bill 25.3.3"/>
      <sheetName val="Bill 25.3.4"/>
      <sheetName val="Bill No. 26"/>
      <sheetName val="Bill No. 26.1"/>
      <sheetName val="Bill 26.1.1 "/>
      <sheetName val="Bill 26.1.2"/>
      <sheetName val="Bill 26.1.3"/>
      <sheetName val="Bill No. 26.2 "/>
      <sheetName val="Bill 26.2.1"/>
      <sheetName val="Bill 26.2.2"/>
      <sheetName val="Bill 26.2.3"/>
      <sheetName val="Bill 26.2.4"/>
      <sheetName val="Bill No.Dayworks"/>
      <sheetName val="Drains118-2"/>
      <sheetName val="Sheet118-2"/>
      <sheetName val="QTY98"/>
      <sheetName val="Drains98"/>
      <sheetName val="Sheet98"/>
      <sheetName val="Drains96"/>
      <sheetName val="Sheet96"/>
      <sheetName val="QTY 95"/>
      <sheetName val="dRAIN qtY95"/>
      <sheetName val="QTY94"/>
      <sheetName val="Drains94"/>
      <sheetName val="Sheet94"/>
      <sheetName val="QTY93"/>
      <sheetName val="Drains93"/>
      <sheetName val="Sheet93"/>
      <sheetName val="QTY 92"/>
      <sheetName val="Dran QTy92"/>
      <sheetName val="QTY 91"/>
      <sheetName val="qtY91"/>
      <sheetName val="QTY69"/>
      <sheetName val="Drains69"/>
      <sheetName val="Sheet69"/>
      <sheetName val="QTY68"/>
      <sheetName val="Drains68"/>
      <sheetName val="Sheet68"/>
      <sheetName val="Drainage well68"/>
      <sheetName val="QTY61"/>
      <sheetName val="Drains61"/>
      <sheetName val="Sheet61"/>
      <sheetName val="QTY47"/>
      <sheetName val="Drains47"/>
      <sheetName val="Sheet47"/>
      <sheetName val="QTY46"/>
      <sheetName val="Drains46"/>
      <sheetName val="Sheet46"/>
      <sheetName val="QTY41"/>
      <sheetName val="Drains41"/>
      <sheetName val="Sheet41"/>
      <sheetName val="QTY39"/>
      <sheetName val="Drains39"/>
      <sheetName val="Sheet39"/>
      <sheetName val="QTY38"/>
      <sheetName val="Drains38"/>
      <sheetName val="Sheet38"/>
      <sheetName val="QTY37"/>
      <sheetName val="Drains37"/>
      <sheetName val="Sheet37"/>
      <sheetName val="QTY36"/>
      <sheetName val="Drains36 "/>
      <sheetName val="QTY34"/>
      <sheetName val="Drains34 "/>
      <sheetName val="RRM wall34"/>
      <sheetName val="Drains32"/>
      <sheetName val="Sheet32"/>
      <sheetName val="QTY30"/>
      <sheetName val="Drains30 "/>
      <sheetName val="QTY28"/>
      <sheetName val="Drains28 "/>
      <sheetName val="RRM wall28"/>
    </sheetNames>
    <sheetDataSet>
      <sheetData sheetId="0"/>
      <sheetData sheetId="1">
        <row r="40">
          <cell r="H40">
            <v>2787324085.7000003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"/>
      <sheetName val="Labour"/>
      <sheetName val="Gabion wall"/>
      <sheetName val="xxxx"/>
      <sheetName val="Sheet3"/>
      <sheetName val="Sheet2"/>
      <sheetName val="M"/>
      <sheetName val="Sheet1"/>
    </sheetNames>
    <sheetDataSet>
      <sheetData sheetId="0" refreshError="1"/>
      <sheetData sheetId="1">
        <row r="15">
          <cell r="N15">
            <v>31.176954974933434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../../../user/AppData/USER/Downloads/CTCCost%20estimate%202017.07.12%20.xls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Y10@%20250" TargetMode="External"/><Relationship Id="rId1" Type="http://schemas.openxmlformats.org/officeDocument/2006/relationships/hyperlink" Target="mailto:Y10@200%20C/C" TargetMode="External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../../../user/AppData/USER/Downloads/CTCCost%20estimate%202017.07.12%20.xlsx" TargetMode="External"/><Relationship Id="rId4" Type="http://schemas.openxmlformats.org/officeDocument/2006/relationships/hyperlink" Target="mailto:Y10@%20225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</sheetPr>
  <dimension ref="A1:K54"/>
  <sheetViews>
    <sheetView view="pageBreakPreview" topLeftCell="A22" zoomScaleNormal="100" zoomScaleSheetLayoutView="100" workbookViewId="0">
      <selection activeCell="M46" sqref="M46"/>
    </sheetView>
  </sheetViews>
  <sheetFormatPr defaultColWidth="9.109375" defaultRowHeight="13.2" x14ac:dyDescent="0.25"/>
  <cols>
    <col min="10" max="11" width="9.109375" customWidth="1"/>
  </cols>
  <sheetData>
    <row r="1" spans="1:10" x14ac:dyDescent="0.25">
      <c r="A1" s="6"/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9"/>
      <c r="J2" s="10"/>
    </row>
    <row r="3" spans="1:10" x14ac:dyDescent="0.25">
      <c r="A3" s="9"/>
      <c r="J3" s="10"/>
    </row>
    <row r="4" spans="1:10" ht="15.6" x14ac:dyDescent="0.3">
      <c r="A4" s="1012"/>
      <c r="B4" s="1013"/>
      <c r="C4" s="1013"/>
      <c r="D4" s="1013"/>
      <c r="E4" s="1013"/>
      <c r="F4" s="1013"/>
      <c r="G4" s="1013"/>
      <c r="H4" s="1013"/>
      <c r="I4" s="1013"/>
      <c r="J4" s="1014"/>
    </row>
    <row r="5" spans="1:10" ht="12.75" customHeight="1" x14ac:dyDescent="0.3">
      <c r="A5" s="21"/>
      <c r="B5" s="22"/>
      <c r="C5" s="22"/>
      <c r="D5" s="22"/>
      <c r="E5" s="22"/>
      <c r="F5" s="22"/>
      <c r="G5" s="22"/>
      <c r="H5" s="22"/>
      <c r="I5" s="22"/>
      <c r="J5" s="23"/>
    </row>
    <row r="6" spans="1:10" ht="15.6" x14ac:dyDescent="0.3">
      <c r="A6" s="1012"/>
      <c r="B6" s="1013"/>
      <c r="C6" s="1013"/>
      <c r="D6" s="1013"/>
      <c r="E6" s="1013"/>
      <c r="F6" s="1013"/>
      <c r="G6" s="1013"/>
      <c r="H6" s="1013"/>
      <c r="I6" s="1013"/>
      <c r="J6" s="1014"/>
    </row>
    <row r="7" spans="1:10" x14ac:dyDescent="0.25">
      <c r="A7" s="9"/>
      <c r="J7" s="10"/>
    </row>
    <row r="8" spans="1:10" x14ac:dyDescent="0.25">
      <c r="A8" s="9"/>
      <c r="J8" s="10"/>
    </row>
    <row r="9" spans="1:10" x14ac:dyDescent="0.25">
      <c r="A9" s="9"/>
      <c r="J9" s="10"/>
    </row>
    <row r="10" spans="1:10" x14ac:dyDescent="0.25">
      <c r="A10" s="9"/>
      <c r="J10" s="10"/>
    </row>
    <row r="11" spans="1:10" x14ac:dyDescent="0.25">
      <c r="A11" s="9"/>
      <c r="J11" s="10"/>
    </row>
    <row r="12" spans="1:10" x14ac:dyDescent="0.25">
      <c r="A12" s="9"/>
      <c r="J12" s="10"/>
    </row>
    <row r="13" spans="1:10" x14ac:dyDescent="0.25">
      <c r="A13" s="9"/>
      <c r="J13" s="10"/>
    </row>
    <row r="14" spans="1:10" x14ac:dyDescent="0.25">
      <c r="A14" s="9"/>
      <c r="J14" s="10"/>
    </row>
    <row r="15" spans="1:10" ht="15.6" x14ac:dyDescent="0.3">
      <c r="A15" s="1012"/>
      <c r="B15" s="1013"/>
      <c r="C15" s="1013"/>
      <c r="D15" s="1013"/>
      <c r="E15" s="1013"/>
      <c r="F15" s="1013"/>
      <c r="G15" s="1013"/>
      <c r="H15" s="1013"/>
      <c r="I15" s="1013"/>
      <c r="J15" s="1014"/>
    </row>
    <row r="16" spans="1:10" ht="15.6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1" ht="15.6" x14ac:dyDescent="0.3">
      <c r="A17" s="1012"/>
      <c r="B17" s="1013"/>
      <c r="C17" s="1013"/>
      <c r="D17" s="1013"/>
      <c r="E17" s="1013"/>
      <c r="F17" s="1013"/>
      <c r="G17" s="1013"/>
      <c r="H17" s="1013"/>
      <c r="I17" s="1013"/>
      <c r="J17" s="1014"/>
      <c r="K17" s="81"/>
    </row>
    <row r="18" spans="1:11" x14ac:dyDescent="0.25">
      <c r="A18" s="9"/>
      <c r="J18" s="10"/>
    </row>
    <row r="19" spans="1:11" ht="18" x14ac:dyDescent="0.35">
      <c r="A19" s="14"/>
      <c r="B19" s="1"/>
      <c r="C19" s="1023" t="s">
        <v>789</v>
      </c>
      <c r="D19" s="1023"/>
      <c r="E19" s="1023"/>
      <c r="F19" s="1023"/>
      <c r="G19" s="1023"/>
      <c r="H19" s="1023"/>
      <c r="I19" s="1"/>
      <c r="J19" s="2"/>
    </row>
    <row r="20" spans="1:11" x14ac:dyDescent="0.25">
      <c r="A20" s="9"/>
      <c r="J20" s="10"/>
    </row>
    <row r="21" spans="1:11" x14ac:dyDescent="0.25">
      <c r="A21" s="9"/>
      <c r="J21" s="10"/>
    </row>
    <row r="22" spans="1:11" x14ac:dyDescent="0.25">
      <c r="A22" s="9"/>
      <c r="J22" s="10"/>
    </row>
    <row r="23" spans="1:11" x14ac:dyDescent="0.25">
      <c r="A23" s="9"/>
      <c r="J23" s="10"/>
    </row>
    <row r="24" spans="1:11" x14ac:dyDescent="0.25">
      <c r="A24" s="9"/>
      <c r="J24" s="10"/>
    </row>
    <row r="25" spans="1:11" x14ac:dyDescent="0.25">
      <c r="A25" s="9"/>
      <c r="J25" s="10"/>
    </row>
    <row r="26" spans="1:11" x14ac:dyDescent="0.25">
      <c r="A26" s="9"/>
      <c r="J26" s="77"/>
    </row>
    <row r="27" spans="1:11" x14ac:dyDescent="0.25">
      <c r="A27" s="9"/>
      <c r="J27" s="77"/>
    </row>
    <row r="28" spans="1:11" ht="68.25" customHeight="1" x14ac:dyDescent="0.25">
      <c r="A28" s="871"/>
      <c r="B28" s="1024" t="s">
        <v>784</v>
      </c>
      <c r="C28" s="1024"/>
      <c r="D28" s="1024"/>
      <c r="E28" s="1024"/>
      <c r="F28" s="1024"/>
      <c r="G28" s="1024"/>
      <c r="H28" s="1024"/>
      <c r="I28" s="1024"/>
      <c r="J28" s="872"/>
      <c r="K28" s="78"/>
    </row>
    <row r="29" spans="1:11" ht="35.1" customHeight="1" x14ac:dyDescent="0.25">
      <c r="A29" s="1015"/>
      <c r="B29" s="1016"/>
      <c r="C29" s="75"/>
      <c r="D29" s="1019"/>
      <c r="E29" s="1019"/>
      <c r="F29" s="1019"/>
      <c r="G29" s="1019"/>
      <c r="H29" s="1019"/>
      <c r="I29" s="1019"/>
      <c r="J29" s="1020"/>
      <c r="K29" s="79"/>
    </row>
    <row r="30" spans="1:11" ht="35.1" customHeight="1" x14ac:dyDescent="0.25">
      <c r="A30" s="1017"/>
      <c r="B30" s="1018"/>
      <c r="C30" s="76"/>
      <c r="D30" s="1021"/>
      <c r="E30" s="1021"/>
      <c r="F30" s="1021"/>
      <c r="G30" s="1021"/>
      <c r="H30" s="1021"/>
      <c r="I30" s="1021"/>
      <c r="J30" s="1022"/>
      <c r="K30" s="80"/>
    </row>
    <row r="31" spans="1:11" x14ac:dyDescent="0.25">
      <c r="A31" s="15"/>
      <c r="B31" s="18"/>
      <c r="C31" s="16"/>
      <c r="D31" s="16"/>
      <c r="E31" s="16"/>
      <c r="F31" s="16"/>
      <c r="G31" s="16"/>
      <c r="H31" s="16"/>
      <c r="I31" s="16"/>
      <c r="J31" s="17"/>
    </row>
    <row r="32" spans="1:11" x14ac:dyDescent="0.25">
      <c r="A32" s="15"/>
      <c r="B32" s="18"/>
      <c r="C32" s="16"/>
      <c r="D32" s="3"/>
      <c r="E32" s="16"/>
      <c r="F32" s="16"/>
      <c r="G32" s="16"/>
      <c r="H32" s="16"/>
      <c r="I32" s="16"/>
      <c r="J32" s="17"/>
    </row>
    <row r="33" spans="1:10" x14ac:dyDescent="0.25">
      <c r="A33" s="15"/>
      <c r="B33" s="18"/>
      <c r="C33" s="16"/>
      <c r="D33" s="16"/>
      <c r="E33" s="16"/>
      <c r="F33" s="16"/>
      <c r="G33" s="16"/>
      <c r="H33" s="16"/>
      <c r="I33" s="16"/>
      <c r="J33" s="17"/>
    </row>
    <row r="34" spans="1:10" x14ac:dyDescent="0.25">
      <c r="A34" s="15"/>
      <c r="B34" s="18"/>
      <c r="C34" s="16"/>
      <c r="D34" s="16"/>
      <c r="E34" s="16"/>
      <c r="F34" s="16"/>
      <c r="G34" s="16"/>
      <c r="H34" s="16"/>
      <c r="I34" s="16"/>
      <c r="J34" s="17"/>
    </row>
    <row r="35" spans="1:10" x14ac:dyDescent="0.25">
      <c r="A35" s="15"/>
      <c r="B35" s="18"/>
      <c r="C35" s="16"/>
      <c r="D35" s="16"/>
      <c r="E35" s="16"/>
      <c r="F35" s="16"/>
      <c r="G35" s="16"/>
      <c r="H35" s="16"/>
      <c r="I35" s="16"/>
      <c r="J35" s="17"/>
    </row>
    <row r="36" spans="1:10" x14ac:dyDescent="0.25">
      <c r="A36" s="15"/>
      <c r="B36" s="18"/>
      <c r="C36" s="16"/>
      <c r="D36" s="16"/>
      <c r="E36" s="16"/>
      <c r="F36" s="16"/>
      <c r="G36" s="16"/>
      <c r="H36" s="16"/>
      <c r="I36" s="16"/>
      <c r="J36" s="17"/>
    </row>
    <row r="37" spans="1:10" x14ac:dyDescent="0.25">
      <c r="A37" s="15"/>
      <c r="B37" s="18"/>
      <c r="C37" s="16"/>
      <c r="D37" s="16"/>
      <c r="E37" s="16"/>
      <c r="F37" s="16"/>
      <c r="G37" s="16"/>
      <c r="H37" s="16"/>
      <c r="I37" s="16"/>
      <c r="J37" s="17"/>
    </row>
    <row r="38" spans="1:10" x14ac:dyDescent="0.25">
      <c r="A38" s="15"/>
      <c r="B38" s="18"/>
      <c r="C38" s="16"/>
      <c r="D38" s="16"/>
      <c r="E38" s="16"/>
      <c r="F38" s="16"/>
      <c r="G38" s="16"/>
      <c r="H38" s="16"/>
      <c r="I38" s="16"/>
      <c r="J38" s="17"/>
    </row>
    <row r="39" spans="1:10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7"/>
    </row>
    <row r="40" spans="1:10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7"/>
    </row>
    <row r="41" spans="1:10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7"/>
    </row>
    <row r="42" spans="1:10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7"/>
    </row>
    <row r="43" spans="1:10" ht="15.6" x14ac:dyDescent="0.3">
      <c r="A43" s="1012" t="s">
        <v>37</v>
      </c>
      <c r="B43" s="1013"/>
      <c r="C43" s="1013"/>
      <c r="D43" s="1013"/>
      <c r="E43" s="1013"/>
      <c r="F43" s="1013"/>
      <c r="G43" s="1013"/>
      <c r="H43" s="1013"/>
      <c r="I43" s="1013"/>
      <c r="J43" s="1014"/>
    </row>
    <row r="44" spans="1:10" x14ac:dyDescent="0.25">
      <c r="A44" s="15"/>
      <c r="B44" s="18"/>
      <c r="C44" s="16"/>
      <c r="D44" s="16"/>
      <c r="E44" s="16"/>
      <c r="F44" s="16"/>
      <c r="G44" s="16"/>
      <c r="H44" s="16"/>
      <c r="I44" s="16"/>
      <c r="J44" s="17"/>
    </row>
    <row r="45" spans="1:10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7"/>
    </row>
    <row r="47" spans="1:10" x14ac:dyDescent="0.25">
      <c r="A47" s="15"/>
      <c r="B47" s="16"/>
      <c r="C47" s="16"/>
      <c r="D47" s="16"/>
      <c r="E47" s="16"/>
      <c r="F47" s="16"/>
      <c r="G47" s="16"/>
      <c r="H47" s="16"/>
      <c r="I47" s="16"/>
      <c r="J47" s="17"/>
    </row>
    <row r="48" spans="1:10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7"/>
    </row>
    <row r="49" spans="1:10" x14ac:dyDescent="0.25">
      <c r="A49" s="15"/>
      <c r="B49" s="16"/>
      <c r="C49" s="16"/>
      <c r="D49" s="16"/>
      <c r="E49" s="16"/>
      <c r="F49" s="16"/>
      <c r="G49" s="16"/>
      <c r="H49" s="16"/>
      <c r="I49" s="16"/>
      <c r="J49" s="17"/>
    </row>
    <row r="50" spans="1:10" ht="15.6" x14ac:dyDescent="0.3">
      <c r="A50" s="19"/>
      <c r="B50" s="18"/>
      <c r="C50" s="18"/>
      <c r="D50" s="18"/>
      <c r="E50" s="18"/>
      <c r="F50" s="18"/>
      <c r="G50" s="18"/>
      <c r="H50" s="18"/>
      <c r="I50" s="18"/>
      <c r="J50" s="20"/>
    </row>
    <row r="51" spans="1:10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7"/>
    </row>
    <row r="52" spans="1:10" ht="15.6" x14ac:dyDescent="0.3">
      <c r="A52" s="713" t="s">
        <v>876</v>
      </c>
      <c r="B52" s="18"/>
      <c r="C52" s="18"/>
      <c r="D52" s="18"/>
      <c r="E52" s="18"/>
      <c r="F52" s="18"/>
      <c r="G52" s="18"/>
      <c r="H52" s="18"/>
      <c r="I52" s="18"/>
      <c r="J52" s="20"/>
    </row>
    <row r="53" spans="1:10" x14ac:dyDescent="0.25">
      <c r="A53" s="15"/>
      <c r="B53" s="16"/>
      <c r="C53" s="16"/>
      <c r="D53" s="16"/>
      <c r="E53" s="16"/>
      <c r="F53" s="16"/>
      <c r="G53" s="16"/>
      <c r="H53" s="16"/>
      <c r="I53" s="16"/>
      <c r="J53" s="17"/>
    </row>
    <row r="54" spans="1:10" ht="13.8" thickBot="1" x14ac:dyDescent="0.3">
      <c r="A54" s="11"/>
      <c r="B54" s="12"/>
      <c r="C54" s="12"/>
      <c r="D54" s="12"/>
      <c r="E54" s="12"/>
      <c r="F54" s="12"/>
      <c r="G54" s="12"/>
      <c r="H54" s="12"/>
      <c r="I54" s="12"/>
      <c r="J54" s="13"/>
    </row>
  </sheetData>
  <mergeCells count="11">
    <mergeCell ref="A6:J6"/>
    <mergeCell ref="A4:J4"/>
    <mergeCell ref="A43:J43"/>
    <mergeCell ref="A15:J15"/>
    <mergeCell ref="A29:B29"/>
    <mergeCell ref="A30:B30"/>
    <mergeCell ref="D29:J29"/>
    <mergeCell ref="D30:J30"/>
    <mergeCell ref="A17:J17"/>
    <mergeCell ref="C19:H19"/>
    <mergeCell ref="B28:I28"/>
  </mergeCells>
  <printOptions horizontalCentered="1"/>
  <pageMargins left="0.51181102362204722" right="0.51181102362204722" top="0.72" bottom="0.51181102362204722" header="0" footer="0"/>
  <pageSetup paperSize="9" scale="93" firstPageNumber="0" orientation="portrait" r:id="rId1"/>
  <colBreaks count="2" manualBreakCount="2">
    <brk id="10" max="53" man="1"/>
    <brk id="12" max="5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/>
  <dimension ref="B4:G29"/>
  <sheetViews>
    <sheetView workbookViewId="0">
      <selection activeCell="O36" sqref="O36"/>
    </sheetView>
  </sheetViews>
  <sheetFormatPr defaultRowHeight="13.2" x14ac:dyDescent="0.25"/>
  <cols>
    <col min="3" max="3" width="14" bestFit="1" customWidth="1"/>
    <col min="5" max="5" width="14" bestFit="1" customWidth="1"/>
    <col min="7" max="7" width="12.88671875" bestFit="1" customWidth="1"/>
  </cols>
  <sheetData>
    <row r="4" spans="2:3" x14ac:dyDescent="0.25">
      <c r="B4" s="496" t="s">
        <v>530</v>
      </c>
      <c r="C4" s="496"/>
    </row>
    <row r="6" spans="2:3" x14ac:dyDescent="0.25">
      <c r="B6" t="s">
        <v>531</v>
      </c>
      <c r="C6" s="90" t="e">
        <f>#REF!-#REF!-#REF!-#REF!+#REF!</f>
        <v>#REF!</v>
      </c>
    </row>
    <row r="7" spans="2:3" x14ac:dyDescent="0.25">
      <c r="B7" t="s">
        <v>532</v>
      </c>
      <c r="C7" s="90" t="e">
        <f>#REF!+#REF!</f>
        <v>#REF!</v>
      </c>
    </row>
    <row r="8" spans="2:3" x14ac:dyDescent="0.25">
      <c r="B8" t="s">
        <v>533</v>
      </c>
      <c r="C8" s="90" t="e">
        <f>#REF!-#REF!-#REF!-#REF!-#REF!-#REF!+#REF!</f>
        <v>#REF!</v>
      </c>
    </row>
    <row r="9" spans="2:3" x14ac:dyDescent="0.25">
      <c r="B9" t="s">
        <v>534</v>
      </c>
      <c r="C9" s="90" t="e">
        <f>#REF!-#REF!-#REF!-#REF!-#REF!-#REF!-#REF!-#REF!+#REF!</f>
        <v>#REF!</v>
      </c>
    </row>
    <row r="10" spans="2:3" x14ac:dyDescent="0.25">
      <c r="C10" s="494" t="e">
        <f>SUM(C6:C9)</f>
        <v>#REF!</v>
      </c>
    </row>
    <row r="11" spans="2:3" x14ac:dyDescent="0.25">
      <c r="B11" s="496" t="s">
        <v>535</v>
      </c>
      <c r="C11" s="496"/>
    </row>
    <row r="13" spans="2:3" x14ac:dyDescent="0.25">
      <c r="B13" t="s">
        <v>531</v>
      </c>
      <c r="C13" s="90" t="e">
        <f>#REF!+#REF!+#REF!+#REF!+#REF!+#REF!+#REF!</f>
        <v>#REF!</v>
      </c>
    </row>
    <row r="14" spans="2:3" x14ac:dyDescent="0.25">
      <c r="B14" t="s">
        <v>532</v>
      </c>
    </row>
    <row r="15" spans="2:3" x14ac:dyDescent="0.25">
      <c r="B15" t="s">
        <v>533</v>
      </c>
      <c r="C15" s="90" t="e">
        <f>#REF!+#REF!+#REF!+#REF!+#REF!+#REF!+#REF!</f>
        <v>#REF!</v>
      </c>
    </row>
    <row r="16" spans="2:3" x14ac:dyDescent="0.25">
      <c r="B16" t="s">
        <v>534</v>
      </c>
    </row>
    <row r="17" spans="2:7" x14ac:dyDescent="0.25">
      <c r="C17" s="494" t="e">
        <f>SUM(C13:C16)</f>
        <v>#REF!</v>
      </c>
    </row>
    <row r="18" spans="2:7" x14ac:dyDescent="0.25">
      <c r="B18" s="496" t="s">
        <v>426</v>
      </c>
      <c r="C18" s="496"/>
    </row>
    <row r="19" spans="2:7" x14ac:dyDescent="0.25">
      <c r="B19" t="s">
        <v>531</v>
      </c>
    </row>
    <row r="20" spans="2:7" x14ac:dyDescent="0.25">
      <c r="B20" t="s">
        <v>532</v>
      </c>
    </row>
    <row r="21" spans="2:7" x14ac:dyDescent="0.25">
      <c r="B21" t="s">
        <v>533</v>
      </c>
    </row>
    <row r="22" spans="2:7" x14ac:dyDescent="0.25">
      <c r="B22" t="s">
        <v>534</v>
      </c>
      <c r="C22" s="90" t="e">
        <f>#REF!+#REF!+#REF!+#REF!+#REF!+#REF!+#REF!+#REF!</f>
        <v>#REF!</v>
      </c>
    </row>
    <row r="23" spans="2:7" x14ac:dyDescent="0.25">
      <c r="C23" s="495" t="e">
        <f>SUM(C19:C22)</f>
        <v>#REF!</v>
      </c>
    </row>
    <row r="24" spans="2:7" x14ac:dyDescent="0.25">
      <c r="B24" s="496" t="s">
        <v>536</v>
      </c>
      <c r="C24" s="496"/>
    </row>
    <row r="25" spans="2:7" x14ac:dyDescent="0.25">
      <c r="B25" t="s">
        <v>531</v>
      </c>
      <c r="C25" s="90" t="e">
        <f>#REF!+#REF!</f>
        <v>#REF!</v>
      </c>
    </row>
    <row r="26" spans="2:7" x14ac:dyDescent="0.25">
      <c r="B26" t="s">
        <v>532</v>
      </c>
      <c r="C26" s="90" t="e">
        <f>#REF!+#REF!</f>
        <v>#REF!</v>
      </c>
    </row>
    <row r="27" spans="2:7" x14ac:dyDescent="0.25">
      <c r="B27" t="s">
        <v>533</v>
      </c>
    </row>
    <row r="28" spans="2:7" x14ac:dyDescent="0.25">
      <c r="B28" t="s">
        <v>534</v>
      </c>
      <c r="C28" s="90" t="e">
        <f>#REF!+#REF!</f>
        <v>#REF!</v>
      </c>
    </row>
    <row r="29" spans="2:7" x14ac:dyDescent="0.25">
      <c r="C29" s="494" t="e">
        <f>SUM(C25:C28)</f>
        <v>#REF!</v>
      </c>
      <c r="E29" s="4"/>
      <c r="G29" s="9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rgb="FF00B050"/>
  </sheetPr>
  <dimension ref="A1:P294"/>
  <sheetViews>
    <sheetView view="pageBreakPreview" zoomScale="85" zoomScaleNormal="100" zoomScaleSheetLayoutView="85" workbookViewId="0">
      <pane ySplit="2" topLeftCell="A6" activePane="bottomLeft" state="frozen"/>
      <selection activeCell="P55" sqref="P55"/>
      <selection pane="bottomLeft" activeCell="P55" sqref="P55"/>
    </sheetView>
  </sheetViews>
  <sheetFormatPr defaultRowHeight="13.2" x14ac:dyDescent="0.25"/>
  <cols>
    <col min="1" max="1" width="26.5546875" customWidth="1"/>
    <col min="2" max="5" width="10.6640625" customWidth="1"/>
    <col min="6" max="7" width="12.6640625" customWidth="1"/>
    <col min="8" max="8" width="4.5546875" bestFit="1" customWidth="1"/>
    <col min="9" max="10" width="12.6640625" customWidth="1"/>
  </cols>
  <sheetData>
    <row r="1" spans="1:15" ht="20.100000000000001" customHeight="1" x14ac:dyDescent="0.25">
      <c r="A1" s="1110" t="s">
        <v>128</v>
      </c>
      <c r="B1" s="1111"/>
      <c r="C1" s="1111"/>
      <c r="D1" s="1111"/>
      <c r="E1" s="1111"/>
      <c r="F1" s="1111"/>
      <c r="G1" s="1111"/>
      <c r="H1" s="1111"/>
      <c r="I1" s="1111"/>
      <c r="J1" s="1112"/>
    </row>
    <row r="2" spans="1:15" s="26" customFormat="1" ht="30" customHeight="1" x14ac:dyDescent="0.25">
      <c r="A2" s="24"/>
      <c r="B2" s="25" t="s">
        <v>48</v>
      </c>
      <c r="C2" s="25" t="s">
        <v>49</v>
      </c>
      <c r="D2" s="25" t="s">
        <v>50</v>
      </c>
      <c r="E2" s="25" t="s">
        <v>51</v>
      </c>
      <c r="F2" s="25" t="s">
        <v>52</v>
      </c>
      <c r="G2" s="25" t="s">
        <v>53</v>
      </c>
      <c r="H2" s="25" t="s">
        <v>54</v>
      </c>
      <c r="I2" s="25" t="s">
        <v>55</v>
      </c>
      <c r="J2" s="25" t="s">
        <v>56</v>
      </c>
    </row>
    <row r="3" spans="1:15" ht="24.9" customHeight="1" x14ac:dyDescent="0.25">
      <c r="A3" s="1113" t="s">
        <v>57</v>
      </c>
      <c r="B3" s="1114"/>
      <c r="C3" s="1114"/>
      <c r="D3" s="1114"/>
      <c r="E3" s="1114"/>
      <c r="F3" s="1114"/>
      <c r="G3" s="1114"/>
      <c r="H3" s="1114"/>
      <c r="I3" s="1114"/>
      <c r="J3" s="1115"/>
    </row>
    <row r="4" spans="1:15" ht="15" x14ac:dyDescent="0.35">
      <c r="A4" s="1107" t="s">
        <v>58</v>
      </c>
      <c r="B4" s="1108"/>
      <c r="C4" s="1108"/>
      <c r="D4" s="1108"/>
      <c r="E4" s="1108"/>
      <c r="F4" s="1109"/>
      <c r="G4" s="29">
        <f>SUM(F7:F11)</f>
        <v>586</v>
      </c>
      <c r="H4" s="28"/>
      <c r="I4" s="29">
        <f>G4*0.1</f>
        <v>58.6</v>
      </c>
      <c r="J4" s="29">
        <f>I4+G4</f>
        <v>644.6</v>
      </c>
      <c r="K4" t="s">
        <v>131</v>
      </c>
    </row>
    <row r="5" spans="1:15" ht="15" x14ac:dyDescent="0.35">
      <c r="A5" s="30"/>
      <c r="B5" s="31"/>
      <c r="C5" s="31"/>
      <c r="D5" s="33"/>
      <c r="E5" s="32"/>
      <c r="F5" s="31"/>
      <c r="G5" s="32"/>
      <c r="H5" s="32"/>
      <c r="I5" s="32"/>
      <c r="J5" s="34"/>
    </row>
    <row r="6" spans="1:15" ht="15" x14ac:dyDescent="0.35">
      <c r="A6" s="35" t="s">
        <v>736</v>
      </c>
      <c r="B6" s="36">
        <v>70</v>
      </c>
      <c r="C6" s="37">
        <v>0</v>
      </c>
      <c r="D6" s="38"/>
      <c r="E6" s="37"/>
      <c r="F6" s="36"/>
      <c r="G6" s="37"/>
      <c r="H6" s="37"/>
      <c r="I6" s="37"/>
      <c r="J6" s="39"/>
      <c r="N6">
        <f>33.6/22.5</f>
        <v>1.4933333333333334</v>
      </c>
      <c r="O6" t="s">
        <v>199</v>
      </c>
    </row>
    <row r="7" spans="1:15" ht="15" x14ac:dyDescent="0.35">
      <c r="A7" s="35" t="s">
        <v>737</v>
      </c>
      <c r="B7" s="36">
        <v>75</v>
      </c>
      <c r="C7" s="37">
        <v>1</v>
      </c>
      <c r="D7" s="38"/>
      <c r="E7" s="37"/>
      <c r="F7" s="36">
        <f>B7*C7</f>
        <v>75</v>
      </c>
      <c r="G7" s="37"/>
      <c r="H7" s="37"/>
      <c r="I7" s="37"/>
      <c r="J7" s="39"/>
    </row>
    <row r="8" spans="1:15" ht="15" x14ac:dyDescent="0.35">
      <c r="A8" s="35" t="s">
        <v>738</v>
      </c>
      <c r="B8" s="36">
        <v>21</v>
      </c>
      <c r="C8" s="37">
        <v>1</v>
      </c>
      <c r="D8" s="38"/>
      <c r="E8" s="37"/>
      <c r="F8" s="36">
        <f t="shared" ref="F8:F10" si="0">B8*C8</f>
        <v>21</v>
      </c>
      <c r="G8" s="37"/>
      <c r="H8" s="37"/>
      <c r="I8" s="37"/>
      <c r="J8" s="39"/>
      <c r="N8">
        <f>27.5/15.5</f>
        <v>1.7741935483870968</v>
      </c>
      <c r="O8" t="s">
        <v>200</v>
      </c>
    </row>
    <row r="9" spans="1:15" ht="15" x14ac:dyDescent="0.35">
      <c r="A9" s="35" t="s">
        <v>739</v>
      </c>
      <c r="B9" s="36">
        <f>19+21</f>
        <v>40</v>
      </c>
      <c r="C9" s="37">
        <v>1</v>
      </c>
      <c r="D9" s="38"/>
      <c r="E9" s="37"/>
      <c r="F9" s="36">
        <f t="shared" si="0"/>
        <v>40</v>
      </c>
      <c r="G9" s="37"/>
      <c r="H9" s="37"/>
      <c r="I9" s="37"/>
      <c r="J9" s="39"/>
    </row>
    <row r="10" spans="1:15" ht="15" x14ac:dyDescent="0.35">
      <c r="A10" s="41" t="s">
        <v>740</v>
      </c>
      <c r="B10" s="42">
        <v>450</v>
      </c>
      <c r="C10" s="37">
        <v>1</v>
      </c>
      <c r="D10" s="43"/>
      <c r="E10" s="44"/>
      <c r="F10" s="36">
        <f t="shared" si="0"/>
        <v>450</v>
      </c>
      <c r="G10" s="44"/>
      <c r="H10" s="37"/>
      <c r="I10" s="37"/>
      <c r="J10" s="39"/>
    </row>
    <row r="11" spans="1:15" ht="15" x14ac:dyDescent="0.35">
      <c r="A11" s="35"/>
      <c r="B11" s="36"/>
      <c r="C11" s="37"/>
      <c r="D11" s="38"/>
      <c r="E11" s="37"/>
      <c r="F11" s="36"/>
      <c r="G11" s="37"/>
      <c r="H11" s="37"/>
      <c r="I11" s="37"/>
      <c r="J11" s="39"/>
      <c r="N11">
        <f>(N8+N6)/2</f>
        <v>1.6337634408602151</v>
      </c>
      <c r="O11" t="s">
        <v>201</v>
      </c>
    </row>
    <row r="12" spans="1:15" ht="15" x14ac:dyDescent="0.35">
      <c r="A12" s="35"/>
      <c r="B12" s="36"/>
      <c r="C12" s="40"/>
      <c r="D12" s="38"/>
      <c r="E12" s="37"/>
      <c r="F12" s="36"/>
      <c r="G12" s="37"/>
      <c r="H12" s="37"/>
      <c r="I12" s="37"/>
      <c r="J12" s="39"/>
    </row>
    <row r="13" spans="1:15" ht="15" x14ac:dyDescent="0.35">
      <c r="A13" s="35"/>
      <c r="B13" s="36"/>
      <c r="C13" s="40"/>
      <c r="D13" s="38"/>
      <c r="E13" s="37"/>
      <c r="F13" s="36"/>
      <c r="G13" s="37"/>
      <c r="H13" s="37"/>
      <c r="I13" s="37"/>
      <c r="J13" s="39"/>
    </row>
    <row r="14" spans="1:15" ht="15" x14ac:dyDescent="0.35">
      <c r="A14" s="35"/>
      <c r="B14" s="88"/>
      <c r="C14" s="89"/>
      <c r="D14" s="38"/>
      <c r="E14" s="37"/>
      <c r="F14" s="36"/>
      <c r="G14" s="37"/>
      <c r="H14" s="37"/>
      <c r="I14" s="37"/>
      <c r="J14" s="39"/>
    </row>
    <row r="15" spans="1:15" ht="15" x14ac:dyDescent="0.35">
      <c r="A15" s="35"/>
      <c r="B15" s="36"/>
      <c r="C15" s="37"/>
      <c r="D15" s="38"/>
      <c r="E15" s="37"/>
      <c r="F15" s="36"/>
      <c r="G15" s="37"/>
      <c r="H15" s="37"/>
      <c r="I15" s="37"/>
      <c r="J15" s="39"/>
    </row>
    <row r="16" spans="1:15" ht="15" x14ac:dyDescent="0.35">
      <c r="A16" s="35"/>
      <c r="B16" s="36"/>
      <c r="C16" s="40"/>
      <c r="D16" s="38"/>
      <c r="E16" s="37"/>
      <c r="F16" s="36"/>
      <c r="G16" s="37"/>
      <c r="H16" s="37"/>
      <c r="I16" s="37"/>
      <c r="J16" s="39"/>
    </row>
    <row r="17" spans="1:11" ht="15" x14ac:dyDescent="0.35">
      <c r="A17" s="35"/>
      <c r="B17" s="36"/>
      <c r="C17" s="40"/>
      <c r="D17" s="38"/>
      <c r="E17" s="37"/>
      <c r="F17" s="36"/>
      <c r="G17" s="37"/>
      <c r="H17" s="37"/>
      <c r="I17" s="37"/>
      <c r="J17" s="39"/>
    </row>
    <row r="18" spans="1:11" ht="15" x14ac:dyDescent="0.35">
      <c r="A18" s="35"/>
      <c r="B18" s="36"/>
      <c r="C18" s="40"/>
      <c r="D18" s="38"/>
      <c r="E18" s="37"/>
      <c r="F18" s="36"/>
      <c r="G18" s="37"/>
      <c r="H18" s="37"/>
      <c r="I18" s="37"/>
      <c r="J18" s="39"/>
    </row>
    <row r="19" spans="1:11" ht="15" x14ac:dyDescent="0.35">
      <c r="A19" s="41"/>
      <c r="B19" s="42"/>
      <c r="C19" s="44"/>
      <c r="D19" s="43"/>
      <c r="E19" s="44"/>
      <c r="F19" s="42"/>
      <c r="G19" s="44"/>
      <c r="H19" s="44"/>
      <c r="I19" s="44"/>
      <c r="J19" s="45"/>
    </row>
    <row r="20" spans="1:11" ht="24.9" customHeight="1" x14ac:dyDescent="0.25">
      <c r="A20" s="1113" t="s">
        <v>66</v>
      </c>
      <c r="B20" s="1114"/>
      <c r="C20" s="1114"/>
      <c r="D20" s="1114"/>
      <c r="E20" s="1114"/>
      <c r="F20" s="1114"/>
      <c r="G20" s="1114"/>
      <c r="H20" s="1114"/>
      <c r="I20" s="1114"/>
      <c r="J20" s="1115"/>
    </row>
    <row r="21" spans="1:11" ht="15" x14ac:dyDescent="0.35">
      <c r="A21" s="1107" t="s">
        <v>67</v>
      </c>
      <c r="B21" s="1108"/>
      <c r="C21" s="1108"/>
      <c r="D21" s="1108"/>
      <c r="E21" s="1108"/>
      <c r="F21" s="1109"/>
      <c r="G21" s="27"/>
      <c r="H21" s="28" t="s">
        <v>68</v>
      </c>
      <c r="I21" s="28"/>
      <c r="J21" s="29">
        <f>J23-J22</f>
        <v>0</v>
      </c>
    </row>
    <row r="22" spans="1:11" ht="15" x14ac:dyDescent="0.35">
      <c r="A22" s="1107" t="s">
        <v>69</v>
      </c>
      <c r="B22" s="1108"/>
      <c r="C22" s="1108"/>
      <c r="D22" s="1108"/>
      <c r="E22" s="1108"/>
      <c r="F22" s="1109"/>
      <c r="G22" s="27"/>
      <c r="H22" s="28" t="s">
        <v>68</v>
      </c>
      <c r="I22" s="27"/>
      <c r="J22" s="29">
        <f>ROUND((J23*1),0)</f>
        <v>0</v>
      </c>
      <c r="K22" t="s">
        <v>131</v>
      </c>
    </row>
    <row r="23" spans="1:11" ht="15" x14ac:dyDescent="0.35">
      <c r="A23" s="1116" t="s">
        <v>70</v>
      </c>
      <c r="B23" s="1117"/>
      <c r="C23" s="1117"/>
      <c r="D23" s="1117"/>
      <c r="E23" s="1117"/>
      <c r="F23" s="1118"/>
      <c r="G23" s="46">
        <f>SUM(F24:F31)</f>
        <v>0</v>
      </c>
      <c r="H23" s="47" t="s">
        <v>68</v>
      </c>
      <c r="I23" s="46">
        <f>G23*1.1</f>
        <v>0</v>
      </c>
      <c r="J23" s="46">
        <f>ROUND(I23,0)</f>
        <v>0</v>
      </c>
    </row>
    <row r="24" spans="1:11" ht="15" x14ac:dyDescent="0.35">
      <c r="A24" s="35"/>
      <c r="B24" s="40"/>
      <c r="C24" s="38"/>
      <c r="D24" s="37"/>
      <c r="E24" s="37"/>
      <c r="F24" s="36"/>
      <c r="G24" s="39"/>
      <c r="H24" s="37"/>
      <c r="I24" s="39"/>
      <c r="J24" s="39"/>
      <c r="K24" s="74" t="s">
        <v>190</v>
      </c>
    </row>
    <row r="25" spans="1:11" ht="15" x14ac:dyDescent="0.35">
      <c r="A25" s="48"/>
      <c r="B25" s="38"/>
      <c r="C25" s="38"/>
      <c r="D25" s="37"/>
      <c r="E25" s="37"/>
      <c r="F25" s="36"/>
      <c r="G25" s="39"/>
      <c r="H25" s="37"/>
      <c r="I25" s="39"/>
      <c r="J25" s="39"/>
    </row>
    <row r="26" spans="1:11" ht="15" x14ac:dyDescent="0.35">
      <c r="A26" s="48"/>
      <c r="B26" s="38"/>
      <c r="C26" s="38"/>
      <c r="D26" s="37"/>
      <c r="E26" s="37"/>
      <c r="F26" s="36"/>
      <c r="G26" s="39"/>
      <c r="H26" s="37"/>
      <c r="I26" s="39"/>
      <c r="J26" s="39"/>
    </row>
    <row r="27" spans="1:11" ht="15" x14ac:dyDescent="0.35">
      <c r="A27" s="48"/>
      <c r="B27" s="38"/>
      <c r="C27" s="38"/>
      <c r="D27" s="37"/>
      <c r="E27" s="37"/>
      <c r="F27" s="36"/>
      <c r="G27" s="39"/>
      <c r="H27" s="37"/>
      <c r="I27" s="39"/>
      <c r="J27" s="39"/>
    </row>
    <row r="28" spans="1:11" ht="15" x14ac:dyDescent="0.35">
      <c r="A28" s="35"/>
      <c r="B28" s="40"/>
      <c r="C28" s="37"/>
      <c r="D28" s="37"/>
      <c r="E28" s="37"/>
      <c r="F28" s="36"/>
      <c r="G28" s="39"/>
      <c r="H28" s="37"/>
      <c r="I28" s="39"/>
      <c r="J28" s="39"/>
      <c r="K28" s="74" t="s">
        <v>191</v>
      </c>
    </row>
    <row r="29" spans="1:11" ht="15" x14ac:dyDescent="0.35">
      <c r="A29" s="48"/>
      <c r="B29" s="84"/>
      <c r="C29" s="82"/>
      <c r="D29" s="37"/>
      <c r="E29" s="37"/>
      <c r="F29" s="36"/>
      <c r="G29" s="39"/>
      <c r="H29" s="37"/>
      <c r="I29" s="39"/>
      <c r="J29" s="39"/>
    </row>
    <row r="30" spans="1:11" ht="15" x14ac:dyDescent="0.35">
      <c r="A30" s="35"/>
      <c r="B30" s="40"/>
      <c r="C30" s="37"/>
      <c r="D30" s="37"/>
      <c r="E30" s="37"/>
      <c r="F30" s="36"/>
      <c r="G30" s="39"/>
      <c r="H30" s="37"/>
      <c r="I30" s="39"/>
      <c r="J30" s="39"/>
      <c r="K30" s="74" t="s">
        <v>191</v>
      </c>
    </row>
    <row r="31" spans="1:11" ht="15" x14ac:dyDescent="0.35">
      <c r="A31" s="48"/>
      <c r="B31" s="84"/>
      <c r="C31" s="82"/>
      <c r="D31" s="37"/>
      <c r="E31" s="37"/>
      <c r="F31" s="36"/>
      <c r="G31" s="39"/>
      <c r="H31" s="37"/>
      <c r="I31" s="39"/>
      <c r="J31" s="39"/>
    </row>
    <row r="32" spans="1:11" ht="15" x14ac:dyDescent="0.35">
      <c r="A32" s="51"/>
      <c r="B32" s="52"/>
      <c r="C32" s="43"/>
      <c r="D32" s="44"/>
      <c r="E32" s="44"/>
      <c r="F32" s="42"/>
      <c r="G32" s="45"/>
      <c r="H32" s="44"/>
      <c r="I32" s="45"/>
      <c r="J32" s="45"/>
    </row>
    <row r="33" spans="1:12" ht="15" x14ac:dyDescent="0.35">
      <c r="A33" s="1107" t="s">
        <v>71</v>
      </c>
      <c r="B33" s="1108"/>
      <c r="C33" s="1108"/>
      <c r="D33" s="1108"/>
      <c r="E33" s="1108"/>
      <c r="F33" s="1109"/>
      <c r="G33" s="27">
        <f>SUM(F35:F37)</f>
        <v>5049.4318799999992</v>
      </c>
      <c r="H33" s="28" t="s">
        <v>68</v>
      </c>
      <c r="I33" s="27">
        <f>G33*1.1</f>
        <v>5554.3750679999994</v>
      </c>
      <c r="J33" s="27">
        <f>ROUND(I33,0)</f>
        <v>5554</v>
      </c>
    </row>
    <row r="34" spans="1:12" ht="15" x14ac:dyDescent="0.35">
      <c r="A34" s="35"/>
      <c r="B34" s="36"/>
      <c r="C34" s="38"/>
      <c r="D34" s="37"/>
      <c r="E34" s="37"/>
      <c r="F34" s="36"/>
      <c r="G34" s="39"/>
      <c r="H34" s="37"/>
      <c r="I34" s="39"/>
      <c r="J34" s="39"/>
    </row>
    <row r="35" spans="1:12" ht="15" x14ac:dyDescent="0.35">
      <c r="A35" s="35" t="s">
        <v>188</v>
      </c>
      <c r="B35" s="50">
        <f>(34.113+93.205)/2</f>
        <v>63.658999999999999</v>
      </c>
      <c r="C35" s="38">
        <v>79.319999999999993</v>
      </c>
      <c r="D35" s="37"/>
      <c r="E35" s="37"/>
      <c r="F35" s="36">
        <f>PRODUCT(B35,C35,D35,E35)</f>
        <v>5049.4318799999992</v>
      </c>
      <c r="G35" s="39"/>
      <c r="H35" s="37" t="s">
        <v>68</v>
      </c>
      <c r="I35" s="39"/>
      <c r="J35" s="39"/>
    </row>
    <row r="36" spans="1:12" ht="15" x14ac:dyDescent="0.35">
      <c r="A36" s="35" t="s">
        <v>189</v>
      </c>
      <c r="B36" s="50"/>
      <c r="C36" s="38"/>
      <c r="D36" s="37"/>
      <c r="E36" s="37"/>
      <c r="F36" s="85">
        <v>0</v>
      </c>
      <c r="G36" s="39"/>
      <c r="H36" s="37" t="s">
        <v>68</v>
      </c>
      <c r="I36" s="39"/>
      <c r="J36" s="39"/>
      <c r="K36" s="74"/>
    </row>
    <row r="37" spans="1:12" ht="15" x14ac:dyDescent="0.35">
      <c r="A37" s="48"/>
      <c r="B37" s="53"/>
      <c r="C37" s="38"/>
      <c r="D37" s="37"/>
      <c r="E37" s="37"/>
      <c r="F37" s="36"/>
      <c r="G37" s="39"/>
      <c r="H37" s="37"/>
      <c r="I37" s="39"/>
      <c r="J37" s="39"/>
    </row>
    <row r="38" spans="1:12" ht="15" x14ac:dyDescent="0.35">
      <c r="A38" s="1107" t="s">
        <v>72</v>
      </c>
      <c r="B38" s="1108"/>
      <c r="C38" s="1108"/>
      <c r="D38" s="1108"/>
      <c r="E38" s="1108"/>
      <c r="F38" s="1109"/>
      <c r="G38" s="54"/>
      <c r="H38" s="28" t="s">
        <v>68</v>
      </c>
      <c r="I38" s="27"/>
      <c r="J38" s="29">
        <f>J40-J39</f>
        <v>0</v>
      </c>
    </row>
    <row r="39" spans="1:12" ht="15" x14ac:dyDescent="0.35">
      <c r="A39" s="1107" t="s">
        <v>73</v>
      </c>
      <c r="B39" s="1108"/>
      <c r="C39" s="1108"/>
      <c r="D39" s="1108"/>
      <c r="E39" s="1108"/>
      <c r="F39" s="1109"/>
      <c r="G39" s="54"/>
      <c r="H39" s="28" t="s">
        <v>68</v>
      </c>
      <c r="I39" s="27"/>
      <c r="J39" s="29">
        <f>ROUND((J40*1),0)</f>
        <v>81</v>
      </c>
      <c r="K39" t="s">
        <v>131</v>
      </c>
    </row>
    <row r="40" spans="1:12" ht="15" x14ac:dyDescent="0.35">
      <c r="A40" s="1116" t="s">
        <v>74</v>
      </c>
      <c r="B40" s="1117"/>
      <c r="C40" s="1117"/>
      <c r="D40" s="1117"/>
      <c r="E40" s="1117"/>
      <c r="F40" s="1118"/>
      <c r="G40" s="46">
        <f>SUM(F41:F50)</f>
        <v>73.2</v>
      </c>
      <c r="H40" s="47" t="s">
        <v>68</v>
      </c>
      <c r="I40" s="46">
        <f>G40*1.1</f>
        <v>80.52000000000001</v>
      </c>
      <c r="J40" s="46">
        <f>ROUND(I40,0)</f>
        <v>81</v>
      </c>
    </row>
    <row r="41" spans="1:12" ht="15" x14ac:dyDescent="0.35">
      <c r="A41" s="35"/>
      <c r="B41" s="36"/>
      <c r="C41" s="38"/>
      <c r="D41" s="38"/>
      <c r="E41" s="37"/>
      <c r="F41" s="36"/>
      <c r="G41" s="37"/>
      <c r="H41" s="37"/>
      <c r="I41" s="39"/>
      <c r="J41" s="39"/>
    </row>
    <row r="42" spans="1:12" ht="15" x14ac:dyDescent="0.35">
      <c r="A42" s="35" t="s">
        <v>736</v>
      </c>
      <c r="B42" s="36">
        <v>70</v>
      </c>
      <c r="C42" s="92">
        <v>0.5</v>
      </c>
      <c r="D42" s="92">
        <v>0.45</v>
      </c>
      <c r="E42" s="93"/>
      <c r="F42" s="91">
        <f>D42*C42*B42</f>
        <v>15.75</v>
      </c>
      <c r="G42" s="37"/>
      <c r="H42" s="37"/>
      <c r="I42" s="39"/>
      <c r="J42" s="39"/>
      <c r="L42" s="90">
        <f>0.933*B42</f>
        <v>65.31</v>
      </c>
    </row>
    <row r="43" spans="1:12" ht="15" x14ac:dyDescent="0.35">
      <c r="A43" s="35" t="s">
        <v>737</v>
      </c>
      <c r="B43" s="36">
        <v>75</v>
      </c>
      <c r="C43" s="38">
        <v>0.65</v>
      </c>
      <c r="D43" s="38">
        <v>0.6</v>
      </c>
      <c r="E43" s="37"/>
      <c r="F43" s="91">
        <f>D43*C43*B43</f>
        <v>29.25</v>
      </c>
      <c r="G43" s="37"/>
      <c r="H43" s="37"/>
      <c r="I43" s="39"/>
      <c r="J43" s="39"/>
    </row>
    <row r="44" spans="1:12" ht="15" x14ac:dyDescent="0.35">
      <c r="A44" s="35" t="s">
        <v>738</v>
      </c>
      <c r="B44" s="36">
        <v>21</v>
      </c>
      <c r="C44" s="38">
        <v>0.8</v>
      </c>
      <c r="D44" s="38">
        <v>0.75</v>
      </c>
      <c r="E44" s="37"/>
      <c r="F44" s="91">
        <f t="shared" ref="F44:F45" si="1">D44*C44*B44</f>
        <v>12.600000000000001</v>
      </c>
      <c r="G44" s="37"/>
      <c r="H44" s="37"/>
      <c r="I44" s="39"/>
      <c r="J44" s="39"/>
    </row>
    <row r="45" spans="1:12" ht="15" x14ac:dyDescent="0.35">
      <c r="A45" s="35" t="s">
        <v>739</v>
      </c>
      <c r="B45" s="36">
        <f>19+21</f>
        <v>40</v>
      </c>
      <c r="C45" s="38">
        <v>0.65</v>
      </c>
      <c r="D45" s="38">
        <v>0.6</v>
      </c>
      <c r="E45" s="37"/>
      <c r="F45" s="91">
        <f t="shared" si="1"/>
        <v>15.600000000000001</v>
      </c>
      <c r="G45" s="37"/>
      <c r="H45" s="37"/>
      <c r="I45" s="39"/>
      <c r="J45" s="39"/>
      <c r="L45">
        <f>77.5+45.5+106</f>
        <v>229</v>
      </c>
    </row>
    <row r="46" spans="1:12" ht="15" x14ac:dyDescent="0.35">
      <c r="A46" s="41"/>
      <c r="B46" s="42"/>
      <c r="C46" s="38"/>
      <c r="D46" s="38"/>
      <c r="E46" s="37"/>
      <c r="F46" s="36"/>
      <c r="G46" s="37"/>
      <c r="H46" s="37"/>
      <c r="I46" s="39"/>
      <c r="J46" s="39"/>
      <c r="L46">
        <f>75.9+28</f>
        <v>103.9</v>
      </c>
    </row>
    <row r="47" spans="1:12" ht="15" x14ac:dyDescent="0.35">
      <c r="A47" s="35"/>
      <c r="B47" s="36"/>
      <c r="C47" s="38"/>
      <c r="D47" s="38"/>
      <c r="E47" s="37"/>
      <c r="F47" s="36"/>
      <c r="G47" s="37"/>
      <c r="H47" s="37"/>
      <c r="I47" s="39"/>
      <c r="J47" s="39"/>
    </row>
    <row r="48" spans="1:12" ht="15" x14ac:dyDescent="0.35">
      <c r="A48" s="35"/>
      <c r="B48" s="36"/>
      <c r="C48" s="56"/>
      <c r="D48" s="56"/>
      <c r="E48" s="37"/>
      <c r="F48" s="36"/>
      <c r="G48" s="37"/>
      <c r="H48" s="37"/>
      <c r="I48" s="39"/>
      <c r="J48" s="39"/>
    </row>
    <row r="49" spans="1:11" ht="15" x14ac:dyDescent="0.35">
      <c r="A49" s="35"/>
      <c r="B49" s="36"/>
      <c r="C49" s="56"/>
      <c r="D49" s="56"/>
      <c r="E49" s="37"/>
      <c r="F49" s="36"/>
      <c r="G49" s="37"/>
      <c r="H49" s="37"/>
      <c r="I49" s="39"/>
      <c r="J49" s="39"/>
    </row>
    <row r="50" spans="1:11" ht="15" x14ac:dyDescent="0.35">
      <c r="A50" s="35"/>
      <c r="B50" s="36"/>
      <c r="C50" s="56"/>
      <c r="D50" s="56"/>
      <c r="E50" s="37"/>
      <c r="F50" s="36"/>
      <c r="G50" s="37"/>
      <c r="H50" s="37"/>
      <c r="I50" s="39"/>
      <c r="J50" s="39"/>
    </row>
    <row r="51" spans="1:11" ht="15" x14ac:dyDescent="0.35">
      <c r="A51" s="41"/>
      <c r="B51" s="58"/>
      <c r="C51" s="59"/>
      <c r="D51" s="59"/>
      <c r="E51" s="44"/>
      <c r="F51" s="42"/>
      <c r="G51" s="44"/>
      <c r="H51" s="44"/>
      <c r="I51" s="45"/>
      <c r="J51" s="45"/>
    </row>
    <row r="52" spans="1:11" ht="15" x14ac:dyDescent="0.35">
      <c r="A52" s="1101" t="s">
        <v>77</v>
      </c>
      <c r="B52" s="1102"/>
      <c r="C52" s="1102"/>
      <c r="D52" s="1102"/>
      <c r="E52" s="1102"/>
      <c r="F52" s="1103"/>
      <c r="G52" s="27">
        <f>SUM(F53:F54)</f>
        <v>0</v>
      </c>
      <c r="H52" s="28" t="s">
        <v>68</v>
      </c>
      <c r="I52" s="27">
        <f>G52*1.15</f>
        <v>0</v>
      </c>
      <c r="J52" s="29">
        <f>ROUND(I52,0)</f>
        <v>0</v>
      </c>
    </row>
    <row r="53" spans="1:11" ht="15" x14ac:dyDescent="0.35">
      <c r="A53" s="41"/>
      <c r="B53" s="42"/>
      <c r="C53" s="42"/>
      <c r="D53" s="32"/>
      <c r="E53" s="32"/>
      <c r="F53" s="31"/>
      <c r="G53" s="34"/>
      <c r="H53" s="32"/>
      <c r="I53" s="34"/>
      <c r="J53" s="34"/>
    </row>
    <row r="54" spans="1:11" ht="15" x14ac:dyDescent="0.35">
      <c r="A54" s="41"/>
      <c r="B54" s="42"/>
      <c r="C54" s="42"/>
      <c r="D54" s="37"/>
      <c r="E54" s="37"/>
      <c r="F54" s="36"/>
      <c r="G54" s="39"/>
      <c r="H54" s="37"/>
      <c r="I54" s="39"/>
      <c r="J54" s="39"/>
    </row>
    <row r="55" spans="1:11" ht="15" x14ac:dyDescent="0.35">
      <c r="A55" s="41"/>
      <c r="B55" s="50"/>
      <c r="C55" s="37"/>
      <c r="D55" s="37"/>
      <c r="E55" s="37"/>
      <c r="F55" s="36"/>
      <c r="G55" s="39"/>
      <c r="H55" s="37"/>
      <c r="I55" s="39"/>
      <c r="J55" s="39"/>
    </row>
    <row r="56" spans="1:11" ht="15" x14ac:dyDescent="0.35">
      <c r="A56" s="1101" t="s">
        <v>78</v>
      </c>
      <c r="B56" s="1102"/>
      <c r="C56" s="1102"/>
      <c r="D56" s="1102"/>
      <c r="E56" s="1102"/>
      <c r="F56" s="1103"/>
      <c r="G56" s="27">
        <f>SUM(F57:F58)</f>
        <v>0</v>
      </c>
      <c r="H56" s="28" t="s">
        <v>68</v>
      </c>
      <c r="I56" s="27">
        <f>G56*1.15</f>
        <v>0</v>
      </c>
      <c r="J56" s="29">
        <f>ROUND(I56,0)</f>
        <v>0</v>
      </c>
    </row>
    <row r="57" spans="1:11" ht="15" x14ac:dyDescent="0.35">
      <c r="A57" s="41"/>
      <c r="B57" s="42"/>
      <c r="C57" s="42"/>
      <c r="D57" s="32"/>
      <c r="E57" s="32"/>
      <c r="F57" s="31"/>
      <c r="G57" s="34"/>
      <c r="H57" s="32"/>
      <c r="I57" s="34"/>
      <c r="J57" s="34"/>
    </row>
    <row r="58" spans="1:11" ht="15" x14ac:dyDescent="0.35">
      <c r="A58" s="41"/>
      <c r="B58" s="42"/>
      <c r="C58" s="42"/>
      <c r="D58" s="37"/>
      <c r="E58" s="37"/>
      <c r="F58" s="36"/>
      <c r="G58" s="39"/>
      <c r="H58" s="37"/>
      <c r="I58" s="39"/>
      <c r="J58" s="39"/>
    </row>
    <row r="59" spans="1:11" ht="15" x14ac:dyDescent="0.35">
      <c r="A59" s="60"/>
      <c r="B59" s="52"/>
      <c r="C59" s="44"/>
      <c r="D59" s="44"/>
      <c r="E59" s="44"/>
      <c r="F59" s="42"/>
      <c r="G59" s="45"/>
      <c r="H59" s="44"/>
      <c r="I59" s="45"/>
      <c r="J59" s="45"/>
    </row>
    <row r="60" spans="1:11" ht="24.9" customHeight="1" x14ac:dyDescent="0.25">
      <c r="A60" s="1104" t="s">
        <v>79</v>
      </c>
      <c r="B60" s="1105"/>
      <c r="C60" s="1105"/>
      <c r="D60" s="1105"/>
      <c r="E60" s="1105"/>
      <c r="F60" s="1105"/>
      <c r="G60" s="1105"/>
      <c r="H60" s="1105"/>
      <c r="I60" s="1105"/>
      <c r="J60" s="1106"/>
    </row>
    <row r="61" spans="1:11" ht="15" hidden="1" x14ac:dyDescent="0.35">
      <c r="A61" s="1101" t="s">
        <v>80</v>
      </c>
      <c r="B61" s="1102"/>
      <c r="C61" s="1102"/>
      <c r="D61" s="1102"/>
      <c r="E61" s="1102"/>
      <c r="F61" s="1103"/>
      <c r="G61" s="27">
        <f>SUM(F62:F62)</f>
        <v>0</v>
      </c>
      <c r="H61" s="28" t="s">
        <v>10</v>
      </c>
      <c r="I61" s="27">
        <f>G61*1.15</f>
        <v>0</v>
      </c>
      <c r="J61" s="29">
        <f>ROUND(I61,0)</f>
        <v>0</v>
      </c>
      <c r="K61" t="s">
        <v>131</v>
      </c>
    </row>
    <row r="62" spans="1:11" ht="15" hidden="1" x14ac:dyDescent="0.35">
      <c r="A62" s="41" t="s">
        <v>130</v>
      </c>
      <c r="B62" s="83">
        <v>0</v>
      </c>
      <c r="C62" s="56"/>
      <c r="D62" s="56"/>
      <c r="E62" s="61">
        <f>ROUND(94/1,0)</f>
        <v>94</v>
      </c>
      <c r="F62" s="36">
        <f>PRODUCT(B62:E62)</f>
        <v>0</v>
      </c>
      <c r="G62" s="62"/>
      <c r="H62" s="37" t="s">
        <v>10</v>
      </c>
      <c r="I62" s="39"/>
      <c r="J62" s="39"/>
    </row>
    <row r="63" spans="1:11" ht="15" hidden="1" x14ac:dyDescent="0.35">
      <c r="A63" s="35"/>
      <c r="B63" s="38"/>
      <c r="C63" s="56"/>
      <c r="D63" s="56"/>
      <c r="E63" s="61"/>
      <c r="F63" s="36"/>
      <c r="G63" s="62"/>
      <c r="H63" s="37"/>
      <c r="I63" s="39"/>
      <c r="J63" s="39"/>
    </row>
    <row r="64" spans="1:11" ht="15" hidden="1" x14ac:dyDescent="0.35">
      <c r="A64" s="1101" t="s">
        <v>81</v>
      </c>
      <c r="B64" s="1102"/>
      <c r="C64" s="1102"/>
      <c r="D64" s="1102"/>
      <c r="E64" s="1102"/>
      <c r="F64" s="1103"/>
      <c r="G64" s="27">
        <f>SUM(F66:F68)</f>
        <v>0</v>
      </c>
      <c r="H64" s="28" t="s">
        <v>68</v>
      </c>
      <c r="I64" s="27">
        <f>G64*1.15</f>
        <v>0</v>
      </c>
      <c r="J64" s="29">
        <f>ROUND(I64,0)</f>
        <v>0</v>
      </c>
      <c r="K64" t="s">
        <v>131</v>
      </c>
    </row>
    <row r="65" spans="1:11" ht="15" hidden="1" x14ac:dyDescent="0.35">
      <c r="A65" s="41" t="s">
        <v>130</v>
      </c>
      <c r="B65" s="42"/>
      <c r="C65" s="38"/>
      <c r="D65" s="38"/>
      <c r="E65" s="37"/>
      <c r="F65" s="63"/>
      <c r="G65" s="37"/>
      <c r="H65" s="37"/>
      <c r="I65" s="39"/>
      <c r="J65" s="39"/>
    </row>
    <row r="66" spans="1:11" ht="15" hidden="1" x14ac:dyDescent="0.35">
      <c r="A66" s="48" t="s">
        <v>132</v>
      </c>
      <c r="B66" s="86">
        <v>0</v>
      </c>
      <c r="C66" s="38">
        <v>1.3</v>
      </c>
      <c r="D66" s="38">
        <v>0.2</v>
      </c>
      <c r="E66" s="37"/>
      <c r="F66" s="63">
        <f>PRODUCT(B66,C66,D66,E66)</f>
        <v>0</v>
      </c>
      <c r="G66" s="37"/>
      <c r="H66" s="37" t="s">
        <v>68</v>
      </c>
      <c r="I66" s="39"/>
      <c r="J66" s="39"/>
      <c r="K66" t="s">
        <v>133</v>
      </c>
    </row>
    <row r="67" spans="1:11" ht="15" hidden="1" x14ac:dyDescent="0.35">
      <c r="A67" s="48" t="s">
        <v>82</v>
      </c>
      <c r="B67" s="86">
        <v>0</v>
      </c>
      <c r="C67" s="38">
        <f>(0.3+0.15)/2</f>
        <v>0.22499999999999998</v>
      </c>
      <c r="D67" s="38">
        <v>1.65</v>
      </c>
      <c r="E67" s="37"/>
      <c r="F67" s="63">
        <f>PRODUCT(B67,C67,D67,E67)</f>
        <v>0</v>
      </c>
      <c r="G67" s="37"/>
      <c r="H67" s="37" t="s">
        <v>68</v>
      </c>
      <c r="I67" s="39"/>
      <c r="J67" s="39"/>
    </row>
    <row r="68" spans="1:11" ht="15" hidden="1" x14ac:dyDescent="0.35">
      <c r="A68" s="48" t="s">
        <v>83</v>
      </c>
      <c r="B68" s="86">
        <v>0</v>
      </c>
      <c r="C68" s="38">
        <f>(0.3+0.4)/2</f>
        <v>0.35</v>
      </c>
      <c r="D68" s="38">
        <v>0.3</v>
      </c>
      <c r="E68" s="37"/>
      <c r="F68" s="63">
        <f>PRODUCT(B68,C68,D68,E68)</f>
        <v>0</v>
      </c>
      <c r="G68" s="37"/>
      <c r="H68" s="37" t="s">
        <v>68</v>
      </c>
      <c r="I68" s="39"/>
      <c r="J68" s="39"/>
    </row>
    <row r="69" spans="1:11" ht="15" hidden="1" x14ac:dyDescent="0.35">
      <c r="A69" s="35"/>
      <c r="B69" s="38"/>
      <c r="C69" s="56"/>
      <c r="D69" s="56"/>
      <c r="E69" s="61"/>
      <c r="F69" s="36"/>
      <c r="G69" s="62"/>
      <c r="H69" s="37"/>
      <c r="I69" s="39"/>
      <c r="J69" s="39"/>
    </row>
    <row r="70" spans="1:11" ht="15" hidden="1" x14ac:dyDescent="0.35">
      <c r="A70" s="1101" t="s">
        <v>42</v>
      </c>
      <c r="B70" s="1102"/>
      <c r="C70" s="1102"/>
      <c r="D70" s="1102"/>
      <c r="E70" s="1102"/>
      <c r="F70" s="1103"/>
      <c r="G70" s="27">
        <f>SUM(F72:F74)</f>
        <v>0</v>
      </c>
      <c r="H70" s="28" t="s">
        <v>59</v>
      </c>
      <c r="I70" s="27">
        <f>G70*1.15</f>
        <v>0</v>
      </c>
      <c r="J70" s="29">
        <f>ROUND(I70,0)</f>
        <v>0</v>
      </c>
      <c r="K70" t="s">
        <v>131</v>
      </c>
    </row>
    <row r="71" spans="1:11" ht="15" hidden="1" x14ac:dyDescent="0.35">
      <c r="A71" s="41" t="s">
        <v>130</v>
      </c>
      <c r="B71" s="50"/>
      <c r="C71" s="38"/>
      <c r="D71" s="38"/>
      <c r="E71" s="37"/>
      <c r="F71" s="63"/>
      <c r="G71" s="37"/>
      <c r="H71" s="37"/>
      <c r="I71" s="39"/>
      <c r="J71" s="39"/>
    </row>
    <row r="72" spans="1:11" ht="15" hidden="1" x14ac:dyDescent="0.35">
      <c r="A72" s="48" t="s">
        <v>84</v>
      </c>
      <c r="B72" s="86">
        <v>0</v>
      </c>
      <c r="C72" s="38"/>
      <c r="D72" s="38">
        <f>1.819+0.35</f>
        <v>2.169</v>
      </c>
      <c r="E72" s="37"/>
      <c r="F72" s="63">
        <f>PRODUCT(B72:E72)</f>
        <v>0</v>
      </c>
      <c r="G72" s="37"/>
      <c r="H72" s="37" t="s">
        <v>59</v>
      </c>
      <c r="I72" s="39"/>
      <c r="J72" s="39"/>
    </row>
    <row r="73" spans="1:11" ht="15" hidden="1" x14ac:dyDescent="0.35">
      <c r="A73" s="48" t="s">
        <v>85</v>
      </c>
      <c r="B73" s="86">
        <v>0</v>
      </c>
      <c r="C73" s="38"/>
      <c r="D73" s="38">
        <v>2</v>
      </c>
      <c r="E73" s="37"/>
      <c r="F73" s="63">
        <f>PRODUCT(B73:E73)</f>
        <v>0</v>
      </c>
      <c r="G73" s="37"/>
      <c r="H73" s="37" t="s">
        <v>59</v>
      </c>
      <c r="I73" s="39"/>
      <c r="J73" s="39"/>
    </row>
    <row r="74" spans="1:11" ht="15" hidden="1" x14ac:dyDescent="0.35">
      <c r="A74" s="48" t="s">
        <v>86</v>
      </c>
      <c r="B74" s="42"/>
      <c r="C74" s="38"/>
      <c r="D74" s="38">
        <f>0.35*1.3+1.65*(0.3+0.15)/2</f>
        <v>0.82624999999999993</v>
      </c>
      <c r="E74" s="82">
        <v>0</v>
      </c>
      <c r="F74" s="63">
        <f>PRODUCT(B74:E74)</f>
        <v>0</v>
      </c>
      <c r="G74" s="37"/>
      <c r="H74" s="37" t="s">
        <v>59</v>
      </c>
      <c r="I74" s="39"/>
      <c r="J74" s="39"/>
    </row>
    <row r="75" spans="1:11" ht="15" hidden="1" x14ac:dyDescent="0.35">
      <c r="A75" s="35"/>
      <c r="B75" s="50"/>
      <c r="C75" s="38"/>
      <c r="D75" s="38"/>
      <c r="E75" s="37"/>
      <c r="F75" s="63"/>
      <c r="G75" s="37"/>
      <c r="H75" s="37"/>
      <c r="I75" s="39"/>
      <c r="J75" s="39"/>
    </row>
    <row r="76" spans="1:11" ht="30" hidden="1" x14ac:dyDescent="0.25">
      <c r="A76" s="64"/>
      <c r="B76" s="65" t="s">
        <v>87</v>
      </c>
      <c r="C76" s="65" t="s">
        <v>51</v>
      </c>
      <c r="D76" s="65" t="s">
        <v>38</v>
      </c>
      <c r="E76" s="66" t="s">
        <v>88</v>
      </c>
      <c r="F76" s="65" t="s">
        <v>89</v>
      </c>
      <c r="G76" s="65"/>
      <c r="H76" s="65"/>
      <c r="I76" s="65"/>
      <c r="J76" s="65"/>
    </row>
    <row r="77" spans="1:11" ht="15" hidden="1" x14ac:dyDescent="0.35">
      <c r="A77" s="1101" t="s">
        <v>90</v>
      </c>
      <c r="B77" s="1102"/>
      <c r="C77" s="1102"/>
      <c r="D77" s="1102"/>
      <c r="E77" s="1102"/>
      <c r="F77" s="1103"/>
      <c r="G77" s="27">
        <f>SUM(F79:F82)</f>
        <v>0</v>
      </c>
      <c r="H77" s="28" t="s">
        <v>91</v>
      </c>
      <c r="I77" s="27">
        <f>G77*1.15</f>
        <v>0</v>
      </c>
      <c r="J77" s="29">
        <f>ROUND(I77,0)</f>
        <v>0</v>
      </c>
      <c r="K77" t="s">
        <v>131</v>
      </c>
    </row>
    <row r="78" spans="1:11" ht="15" hidden="1" x14ac:dyDescent="0.35">
      <c r="A78" s="41" t="s">
        <v>130</v>
      </c>
      <c r="B78" s="38"/>
      <c r="C78" s="37"/>
      <c r="D78" s="38"/>
      <c r="E78" s="37"/>
      <c r="F78" s="36"/>
      <c r="G78" s="56"/>
      <c r="H78" s="37"/>
      <c r="I78" s="39"/>
      <c r="J78" s="39"/>
      <c r="K78" s="72"/>
    </row>
    <row r="79" spans="1:11" ht="15" hidden="1" x14ac:dyDescent="0.35">
      <c r="A79" s="71" t="s">
        <v>166</v>
      </c>
      <c r="B79" s="38">
        <v>12</v>
      </c>
      <c r="C79" s="82">
        <v>0</v>
      </c>
      <c r="D79" s="38">
        <f>0.06+1.927+0.977+0.12</f>
        <v>3.0840000000000001</v>
      </c>
      <c r="E79" s="56">
        <f>B79^2/162.162</f>
        <v>0.88800088800088794</v>
      </c>
      <c r="F79" s="36">
        <f>PRODUCT(C79:E79)</f>
        <v>0</v>
      </c>
      <c r="G79" s="56"/>
      <c r="H79" s="37" t="s">
        <v>91</v>
      </c>
      <c r="I79" s="39"/>
      <c r="J79" s="39"/>
      <c r="K79" s="72"/>
    </row>
    <row r="80" spans="1:11" ht="15" hidden="1" x14ac:dyDescent="0.35">
      <c r="A80" s="48" t="s">
        <v>167</v>
      </c>
      <c r="B80" s="38">
        <v>12</v>
      </c>
      <c r="C80" s="82">
        <v>0</v>
      </c>
      <c r="D80" s="38">
        <f>0.07+1.8+1.196+0.096</f>
        <v>3.1619999999999999</v>
      </c>
      <c r="E80" s="56">
        <f>B80^2/162.162</f>
        <v>0.88800088800088794</v>
      </c>
      <c r="F80" s="36">
        <f>PRODUCT(C80:E80)</f>
        <v>0</v>
      </c>
      <c r="G80" s="56"/>
      <c r="H80" s="37" t="s">
        <v>91</v>
      </c>
      <c r="I80" s="39"/>
      <c r="J80" s="39"/>
      <c r="K80" s="72"/>
    </row>
    <row r="81" spans="1:11" ht="15" hidden="1" x14ac:dyDescent="0.35">
      <c r="A81" s="71" t="s">
        <v>168</v>
      </c>
      <c r="B81" s="38">
        <v>12</v>
      </c>
      <c r="C81" s="82">
        <v>0</v>
      </c>
      <c r="D81" s="38">
        <f>0.45+0.45</f>
        <v>0.9</v>
      </c>
      <c r="E81" s="56">
        <f>B81^2/162.162</f>
        <v>0.88800088800088794</v>
      </c>
      <c r="F81" s="36">
        <f>PRODUCT(C81:E81)</f>
        <v>0</v>
      </c>
      <c r="G81" s="56"/>
      <c r="H81" s="37" t="s">
        <v>91</v>
      </c>
      <c r="I81" s="39"/>
      <c r="J81" s="39"/>
      <c r="K81" s="72"/>
    </row>
    <row r="82" spans="1:11" ht="15" hidden="1" x14ac:dyDescent="0.35">
      <c r="A82" s="48" t="s">
        <v>169</v>
      </c>
      <c r="B82" s="38">
        <v>12</v>
      </c>
      <c r="C82" s="82">
        <v>0</v>
      </c>
      <c r="D82" s="38">
        <v>94</v>
      </c>
      <c r="E82" s="56">
        <f>B82^2/162.162</f>
        <v>0.88800088800088794</v>
      </c>
      <c r="F82" s="36">
        <f>PRODUCT(C82:E82)</f>
        <v>0</v>
      </c>
      <c r="G82" s="56"/>
      <c r="H82" s="37" t="s">
        <v>91</v>
      </c>
      <c r="I82" s="39"/>
      <c r="J82" s="39"/>
      <c r="K82" s="72"/>
    </row>
    <row r="83" spans="1:11" ht="15" hidden="1" x14ac:dyDescent="0.35">
      <c r="A83" s="48"/>
      <c r="B83" s="38"/>
      <c r="C83" s="37"/>
      <c r="D83" s="38"/>
      <c r="E83" s="39"/>
      <c r="F83" s="36"/>
      <c r="G83" s="56"/>
      <c r="H83" s="37"/>
      <c r="I83" s="39"/>
      <c r="J83" s="39"/>
      <c r="K83" s="72"/>
    </row>
    <row r="84" spans="1:11" ht="15" hidden="1" x14ac:dyDescent="0.35">
      <c r="A84" s="1101" t="s">
        <v>116</v>
      </c>
      <c r="B84" s="1102"/>
      <c r="C84" s="1102"/>
      <c r="D84" s="1102"/>
      <c r="E84" s="1102"/>
      <c r="F84" s="1103"/>
      <c r="G84" s="27">
        <f>SUM(F85:F85)</f>
        <v>0</v>
      </c>
      <c r="H84" s="28" t="s">
        <v>10</v>
      </c>
      <c r="I84" s="27">
        <f>G84*1.15</f>
        <v>0</v>
      </c>
      <c r="J84" s="29">
        <f>ROUND(I84,0)</f>
        <v>0</v>
      </c>
      <c r="K84" s="73" t="s">
        <v>131</v>
      </c>
    </row>
    <row r="85" spans="1:11" ht="15" hidden="1" x14ac:dyDescent="0.35">
      <c r="A85" s="41" t="s">
        <v>130</v>
      </c>
      <c r="B85" s="40">
        <v>0</v>
      </c>
      <c r="C85" s="56"/>
      <c r="D85" s="56"/>
      <c r="E85" s="40">
        <f>3*(ROUND((94)/0.35,0)+1)</f>
        <v>810</v>
      </c>
      <c r="F85" s="36">
        <f>PRODUCT(B85:E85)</f>
        <v>0</v>
      </c>
      <c r="G85" s="37"/>
      <c r="H85" s="37" t="s">
        <v>10</v>
      </c>
      <c r="I85" s="39"/>
      <c r="J85" s="39"/>
      <c r="K85" s="70"/>
    </row>
    <row r="86" spans="1:11" ht="15" hidden="1" x14ac:dyDescent="0.35">
      <c r="A86" s="35"/>
      <c r="B86" s="40"/>
      <c r="C86" s="56"/>
      <c r="D86" s="56"/>
      <c r="E86" s="40"/>
      <c r="F86" s="36"/>
      <c r="G86" s="37"/>
      <c r="H86" s="37"/>
      <c r="I86" s="39"/>
      <c r="J86" s="39"/>
      <c r="K86" s="70"/>
    </row>
    <row r="87" spans="1:11" ht="24.9" customHeight="1" x14ac:dyDescent="0.25">
      <c r="A87" s="1104" t="s">
        <v>93</v>
      </c>
      <c r="B87" s="1105"/>
      <c r="C87" s="1105"/>
      <c r="D87" s="1105"/>
      <c r="E87" s="1105"/>
      <c r="F87" s="1105"/>
      <c r="G87" s="1105"/>
      <c r="H87" s="1105"/>
      <c r="I87" s="1105"/>
      <c r="J87" s="1106"/>
    </row>
    <row r="88" spans="1:11" ht="15" x14ac:dyDescent="0.35">
      <c r="A88" s="1101" t="s">
        <v>94</v>
      </c>
      <c r="B88" s="1102"/>
      <c r="C88" s="1102"/>
      <c r="D88" s="1102"/>
      <c r="E88" s="1102"/>
      <c r="F88" s="1103"/>
      <c r="G88" s="27">
        <f>SUM(F89:F92)</f>
        <v>6.3274999999999997</v>
      </c>
      <c r="H88" s="28" t="s">
        <v>68</v>
      </c>
      <c r="I88" s="27">
        <f>G88*1.1</f>
        <v>6.9602500000000003</v>
      </c>
      <c r="J88" s="29">
        <f>ROUND(I88,0)</f>
        <v>7</v>
      </c>
      <c r="K88" t="s">
        <v>131</v>
      </c>
    </row>
    <row r="89" spans="1:11" ht="15" x14ac:dyDescent="0.35">
      <c r="A89" s="35" t="s">
        <v>736</v>
      </c>
      <c r="B89" s="36">
        <f>B42</f>
        <v>70</v>
      </c>
      <c r="C89" s="40">
        <f>C42</f>
        <v>0.5</v>
      </c>
      <c r="D89" s="56">
        <v>0.05</v>
      </c>
      <c r="E89" s="37"/>
      <c r="F89" s="36">
        <f t="shared" ref="F89:F95" si="2">PRODUCT(B89,C89,D89,E89)</f>
        <v>1.75</v>
      </c>
      <c r="G89" s="37"/>
      <c r="H89" s="37" t="s">
        <v>68</v>
      </c>
      <c r="I89" s="39">
        <f>F89*0.1</f>
        <v>0.17500000000000002</v>
      </c>
      <c r="J89" s="39">
        <f>I89+F89</f>
        <v>1.925</v>
      </c>
    </row>
    <row r="90" spans="1:11" ht="15" x14ac:dyDescent="0.35">
      <c r="A90" s="35" t="s">
        <v>737</v>
      </c>
      <c r="B90" s="36">
        <f t="shared" ref="B90:C92" si="3">B43</f>
        <v>75</v>
      </c>
      <c r="C90" s="40">
        <f t="shared" si="3"/>
        <v>0.65</v>
      </c>
      <c r="D90" s="56">
        <v>0.05</v>
      </c>
      <c r="E90" s="37"/>
      <c r="F90" s="36">
        <f t="shared" si="2"/>
        <v>2.4375</v>
      </c>
      <c r="G90" s="39"/>
      <c r="H90" s="37" t="s">
        <v>68</v>
      </c>
      <c r="I90" s="39">
        <f t="shared" ref="I90:I92" si="4">F90*0.1</f>
        <v>0.24375000000000002</v>
      </c>
      <c r="J90" s="39">
        <f t="shared" ref="J90:J92" si="5">I90+F90</f>
        <v>2.6812499999999999</v>
      </c>
    </row>
    <row r="91" spans="1:11" ht="15" x14ac:dyDescent="0.35">
      <c r="A91" s="35" t="s">
        <v>738</v>
      </c>
      <c r="B91" s="36">
        <f t="shared" si="3"/>
        <v>21</v>
      </c>
      <c r="C91" s="40">
        <f t="shared" si="3"/>
        <v>0.8</v>
      </c>
      <c r="D91" s="56">
        <v>0.05</v>
      </c>
      <c r="E91" s="37"/>
      <c r="F91" s="36">
        <f t="shared" si="2"/>
        <v>0.84000000000000008</v>
      </c>
      <c r="G91" s="39"/>
      <c r="H91" s="37" t="s">
        <v>68</v>
      </c>
      <c r="I91" s="39">
        <f t="shared" si="4"/>
        <v>8.4000000000000019E-2</v>
      </c>
      <c r="J91" s="39">
        <f t="shared" si="5"/>
        <v>0.92400000000000015</v>
      </c>
    </row>
    <row r="92" spans="1:11" ht="15" x14ac:dyDescent="0.35">
      <c r="A92" s="35" t="s">
        <v>739</v>
      </c>
      <c r="B92" s="36">
        <f t="shared" si="3"/>
        <v>40</v>
      </c>
      <c r="C92" s="40">
        <f t="shared" si="3"/>
        <v>0.65</v>
      </c>
      <c r="D92" s="56">
        <v>0.05</v>
      </c>
      <c r="E92" s="37"/>
      <c r="F92" s="36">
        <f t="shared" si="2"/>
        <v>1.3</v>
      </c>
      <c r="G92" s="39"/>
      <c r="H92" s="37" t="s">
        <v>68</v>
      </c>
      <c r="I92" s="39">
        <f t="shared" si="4"/>
        <v>0.13</v>
      </c>
      <c r="J92" s="39">
        <f t="shared" si="5"/>
        <v>1.4300000000000002</v>
      </c>
    </row>
    <row r="93" spans="1:11" ht="15" x14ac:dyDescent="0.35">
      <c r="A93" s="35"/>
      <c r="B93" s="36"/>
      <c r="C93" s="40"/>
      <c r="D93" s="56"/>
      <c r="E93" s="37"/>
      <c r="F93" s="36">
        <f t="shared" si="2"/>
        <v>0</v>
      </c>
      <c r="G93" s="39"/>
      <c r="H93" s="37" t="s">
        <v>68</v>
      </c>
      <c r="I93" s="39"/>
      <c r="J93" s="39"/>
    </row>
    <row r="94" spans="1:11" ht="15" x14ac:dyDescent="0.35">
      <c r="A94" s="35"/>
      <c r="B94" s="36"/>
      <c r="C94" s="40"/>
      <c r="D94" s="56"/>
      <c r="E94" s="37"/>
      <c r="F94" s="36">
        <f t="shared" si="2"/>
        <v>0</v>
      </c>
      <c r="G94" s="39"/>
      <c r="H94" s="37" t="s">
        <v>68</v>
      </c>
      <c r="I94" s="39"/>
      <c r="J94" s="39"/>
    </row>
    <row r="95" spans="1:11" ht="15" x14ac:dyDescent="0.35">
      <c r="A95" s="35"/>
      <c r="B95" s="36"/>
      <c r="C95" s="40"/>
      <c r="D95" s="56">
        <v>0</v>
      </c>
      <c r="E95" s="37"/>
      <c r="F95" s="36">
        <f t="shared" si="2"/>
        <v>0</v>
      </c>
      <c r="G95" s="39"/>
      <c r="H95" s="37" t="s">
        <v>68</v>
      </c>
      <c r="I95" s="39"/>
      <c r="J95" s="39"/>
    </row>
    <row r="96" spans="1:11" ht="15" x14ac:dyDescent="0.35">
      <c r="A96" s="35"/>
      <c r="B96" s="36"/>
      <c r="C96" s="40"/>
      <c r="D96" s="56"/>
      <c r="E96" s="37"/>
      <c r="F96" s="36"/>
      <c r="G96" s="39"/>
      <c r="H96" s="37"/>
      <c r="I96" s="39"/>
      <c r="J96" s="39"/>
    </row>
    <row r="97" spans="1:11" ht="15" x14ac:dyDescent="0.35">
      <c r="A97" s="1101" t="s">
        <v>95</v>
      </c>
      <c r="B97" s="1102"/>
      <c r="C97" s="1102"/>
      <c r="D97" s="1102"/>
      <c r="E97" s="1102"/>
      <c r="F97" s="1103"/>
      <c r="G97" s="27">
        <f>SUM(F98:F122)</f>
        <v>8.4820312499999986</v>
      </c>
      <c r="H97" s="28" t="s">
        <v>68</v>
      </c>
      <c r="I97" s="27">
        <f>G97*1.1</f>
        <v>9.3302343749999999</v>
      </c>
      <c r="J97" s="29">
        <f>ROUND(I97,0)</f>
        <v>9</v>
      </c>
      <c r="K97" t="s">
        <v>131</v>
      </c>
    </row>
    <row r="98" spans="1:11" ht="15" x14ac:dyDescent="0.35">
      <c r="A98" s="57" t="s">
        <v>96</v>
      </c>
      <c r="B98" s="36">
        <f>B11</f>
        <v>0</v>
      </c>
      <c r="C98" s="49">
        <v>0.125</v>
      </c>
      <c r="D98" s="38">
        <v>0.8</v>
      </c>
      <c r="E98" s="37">
        <v>2</v>
      </c>
      <c r="F98" s="36">
        <f>PRODUCT(B98,C98,D98,E98)</f>
        <v>0</v>
      </c>
      <c r="G98" s="37"/>
      <c r="H98" s="37" t="s">
        <v>68</v>
      </c>
      <c r="I98" s="39"/>
      <c r="J98" s="39"/>
    </row>
    <row r="99" spans="1:11" ht="15" x14ac:dyDescent="0.35">
      <c r="A99" s="57" t="s">
        <v>97</v>
      </c>
      <c r="B99" s="36">
        <f>B11</f>
        <v>0</v>
      </c>
      <c r="C99" s="49">
        <v>1.05</v>
      </c>
      <c r="D99" s="38">
        <v>0.125</v>
      </c>
      <c r="E99" s="37"/>
      <c r="F99" s="36">
        <f>PRODUCT(B99,C99,D99,E99)</f>
        <v>0</v>
      </c>
      <c r="G99" s="37"/>
      <c r="H99" s="37" t="s">
        <v>68</v>
      </c>
      <c r="I99" s="39"/>
      <c r="J99" s="39"/>
    </row>
    <row r="100" spans="1:11" ht="15" x14ac:dyDescent="0.35">
      <c r="A100" s="57" t="s">
        <v>135</v>
      </c>
      <c r="B100" s="36">
        <v>0.27500000000000002</v>
      </c>
      <c r="C100" s="49">
        <v>0.8</v>
      </c>
      <c r="D100" s="38">
        <v>0.27500000000000002</v>
      </c>
      <c r="E100" s="37">
        <f>ROUND(B99/0.275,0)/2</f>
        <v>0</v>
      </c>
      <c r="F100" s="36">
        <f>PRODUCT(B100,C100,D100,E100)</f>
        <v>0</v>
      </c>
      <c r="G100" s="37"/>
      <c r="H100" s="37" t="s">
        <v>68</v>
      </c>
      <c r="I100" s="39"/>
      <c r="J100" s="39"/>
    </row>
    <row r="101" spans="1:11" ht="15" x14ac:dyDescent="0.35">
      <c r="A101" s="57"/>
      <c r="B101" s="63"/>
      <c r="C101" s="49"/>
      <c r="D101" s="38"/>
      <c r="E101" s="37"/>
      <c r="F101" s="36"/>
      <c r="G101" s="37"/>
      <c r="H101" s="37"/>
      <c r="I101" s="39"/>
      <c r="J101" s="39"/>
    </row>
    <row r="102" spans="1:11" ht="15" x14ac:dyDescent="0.35">
      <c r="A102" s="57" t="s">
        <v>138</v>
      </c>
      <c r="B102" s="36">
        <f>B12</f>
        <v>0</v>
      </c>
      <c r="C102" s="49">
        <v>0.125</v>
      </c>
      <c r="D102" s="38">
        <v>0.51</v>
      </c>
      <c r="E102" s="37"/>
      <c r="F102" s="36">
        <f>PRODUCT(B102,C102,D102,E102)</f>
        <v>0</v>
      </c>
      <c r="G102" s="37"/>
      <c r="H102" s="37" t="s">
        <v>68</v>
      </c>
      <c r="I102" s="39"/>
      <c r="J102" s="39"/>
      <c r="K102" t="s">
        <v>139</v>
      </c>
    </row>
    <row r="103" spans="1:11" ht="15" x14ac:dyDescent="0.35">
      <c r="A103" s="57" t="s">
        <v>137</v>
      </c>
      <c r="B103" s="36">
        <f>B12</f>
        <v>0</v>
      </c>
      <c r="C103" s="49">
        <v>0.125</v>
      </c>
      <c r="D103" s="38">
        <v>0.78</v>
      </c>
      <c r="E103" s="37"/>
      <c r="F103" s="36">
        <f>PRODUCT(B103,C103,D103,E103)</f>
        <v>0</v>
      </c>
      <c r="G103" s="37"/>
      <c r="H103" s="37" t="s">
        <v>68</v>
      </c>
      <c r="I103" s="39"/>
      <c r="J103" s="39"/>
      <c r="K103" s="68"/>
    </row>
    <row r="104" spans="1:11" ht="15" x14ac:dyDescent="0.35">
      <c r="A104" s="57" t="s">
        <v>136</v>
      </c>
      <c r="B104" s="36">
        <f>B12</f>
        <v>0</v>
      </c>
      <c r="C104" s="49">
        <f>(0.6+0.43)/2</f>
        <v>0.51500000000000001</v>
      </c>
      <c r="D104" s="38">
        <v>0.125</v>
      </c>
      <c r="E104" s="37"/>
      <c r="F104" s="36">
        <f>PRODUCT(B104,C104,D104,E104)</f>
        <v>0</v>
      </c>
      <c r="G104" s="37"/>
      <c r="H104" s="37" t="s">
        <v>68</v>
      </c>
      <c r="I104" s="39"/>
      <c r="J104" s="39"/>
    </row>
    <row r="105" spans="1:11" ht="15" x14ac:dyDescent="0.35">
      <c r="A105" s="57"/>
      <c r="B105" s="63"/>
      <c r="C105" s="49"/>
      <c r="D105" s="38"/>
      <c r="E105" s="37"/>
      <c r="F105" s="36"/>
      <c r="G105" s="37"/>
      <c r="H105" s="37"/>
      <c r="I105" s="39"/>
      <c r="J105" s="39"/>
    </row>
    <row r="106" spans="1:11" ht="15" x14ac:dyDescent="0.35">
      <c r="A106" s="57" t="s">
        <v>140</v>
      </c>
      <c r="B106" s="36">
        <f>B13</f>
        <v>0</v>
      </c>
      <c r="C106" s="49">
        <v>0.1</v>
      </c>
      <c r="D106" s="38">
        <v>0.45</v>
      </c>
      <c r="E106" s="37">
        <v>2</v>
      </c>
      <c r="F106" s="36">
        <f>PRODUCT(B106,C106,D106,E106)</f>
        <v>0</v>
      </c>
      <c r="G106" s="37"/>
      <c r="H106" s="37" t="s">
        <v>68</v>
      </c>
      <c r="I106" s="39"/>
      <c r="J106" s="39"/>
    </row>
    <row r="107" spans="1:11" ht="15" x14ac:dyDescent="0.35">
      <c r="A107" s="57" t="s">
        <v>141</v>
      </c>
      <c r="B107" s="36">
        <f>B13</f>
        <v>0</v>
      </c>
      <c r="C107" s="49">
        <v>0.65</v>
      </c>
      <c r="D107" s="38">
        <v>0.1</v>
      </c>
      <c r="E107" s="37"/>
      <c r="F107" s="36">
        <f>PRODUCT(B107,C107,D107,E107)</f>
        <v>0</v>
      </c>
      <c r="G107" s="37"/>
      <c r="H107" s="37" t="s">
        <v>68</v>
      </c>
      <c r="I107" s="39"/>
      <c r="J107" s="39"/>
    </row>
    <row r="108" spans="1:11" ht="15" x14ac:dyDescent="0.35">
      <c r="A108" s="57" t="s">
        <v>142</v>
      </c>
      <c r="B108" s="36">
        <f>B13</f>
        <v>0</v>
      </c>
      <c r="C108" s="49">
        <v>1.5</v>
      </c>
      <c r="D108" s="38">
        <v>0.1</v>
      </c>
      <c r="E108" s="69"/>
      <c r="F108" s="36">
        <f>PRODUCT(B108,C108,D108,E108)</f>
        <v>0</v>
      </c>
      <c r="G108" s="37"/>
      <c r="H108" s="37" t="s">
        <v>68</v>
      </c>
      <c r="I108" s="39"/>
      <c r="J108" s="39"/>
      <c r="K108" t="s">
        <v>143</v>
      </c>
    </row>
    <row r="109" spans="1:11" ht="15" x14ac:dyDescent="0.35">
      <c r="A109" s="57"/>
      <c r="B109" s="63"/>
      <c r="C109" s="49"/>
      <c r="D109" s="38"/>
      <c r="E109" s="37"/>
      <c r="F109" s="36"/>
      <c r="G109" s="37"/>
      <c r="H109" s="37"/>
      <c r="I109" s="39"/>
      <c r="J109" s="39"/>
    </row>
    <row r="110" spans="1:11" ht="15" x14ac:dyDescent="0.35">
      <c r="A110" s="57" t="s">
        <v>103</v>
      </c>
      <c r="B110" s="36">
        <f>B14</f>
        <v>0</v>
      </c>
      <c r="C110" s="49">
        <v>0.125</v>
      </c>
      <c r="D110" s="38">
        <v>0.8</v>
      </c>
      <c r="E110" s="37">
        <v>2</v>
      </c>
      <c r="F110" s="36">
        <f>PRODUCT(B110,C110,D110,E110)</f>
        <v>0</v>
      </c>
      <c r="G110" s="37"/>
      <c r="H110" s="37" t="s">
        <v>68</v>
      </c>
      <c r="I110" s="39"/>
      <c r="J110" s="39"/>
    </row>
    <row r="111" spans="1:11" ht="15" x14ac:dyDescent="0.35">
      <c r="A111" s="57" t="s">
        <v>104</v>
      </c>
      <c r="B111" s="36">
        <f>53.745</f>
        <v>53.744999999999997</v>
      </c>
      <c r="C111" s="49">
        <v>1.25</v>
      </c>
      <c r="D111" s="38">
        <v>0.125</v>
      </c>
      <c r="E111" s="37"/>
      <c r="F111" s="36">
        <f>PRODUCT(B111,C111,D111,E111)</f>
        <v>8.3976562499999989</v>
      </c>
      <c r="G111" s="37"/>
      <c r="H111" s="37" t="s">
        <v>68</v>
      </c>
      <c r="I111" s="39"/>
      <c r="J111" s="39"/>
    </row>
    <row r="112" spans="1:11" ht="15" x14ac:dyDescent="0.35">
      <c r="A112" s="57" t="s">
        <v>105</v>
      </c>
      <c r="B112" s="36">
        <v>1</v>
      </c>
      <c r="C112" s="49">
        <f>(0.05+0.075)/2</f>
        <v>6.25E-2</v>
      </c>
      <c r="D112" s="38">
        <v>7.4999999999999997E-2</v>
      </c>
      <c r="E112" s="37">
        <f>ROUND(B111/3,0)</f>
        <v>18</v>
      </c>
      <c r="F112" s="36">
        <f>PRODUCT(B112,C112,D112,E112)</f>
        <v>8.4374999999999992E-2</v>
      </c>
      <c r="G112" s="37"/>
      <c r="H112" s="37" t="s">
        <v>68</v>
      </c>
      <c r="I112" s="39"/>
      <c r="J112" s="39"/>
      <c r="K112" t="s">
        <v>144</v>
      </c>
    </row>
    <row r="113" spans="1:11" ht="15" x14ac:dyDescent="0.35">
      <c r="A113" s="57"/>
      <c r="B113" s="63"/>
      <c r="C113" s="49"/>
      <c r="D113" s="38"/>
      <c r="E113" s="37"/>
      <c r="F113" s="36"/>
      <c r="G113" s="37"/>
      <c r="H113" s="37"/>
      <c r="I113" s="39"/>
      <c r="J113" s="39"/>
    </row>
    <row r="114" spans="1:11" ht="15" x14ac:dyDescent="0.35">
      <c r="A114" s="57" t="s">
        <v>145</v>
      </c>
      <c r="B114" s="36">
        <f>B15</f>
        <v>0</v>
      </c>
      <c r="C114" s="49">
        <v>0.125</v>
      </c>
      <c r="D114" s="38">
        <v>1</v>
      </c>
      <c r="E114" s="37">
        <v>2</v>
      </c>
      <c r="F114" s="36">
        <f>PRODUCT(B114,C114,D114,E114)</f>
        <v>0</v>
      </c>
      <c r="G114" s="37"/>
      <c r="H114" s="37" t="s">
        <v>68</v>
      </c>
      <c r="I114" s="39"/>
      <c r="J114" s="39"/>
    </row>
    <row r="115" spans="1:11" ht="15" x14ac:dyDescent="0.35">
      <c r="A115" s="57" t="s">
        <v>146</v>
      </c>
      <c r="B115" s="36">
        <f>B15</f>
        <v>0</v>
      </c>
      <c r="C115" s="49">
        <v>1.25</v>
      </c>
      <c r="D115" s="38">
        <v>0.125</v>
      </c>
      <c r="E115" s="37"/>
      <c r="F115" s="36">
        <f>PRODUCT(B115,C115,D115,E115)</f>
        <v>0</v>
      </c>
      <c r="G115" s="37"/>
      <c r="H115" s="37" t="s">
        <v>68</v>
      </c>
      <c r="I115" s="39"/>
      <c r="J115" s="39"/>
    </row>
    <row r="116" spans="1:11" ht="15" x14ac:dyDescent="0.35">
      <c r="A116" s="57" t="s">
        <v>105</v>
      </c>
      <c r="B116" s="36">
        <v>1</v>
      </c>
      <c r="C116" s="49">
        <f>(0.05+0.075)/2</f>
        <v>6.25E-2</v>
      </c>
      <c r="D116" s="38">
        <v>7.4999999999999997E-2</v>
      </c>
      <c r="E116" s="37">
        <f>ROUND(B115/3,0)</f>
        <v>0</v>
      </c>
      <c r="F116" s="36">
        <f>PRODUCT(B116,C116,D116,E116)</f>
        <v>0</v>
      </c>
      <c r="G116" s="37"/>
      <c r="H116" s="37" t="s">
        <v>68</v>
      </c>
      <c r="I116" s="39"/>
      <c r="J116" s="39"/>
      <c r="K116" t="s">
        <v>144</v>
      </c>
    </row>
    <row r="117" spans="1:11" ht="15" x14ac:dyDescent="0.35">
      <c r="A117" s="57"/>
      <c r="B117" s="63"/>
      <c r="C117" s="49"/>
      <c r="D117" s="38"/>
      <c r="E117" s="37"/>
      <c r="F117" s="36"/>
      <c r="G117" s="37"/>
      <c r="H117" s="37"/>
      <c r="I117" s="39"/>
      <c r="J117" s="39"/>
    </row>
    <row r="118" spans="1:11" ht="15" x14ac:dyDescent="0.35">
      <c r="A118" s="57" t="s">
        <v>99</v>
      </c>
      <c r="B118" s="36">
        <f>B16</f>
        <v>0</v>
      </c>
      <c r="C118" s="49">
        <v>0.1</v>
      </c>
      <c r="D118" s="38">
        <v>0.6</v>
      </c>
      <c r="E118" s="37">
        <v>2</v>
      </c>
      <c r="F118" s="36">
        <f>PRODUCT(B118,C118,D118,E118)</f>
        <v>0</v>
      </c>
      <c r="G118" s="37"/>
      <c r="H118" s="37" t="s">
        <v>68</v>
      </c>
      <c r="I118" s="39"/>
      <c r="J118" s="39"/>
    </row>
    <row r="119" spans="1:11" ht="15" x14ac:dyDescent="0.35">
      <c r="A119" s="57" t="s">
        <v>100</v>
      </c>
      <c r="B119" s="36">
        <f>B16</f>
        <v>0</v>
      </c>
      <c r="C119" s="49">
        <v>0.8</v>
      </c>
      <c r="D119" s="38">
        <v>0.1</v>
      </c>
      <c r="E119" s="37"/>
      <c r="F119" s="36">
        <f>PRODUCT(B119,C119,D119,E119)</f>
        <v>0</v>
      </c>
      <c r="G119" s="37"/>
      <c r="H119" s="37" t="s">
        <v>68</v>
      </c>
      <c r="I119" s="39"/>
      <c r="J119" s="39"/>
    </row>
    <row r="120" spans="1:11" ht="15" x14ac:dyDescent="0.35">
      <c r="A120" s="57"/>
      <c r="B120" s="63"/>
      <c r="C120" s="49"/>
      <c r="D120" s="38"/>
      <c r="E120" s="37"/>
      <c r="F120" s="36"/>
      <c r="G120" s="37"/>
      <c r="H120" s="37"/>
      <c r="I120" s="39"/>
      <c r="J120" s="39"/>
    </row>
    <row r="121" spans="1:11" ht="15" x14ac:dyDescent="0.35">
      <c r="A121" s="57" t="s">
        <v>101</v>
      </c>
      <c r="B121" s="36">
        <f>B17</f>
        <v>0</v>
      </c>
      <c r="C121" s="49">
        <v>0.15</v>
      </c>
      <c r="D121" s="38">
        <v>0.2</v>
      </c>
      <c r="E121" s="37">
        <v>2</v>
      </c>
      <c r="F121" s="36">
        <f>PRODUCT(B121,C121,D121,E121)</f>
        <v>0</v>
      </c>
      <c r="G121" s="37"/>
      <c r="H121" s="37" t="s">
        <v>68</v>
      </c>
      <c r="I121" s="39"/>
      <c r="J121" s="39"/>
    </row>
    <row r="122" spans="1:11" ht="15" x14ac:dyDescent="0.35">
      <c r="A122" s="57" t="s">
        <v>102</v>
      </c>
      <c r="B122" s="36">
        <f>B17</f>
        <v>0</v>
      </c>
      <c r="C122" s="49">
        <v>1</v>
      </c>
      <c r="D122" s="38">
        <v>0.125</v>
      </c>
      <c r="E122" s="37"/>
      <c r="F122" s="36">
        <f>PRODUCT(B122,C122,D122,E122)</f>
        <v>0</v>
      </c>
      <c r="G122" s="37"/>
      <c r="H122" s="37" t="s">
        <v>68</v>
      </c>
      <c r="I122" s="39"/>
      <c r="J122" s="39"/>
      <c r="K122" t="s">
        <v>147</v>
      </c>
    </row>
    <row r="123" spans="1:11" ht="15" x14ac:dyDescent="0.35">
      <c r="A123" s="35"/>
      <c r="B123" s="40"/>
      <c r="C123" s="56"/>
      <c r="D123" s="38"/>
      <c r="E123" s="37"/>
      <c r="F123" s="36"/>
      <c r="G123" s="37"/>
      <c r="H123" s="37"/>
      <c r="I123" s="39"/>
      <c r="J123" s="39"/>
    </row>
    <row r="124" spans="1:11" s="26" customFormat="1" ht="30" customHeight="1" x14ac:dyDescent="0.25">
      <c r="A124" s="64"/>
      <c r="B124" s="65" t="s">
        <v>87</v>
      </c>
      <c r="C124" s="65" t="s">
        <v>51</v>
      </c>
      <c r="D124" s="65" t="s">
        <v>38</v>
      </c>
      <c r="E124" s="66" t="s">
        <v>88</v>
      </c>
      <c r="F124" s="65" t="s">
        <v>89</v>
      </c>
      <c r="G124" s="65"/>
      <c r="H124" s="65"/>
      <c r="I124" s="65"/>
      <c r="J124" s="65"/>
    </row>
    <row r="125" spans="1:11" ht="15" x14ac:dyDescent="0.35">
      <c r="A125" s="1101" t="s">
        <v>90</v>
      </c>
      <c r="B125" s="1102"/>
      <c r="C125" s="1102"/>
      <c r="D125" s="1102"/>
      <c r="E125" s="1102"/>
      <c r="F125" s="1103"/>
      <c r="G125" s="27">
        <f>SUM(F127:F154)</f>
        <v>8.0604580604580587</v>
      </c>
      <c r="H125" s="28" t="s">
        <v>91</v>
      </c>
      <c r="I125" s="27">
        <f>G125*1.1</f>
        <v>8.8665038665038658</v>
      </c>
      <c r="J125" s="29">
        <f>ROUND(I125,0)</f>
        <v>9</v>
      </c>
      <c r="K125" t="s">
        <v>131</v>
      </c>
    </row>
    <row r="126" spans="1:11" ht="15" x14ac:dyDescent="0.35">
      <c r="A126" s="57" t="s">
        <v>106</v>
      </c>
      <c r="B126" s="38"/>
      <c r="C126" s="37"/>
      <c r="D126" s="38"/>
      <c r="E126" s="37"/>
      <c r="F126" s="36"/>
      <c r="G126" s="56"/>
      <c r="H126" s="37"/>
      <c r="I126" s="56"/>
      <c r="J126" s="39"/>
    </row>
    <row r="127" spans="1:11" ht="15" x14ac:dyDescent="0.35">
      <c r="A127" s="48" t="s">
        <v>92</v>
      </c>
      <c r="B127" s="38">
        <v>10</v>
      </c>
      <c r="C127" s="39">
        <f>ROUND(D128/0.2,0)+1</f>
        <v>1</v>
      </c>
      <c r="D127" s="38">
        <f>0.825*2+0.95</f>
        <v>2.5999999999999996</v>
      </c>
      <c r="E127" s="38">
        <f>B127^2/162.162</f>
        <v>0.61666728333394993</v>
      </c>
      <c r="F127" s="36">
        <f>PRODUCT(C127,D127,E127)</f>
        <v>1.6033349366682697</v>
      </c>
      <c r="G127" s="56"/>
      <c r="H127" s="37" t="s">
        <v>91</v>
      </c>
      <c r="I127" s="56"/>
      <c r="J127" s="39"/>
    </row>
    <row r="128" spans="1:11" ht="15" x14ac:dyDescent="0.35">
      <c r="A128" s="48" t="s">
        <v>92</v>
      </c>
      <c r="B128" s="38">
        <v>10</v>
      </c>
      <c r="C128" s="37">
        <v>14</v>
      </c>
      <c r="D128" s="38">
        <f>B11</f>
        <v>0</v>
      </c>
      <c r="E128" s="38">
        <f>B128^2/162.162</f>
        <v>0.61666728333394993</v>
      </c>
      <c r="F128" s="36">
        <f>PRODUCT(C128,D128,E128)</f>
        <v>0</v>
      </c>
      <c r="G128" s="37"/>
      <c r="H128" s="37" t="s">
        <v>91</v>
      </c>
      <c r="I128" s="39"/>
      <c r="J128" s="39"/>
    </row>
    <row r="129" spans="1:11" ht="15" x14ac:dyDescent="0.35">
      <c r="A129" s="48"/>
      <c r="B129" s="38"/>
      <c r="C129" s="37"/>
      <c r="D129" s="38"/>
      <c r="E129" s="37"/>
      <c r="F129" s="36"/>
      <c r="G129" s="56"/>
      <c r="H129" s="37"/>
      <c r="I129" s="39"/>
      <c r="J129" s="39"/>
    </row>
    <row r="130" spans="1:11" ht="15" x14ac:dyDescent="0.35">
      <c r="A130" s="57" t="s">
        <v>148</v>
      </c>
      <c r="B130" s="38"/>
      <c r="C130" s="37"/>
      <c r="D130" s="38"/>
      <c r="E130" s="39"/>
      <c r="F130" s="36"/>
      <c r="G130" s="56"/>
      <c r="H130" s="37"/>
      <c r="I130" s="39"/>
      <c r="J130" s="39"/>
    </row>
    <row r="131" spans="1:11" ht="15" x14ac:dyDescent="0.35">
      <c r="A131" s="48" t="s">
        <v>107</v>
      </c>
      <c r="B131" s="38">
        <v>10</v>
      </c>
      <c r="C131" s="37">
        <f>ROUND(D132/0.25,0)+1</f>
        <v>1</v>
      </c>
      <c r="D131" s="38">
        <v>1.718</v>
      </c>
      <c r="E131" s="38">
        <f>B131^2/162.162</f>
        <v>0.61666728333394993</v>
      </c>
      <c r="F131" s="36">
        <f>PRODUCT(C131,D131,E131)</f>
        <v>1.0594343927677259</v>
      </c>
      <c r="G131" s="56"/>
      <c r="H131" s="37" t="s">
        <v>91</v>
      </c>
      <c r="I131" s="39"/>
      <c r="J131" s="39"/>
    </row>
    <row r="132" spans="1:11" ht="15" x14ac:dyDescent="0.35">
      <c r="A132" s="48" t="s">
        <v>107</v>
      </c>
      <c r="B132" s="38">
        <v>10</v>
      </c>
      <c r="C132" s="37">
        <v>9</v>
      </c>
      <c r="D132" s="38">
        <f>B12</f>
        <v>0</v>
      </c>
      <c r="E132" s="38">
        <f>B132^2/162.162</f>
        <v>0.61666728333394993</v>
      </c>
      <c r="F132" s="36">
        <f>PRODUCT(C132,D132,E132)</f>
        <v>0</v>
      </c>
      <c r="G132" s="56"/>
      <c r="H132" s="37" t="s">
        <v>91</v>
      </c>
      <c r="I132" s="39"/>
      <c r="J132" s="39"/>
    </row>
    <row r="133" spans="1:11" ht="15" x14ac:dyDescent="0.35">
      <c r="A133" s="48"/>
      <c r="B133" s="38"/>
      <c r="C133" s="37"/>
      <c r="D133" s="38"/>
      <c r="E133" s="62"/>
      <c r="F133" s="36"/>
      <c r="G133" s="56"/>
      <c r="H133" s="37"/>
      <c r="I133" s="39"/>
      <c r="J133" s="39"/>
    </row>
    <row r="134" spans="1:11" ht="15" x14ac:dyDescent="0.35">
      <c r="A134" s="57" t="s">
        <v>129</v>
      </c>
      <c r="B134" s="38"/>
      <c r="C134" s="37"/>
      <c r="D134" s="38"/>
      <c r="E134" s="37"/>
      <c r="F134" s="36"/>
      <c r="G134" s="56"/>
      <c r="H134" s="37"/>
      <c r="I134" s="39"/>
      <c r="J134" s="39"/>
    </row>
    <row r="135" spans="1:11" ht="15" x14ac:dyDescent="0.35">
      <c r="A135" s="48" t="s">
        <v>107</v>
      </c>
      <c r="B135" s="38">
        <v>10</v>
      </c>
      <c r="C135" s="39">
        <f>ROUND(D136/0.25,0)+1</f>
        <v>1</v>
      </c>
      <c r="D135" s="38">
        <f>2*0.45+0.55</f>
        <v>1.4500000000000002</v>
      </c>
      <c r="E135" s="38">
        <f>B135^2/162.162</f>
        <v>0.61666728333394993</v>
      </c>
      <c r="F135" s="36">
        <f>PRODUCT(C135,D135,E135)</f>
        <v>0.89416756083422755</v>
      </c>
      <c r="G135" s="56"/>
      <c r="H135" s="37" t="s">
        <v>91</v>
      </c>
      <c r="I135" s="39"/>
      <c r="J135" s="39"/>
      <c r="K135" s="68"/>
    </row>
    <row r="136" spans="1:11" ht="15" x14ac:dyDescent="0.35">
      <c r="A136" s="48" t="s">
        <v>107</v>
      </c>
      <c r="B136" s="38">
        <v>10</v>
      </c>
      <c r="C136" s="37">
        <v>8</v>
      </c>
      <c r="D136" s="38">
        <f>B13</f>
        <v>0</v>
      </c>
      <c r="E136" s="38">
        <f>B136^2/162.162</f>
        <v>0.61666728333394993</v>
      </c>
      <c r="F136" s="36">
        <f>PRODUCT(C136,D136,E136)</f>
        <v>0</v>
      </c>
      <c r="G136" s="37"/>
      <c r="H136" s="37" t="s">
        <v>91</v>
      </c>
      <c r="I136" s="39"/>
      <c r="J136" s="39"/>
    </row>
    <row r="137" spans="1:11" ht="15" x14ac:dyDescent="0.35">
      <c r="A137" s="35"/>
      <c r="B137" s="38"/>
      <c r="C137" s="37"/>
      <c r="D137" s="38"/>
      <c r="E137" s="37"/>
      <c r="F137" s="36"/>
      <c r="G137" s="56"/>
      <c r="H137" s="37"/>
      <c r="I137" s="56"/>
      <c r="J137" s="39"/>
    </row>
    <row r="138" spans="1:11" ht="15" x14ac:dyDescent="0.35">
      <c r="A138" s="55" t="s">
        <v>64</v>
      </c>
      <c r="B138" s="38"/>
      <c r="C138" s="37"/>
      <c r="D138" s="38"/>
      <c r="E138" s="61"/>
      <c r="F138" s="36"/>
      <c r="G138" s="56"/>
      <c r="H138" s="37"/>
      <c r="I138" s="56"/>
      <c r="J138" s="39"/>
    </row>
    <row r="139" spans="1:11" ht="15" x14ac:dyDescent="0.35">
      <c r="A139" s="48" t="s">
        <v>92</v>
      </c>
      <c r="B139" s="38">
        <v>10</v>
      </c>
      <c r="C139" s="37">
        <f>ROUND(D140/0.2,0)+1</f>
        <v>1</v>
      </c>
      <c r="D139" s="38">
        <f>1.15+2*0.825</f>
        <v>2.8</v>
      </c>
      <c r="E139" s="38">
        <f>B139^2/162.162</f>
        <v>0.61666728333394993</v>
      </c>
      <c r="F139" s="36">
        <f>PRODUCT(C139,D139,E139)</f>
        <v>1.7266683933350597</v>
      </c>
      <c r="G139" s="37"/>
      <c r="H139" s="37" t="s">
        <v>91</v>
      </c>
      <c r="I139" s="39"/>
      <c r="J139" s="39"/>
    </row>
    <row r="140" spans="1:11" ht="15" x14ac:dyDescent="0.35">
      <c r="A140" s="48" t="s">
        <v>92</v>
      </c>
      <c r="B140" s="38">
        <v>10</v>
      </c>
      <c r="C140" s="37">
        <v>15</v>
      </c>
      <c r="D140" s="38">
        <f>B14</f>
        <v>0</v>
      </c>
      <c r="E140" s="38">
        <f>B140^2/162.162</f>
        <v>0.61666728333394993</v>
      </c>
      <c r="F140" s="36">
        <f>PRODUCT(C140,D140,E140)</f>
        <v>0</v>
      </c>
      <c r="G140" s="56"/>
      <c r="H140" s="37" t="s">
        <v>91</v>
      </c>
      <c r="I140" s="39"/>
      <c r="J140" s="39"/>
    </row>
    <row r="141" spans="1:11" ht="15" x14ac:dyDescent="0.35">
      <c r="A141" s="48" t="s">
        <v>98</v>
      </c>
      <c r="B141" s="38">
        <v>10</v>
      </c>
      <c r="C141" s="37">
        <f>ROUND(D140/3,0)</f>
        <v>0</v>
      </c>
      <c r="D141" s="38">
        <v>1.3</v>
      </c>
      <c r="E141" s="38">
        <f>B141^2/162.162</f>
        <v>0.61666728333394993</v>
      </c>
      <c r="F141" s="36">
        <f>PRODUCT(C141,D141,E141)</f>
        <v>0</v>
      </c>
      <c r="G141" s="56"/>
      <c r="H141" s="37" t="s">
        <v>91</v>
      </c>
      <c r="I141" s="39"/>
      <c r="J141" s="39"/>
    </row>
    <row r="142" spans="1:11" ht="15" x14ac:dyDescent="0.35">
      <c r="A142" s="48"/>
      <c r="B142" s="38"/>
      <c r="C142" s="37"/>
      <c r="D142" s="38"/>
      <c r="E142" s="39"/>
      <c r="F142" s="36"/>
      <c r="G142" s="56"/>
      <c r="H142" s="37"/>
      <c r="I142" s="39"/>
      <c r="J142" s="39"/>
    </row>
    <row r="143" spans="1:11" ht="15" x14ac:dyDescent="0.35">
      <c r="A143" s="35" t="s">
        <v>134</v>
      </c>
      <c r="B143" s="37"/>
      <c r="C143" s="37"/>
      <c r="D143" s="38"/>
      <c r="E143" s="37"/>
      <c r="F143" s="36"/>
      <c r="G143" s="37"/>
      <c r="H143" s="37"/>
      <c r="I143" s="39"/>
      <c r="J143" s="39"/>
    </row>
    <row r="144" spans="1:11" ht="15" x14ac:dyDescent="0.35">
      <c r="A144" s="48" t="s">
        <v>92</v>
      </c>
      <c r="B144" s="38">
        <v>10</v>
      </c>
      <c r="C144" s="37">
        <f>ROUND(D145/0.2,0)+1</f>
        <v>1</v>
      </c>
      <c r="D144" s="38">
        <v>1.3029999999999999</v>
      </c>
      <c r="E144" s="38">
        <f>B144^2/162.162</f>
        <v>0.61666728333394993</v>
      </c>
      <c r="F144" s="36">
        <f>PRODUCT(C144,D144,E144)</f>
        <v>0.80351747018413677</v>
      </c>
      <c r="G144" s="56"/>
      <c r="H144" s="37" t="s">
        <v>91</v>
      </c>
      <c r="I144" s="56"/>
      <c r="J144" s="39"/>
    </row>
    <row r="145" spans="1:11" ht="15" x14ac:dyDescent="0.35">
      <c r="A145" s="48" t="s">
        <v>92</v>
      </c>
      <c r="B145" s="38">
        <v>10</v>
      </c>
      <c r="C145" s="37">
        <v>17</v>
      </c>
      <c r="D145" s="38">
        <f>B15</f>
        <v>0</v>
      </c>
      <c r="E145" s="38">
        <f>B145^2/162.162</f>
        <v>0.61666728333394993</v>
      </c>
      <c r="F145" s="36">
        <f>PRODUCT(C145,D145,E145)</f>
        <v>0</v>
      </c>
      <c r="G145" s="56"/>
      <c r="H145" s="37" t="s">
        <v>91</v>
      </c>
      <c r="I145" s="56"/>
      <c r="J145" s="39"/>
    </row>
    <row r="146" spans="1:11" ht="15" x14ac:dyDescent="0.35">
      <c r="A146" s="48" t="s">
        <v>98</v>
      </c>
      <c r="B146" s="38">
        <v>10</v>
      </c>
      <c r="C146" s="37">
        <f>ROUND(D145/3,0)</f>
        <v>0</v>
      </c>
      <c r="D146" s="38">
        <v>1.3</v>
      </c>
      <c r="E146" s="38">
        <f>B146^2/162.162</f>
        <v>0.61666728333394993</v>
      </c>
      <c r="F146" s="36">
        <f>PRODUCT(C146,D146,E146)</f>
        <v>0</v>
      </c>
      <c r="G146" s="56"/>
      <c r="H146" s="37" t="s">
        <v>91</v>
      </c>
      <c r="I146" s="56"/>
      <c r="J146" s="39"/>
    </row>
    <row r="147" spans="1:11" ht="15" x14ac:dyDescent="0.35">
      <c r="A147" s="48"/>
      <c r="B147" s="38"/>
      <c r="C147" s="37"/>
      <c r="D147" s="38"/>
      <c r="E147" s="61"/>
      <c r="F147" s="36"/>
      <c r="G147" s="37"/>
      <c r="H147" s="37"/>
      <c r="I147" s="39"/>
      <c r="J147" s="39"/>
    </row>
    <row r="148" spans="1:11" ht="15" x14ac:dyDescent="0.35">
      <c r="A148" s="35" t="s">
        <v>62</v>
      </c>
      <c r="B148" s="38"/>
      <c r="C148" s="37"/>
      <c r="D148" s="38"/>
      <c r="E148" s="37"/>
      <c r="F148" s="36"/>
      <c r="G148" s="56"/>
      <c r="H148" s="37"/>
      <c r="I148" s="39"/>
      <c r="J148" s="39"/>
    </row>
    <row r="149" spans="1:11" ht="15" x14ac:dyDescent="0.35">
      <c r="A149" s="48" t="s">
        <v>107</v>
      </c>
      <c r="B149" s="38">
        <v>10</v>
      </c>
      <c r="C149" s="37">
        <f>ROUND(D150/0.25,0)+1</f>
        <v>1</v>
      </c>
      <c r="D149" s="38">
        <f>0.6*2+0.7</f>
        <v>1.9</v>
      </c>
      <c r="E149" s="38">
        <f>B149^2/162.162</f>
        <v>0.61666728333394993</v>
      </c>
      <c r="F149" s="36">
        <f>PRODUCT(C149,D149,E149)</f>
        <v>1.1716678383345047</v>
      </c>
      <c r="G149" s="56"/>
      <c r="H149" s="37" t="s">
        <v>91</v>
      </c>
      <c r="I149" s="39"/>
      <c r="J149" s="39"/>
    </row>
    <row r="150" spans="1:11" ht="15" x14ac:dyDescent="0.35">
      <c r="A150" s="48" t="s">
        <v>107</v>
      </c>
      <c r="B150" s="38">
        <v>10</v>
      </c>
      <c r="C150" s="37">
        <v>10</v>
      </c>
      <c r="D150" s="38">
        <f>B16</f>
        <v>0</v>
      </c>
      <c r="E150" s="38">
        <f>B150^2/162.162</f>
        <v>0.61666728333394993</v>
      </c>
      <c r="F150" s="36">
        <f>PRODUCT(C150,D150,E150)</f>
        <v>0</v>
      </c>
      <c r="G150" s="37"/>
      <c r="H150" s="37" t="s">
        <v>91</v>
      </c>
      <c r="I150" s="39"/>
      <c r="J150" s="39"/>
    </row>
    <row r="151" spans="1:11" ht="15" x14ac:dyDescent="0.35">
      <c r="A151" s="48"/>
      <c r="B151" s="38"/>
      <c r="C151" s="37"/>
      <c r="D151" s="38"/>
      <c r="E151" s="61"/>
      <c r="F151" s="36"/>
      <c r="G151" s="56"/>
      <c r="H151" s="37"/>
      <c r="I151" s="56"/>
      <c r="J151" s="39"/>
    </row>
    <row r="152" spans="1:11" ht="15" x14ac:dyDescent="0.35">
      <c r="A152" s="35" t="s">
        <v>63</v>
      </c>
      <c r="B152" s="38"/>
      <c r="C152" s="37"/>
      <c r="D152" s="38"/>
      <c r="E152" s="61"/>
      <c r="F152" s="36"/>
      <c r="G152" s="37"/>
      <c r="H152" s="37"/>
      <c r="I152" s="39"/>
      <c r="J152" s="39"/>
    </row>
    <row r="153" spans="1:11" ht="15" x14ac:dyDescent="0.35">
      <c r="A153" s="48" t="s">
        <v>92</v>
      </c>
      <c r="B153" s="38">
        <v>10</v>
      </c>
      <c r="C153" s="37">
        <f>ROUND(D154/0.2,0)+1</f>
        <v>1</v>
      </c>
      <c r="D153" s="38">
        <f>0.025+1.05+0.225</f>
        <v>1.3</v>
      </c>
      <c r="E153" s="38">
        <f>B153^2/162.162</f>
        <v>0.61666728333394993</v>
      </c>
      <c r="F153" s="36">
        <f>PRODUCT(C153,D153,E153)</f>
        <v>0.80166746833413494</v>
      </c>
      <c r="G153" s="56"/>
      <c r="H153" s="37" t="s">
        <v>91</v>
      </c>
      <c r="I153" s="39"/>
      <c r="J153" s="39"/>
    </row>
    <row r="154" spans="1:11" ht="15" x14ac:dyDescent="0.35">
      <c r="A154" s="48" t="s">
        <v>92</v>
      </c>
      <c r="B154" s="38">
        <v>10</v>
      </c>
      <c r="C154" s="37">
        <v>7</v>
      </c>
      <c r="D154" s="38">
        <f>B17</f>
        <v>0</v>
      </c>
      <c r="E154" s="38">
        <f>B154^2/162.162</f>
        <v>0.61666728333394993</v>
      </c>
      <c r="F154" s="36">
        <f>PRODUCT(C154,D154,E154)</f>
        <v>0</v>
      </c>
      <c r="G154" s="56"/>
      <c r="H154" s="37" t="s">
        <v>91</v>
      </c>
      <c r="I154" s="39"/>
      <c r="J154" s="39"/>
    </row>
    <row r="155" spans="1:11" ht="15" x14ac:dyDescent="0.35">
      <c r="A155" s="35"/>
      <c r="B155" s="37"/>
      <c r="C155" s="37"/>
      <c r="D155" s="38"/>
      <c r="E155" s="37"/>
      <c r="F155" s="36"/>
      <c r="G155" s="37"/>
      <c r="H155" s="37"/>
      <c r="I155" s="39"/>
      <c r="J155" s="39"/>
    </row>
    <row r="156" spans="1:11" ht="15" x14ac:dyDescent="0.35">
      <c r="A156" s="1101" t="s">
        <v>42</v>
      </c>
      <c r="B156" s="1102"/>
      <c r="C156" s="1102"/>
      <c r="D156" s="1102"/>
      <c r="E156" s="1102"/>
      <c r="F156" s="1103"/>
      <c r="G156" s="27">
        <f>SUM(F158:F185)</f>
        <v>355.79899999999992</v>
      </c>
      <c r="H156" s="28" t="s">
        <v>59</v>
      </c>
      <c r="I156" s="27">
        <f>G156*1.1</f>
        <v>391.37889999999993</v>
      </c>
      <c r="J156" s="29">
        <f>ROUND(I156,0)</f>
        <v>391</v>
      </c>
      <c r="K156" t="s">
        <v>131</v>
      </c>
    </row>
    <row r="157" spans="1:11" ht="15" x14ac:dyDescent="0.35">
      <c r="A157" s="57"/>
      <c r="B157" s="37"/>
      <c r="C157" s="37"/>
      <c r="D157" s="37"/>
      <c r="E157" s="37"/>
      <c r="F157" s="36"/>
      <c r="G157" s="39"/>
      <c r="H157" s="37"/>
      <c r="I157" s="39"/>
      <c r="J157" s="39"/>
    </row>
    <row r="158" spans="1:11" ht="15" x14ac:dyDescent="0.35">
      <c r="A158" s="57" t="s">
        <v>108</v>
      </c>
      <c r="B158" s="38">
        <f>B11</f>
        <v>0</v>
      </c>
      <c r="C158" s="37"/>
      <c r="D158" s="38">
        <v>0.8</v>
      </c>
      <c r="E158" s="37">
        <v>2</v>
      </c>
      <c r="F158" s="36">
        <f>PRODUCT(B158:E158)</f>
        <v>0</v>
      </c>
      <c r="G158" s="37"/>
      <c r="H158" s="37" t="s">
        <v>59</v>
      </c>
      <c r="I158" s="39"/>
      <c r="J158" s="39"/>
    </row>
    <row r="159" spans="1:11" ht="15" x14ac:dyDescent="0.35">
      <c r="A159" s="57" t="s">
        <v>109</v>
      </c>
      <c r="B159" s="38">
        <f>B11</f>
        <v>0</v>
      </c>
      <c r="C159" s="37"/>
      <c r="D159" s="38">
        <v>0.92500000000000004</v>
      </c>
      <c r="E159" s="37">
        <v>2</v>
      </c>
      <c r="F159" s="36">
        <f>PRODUCT(B159:E159)</f>
        <v>0</v>
      </c>
      <c r="G159" s="37"/>
      <c r="H159" s="37" t="s">
        <v>59</v>
      </c>
      <c r="I159" s="39"/>
      <c r="J159" s="39"/>
    </row>
    <row r="160" spans="1:11" ht="15" x14ac:dyDescent="0.35">
      <c r="A160" s="57" t="s">
        <v>149</v>
      </c>
      <c r="B160" s="38">
        <v>0.8</v>
      </c>
      <c r="C160" s="37"/>
      <c r="D160" s="38">
        <v>0.27500000000000002</v>
      </c>
      <c r="E160" s="37">
        <f>ROUND(B159/0.275,0)</f>
        <v>0</v>
      </c>
      <c r="F160" s="36">
        <f>PRODUCT(B160:E160)</f>
        <v>0</v>
      </c>
      <c r="G160" s="37"/>
      <c r="H160" s="37" t="s">
        <v>59</v>
      </c>
      <c r="I160" s="39"/>
      <c r="J160" s="39"/>
    </row>
    <row r="161" spans="1:10" ht="15" x14ac:dyDescent="0.35">
      <c r="A161" s="57" t="s">
        <v>110</v>
      </c>
      <c r="B161" s="36"/>
      <c r="C161" s="37">
        <v>0.27500000000000002</v>
      </c>
      <c r="D161" s="38">
        <v>0.27500000000000002</v>
      </c>
      <c r="E161" s="37">
        <f>ROUND(B159/0.275,0)</f>
        <v>0</v>
      </c>
      <c r="F161" s="36">
        <f>-PRODUCT(B161:E161)</f>
        <v>0</v>
      </c>
      <c r="G161" s="37"/>
      <c r="H161" s="37" t="s">
        <v>59</v>
      </c>
      <c r="I161" s="39"/>
      <c r="J161" s="39"/>
    </row>
    <row r="162" spans="1:10" ht="15" x14ac:dyDescent="0.35">
      <c r="A162" s="57"/>
      <c r="B162" s="63"/>
      <c r="C162" s="37"/>
      <c r="D162" s="38"/>
      <c r="E162" s="37"/>
      <c r="F162" s="36"/>
      <c r="G162" s="37"/>
      <c r="H162" s="37"/>
      <c r="I162" s="39"/>
      <c r="J162" s="39"/>
    </row>
    <row r="163" spans="1:10" ht="15" x14ac:dyDescent="0.35">
      <c r="A163" s="57" t="s">
        <v>150</v>
      </c>
      <c r="B163" s="38">
        <f>B12</f>
        <v>0</v>
      </c>
      <c r="C163" s="37"/>
      <c r="D163" s="38">
        <v>0.78200000000000003</v>
      </c>
      <c r="E163" s="37"/>
      <c r="F163" s="36">
        <f>PRODUCT(B163:E163)</f>
        <v>0</v>
      </c>
      <c r="G163" s="37"/>
      <c r="H163" s="37" t="s">
        <v>59</v>
      </c>
      <c r="I163" s="39"/>
      <c r="J163" s="39"/>
    </row>
    <row r="164" spans="1:10" ht="15" x14ac:dyDescent="0.35">
      <c r="A164" s="57" t="s">
        <v>151</v>
      </c>
      <c r="B164" s="38">
        <f>B12</f>
        <v>0</v>
      </c>
      <c r="C164" s="37"/>
      <c r="D164" s="38">
        <v>0.51</v>
      </c>
      <c r="E164" s="37"/>
      <c r="F164" s="36">
        <f>PRODUCT(B164:E164)</f>
        <v>0</v>
      </c>
      <c r="G164" s="39"/>
      <c r="H164" s="37" t="s">
        <v>59</v>
      </c>
      <c r="I164" s="39"/>
      <c r="J164" s="39"/>
    </row>
    <row r="165" spans="1:10" ht="15" x14ac:dyDescent="0.35">
      <c r="A165" s="94" t="s">
        <v>197</v>
      </c>
      <c r="B165" s="92">
        <f>B12</f>
        <v>0</v>
      </c>
      <c r="C165" s="93"/>
      <c r="D165" s="92">
        <v>0.96599999999999997</v>
      </c>
      <c r="E165" s="93"/>
      <c r="F165" s="91">
        <f>PRODUCT(B165:E165)</f>
        <v>0</v>
      </c>
      <c r="G165" s="95"/>
      <c r="H165" s="93" t="s">
        <v>59</v>
      </c>
      <c r="I165" s="39"/>
      <c r="J165" s="39"/>
    </row>
    <row r="166" spans="1:10" ht="15" x14ac:dyDescent="0.35">
      <c r="A166" s="94" t="s">
        <v>198</v>
      </c>
      <c r="B166" s="92">
        <f>B12</f>
        <v>0</v>
      </c>
      <c r="C166" s="93"/>
      <c r="D166" s="92">
        <v>0.66800000000000004</v>
      </c>
      <c r="E166" s="93"/>
      <c r="F166" s="91">
        <f>PRODUCT(B166:E166)</f>
        <v>0</v>
      </c>
      <c r="G166" s="95"/>
      <c r="H166" s="93" t="s">
        <v>59</v>
      </c>
      <c r="I166" s="39"/>
      <c r="J166" s="39"/>
    </row>
    <row r="167" spans="1:10" ht="15" x14ac:dyDescent="0.35">
      <c r="A167" s="57"/>
      <c r="B167" s="63"/>
      <c r="C167" s="37"/>
      <c r="D167" s="38"/>
      <c r="E167" s="37"/>
      <c r="F167" s="36"/>
      <c r="G167" s="37"/>
      <c r="H167" s="37"/>
      <c r="I167" s="39"/>
      <c r="J167" s="39"/>
    </row>
    <row r="168" spans="1:10" ht="15" x14ac:dyDescent="0.35">
      <c r="A168" s="57" t="s">
        <v>152</v>
      </c>
      <c r="B168" s="36">
        <f>B13</f>
        <v>0</v>
      </c>
      <c r="C168" s="37"/>
      <c r="D168" s="38">
        <v>0.45</v>
      </c>
      <c r="E168" s="37">
        <v>2</v>
      </c>
      <c r="F168" s="36">
        <f>PRODUCT(B168:E168)</f>
        <v>0</v>
      </c>
      <c r="G168" s="37"/>
      <c r="H168" s="37" t="s">
        <v>59</v>
      </c>
      <c r="I168" s="39"/>
      <c r="J168" s="39"/>
    </row>
    <row r="169" spans="1:10" ht="15" x14ac:dyDescent="0.35">
      <c r="A169" s="57" t="s">
        <v>153</v>
      </c>
      <c r="B169" s="36">
        <f>B13</f>
        <v>0</v>
      </c>
      <c r="C169" s="37"/>
      <c r="D169" s="38">
        <v>0.55000000000000004</v>
      </c>
      <c r="E169" s="37">
        <v>2</v>
      </c>
      <c r="F169" s="36">
        <f>PRODUCT(B169:E169)</f>
        <v>0</v>
      </c>
      <c r="G169" s="37"/>
      <c r="H169" s="37" t="s">
        <v>59</v>
      </c>
      <c r="I169" s="39"/>
      <c r="J169" s="39"/>
    </row>
    <row r="170" spans="1:10" ht="15" x14ac:dyDescent="0.35">
      <c r="A170" s="57" t="s">
        <v>154</v>
      </c>
      <c r="B170" s="36">
        <f>B13</f>
        <v>0</v>
      </c>
      <c r="C170" s="37"/>
      <c r="D170" s="38">
        <v>0.1</v>
      </c>
      <c r="E170" s="37"/>
      <c r="F170" s="36">
        <f>PRODUCT(B170:E170)</f>
        <v>0</v>
      </c>
      <c r="G170" s="37"/>
      <c r="H170" s="37" t="s">
        <v>59</v>
      </c>
      <c r="I170" s="39"/>
      <c r="J170" s="39"/>
    </row>
    <row r="171" spans="1:10" ht="15" x14ac:dyDescent="0.35">
      <c r="A171" s="57"/>
      <c r="B171" s="63"/>
      <c r="C171" s="37"/>
      <c r="D171" s="38"/>
      <c r="E171" s="37"/>
      <c r="F171" s="36"/>
      <c r="G171" s="39"/>
      <c r="H171" s="37"/>
      <c r="I171" s="39"/>
      <c r="J171" s="39"/>
    </row>
    <row r="172" spans="1:10" ht="15" x14ac:dyDescent="0.35">
      <c r="A172" s="57" t="s">
        <v>114</v>
      </c>
      <c r="B172" s="38">
        <f>B14</f>
        <v>0</v>
      </c>
      <c r="C172" s="37"/>
      <c r="D172" s="38">
        <v>0.8</v>
      </c>
      <c r="E172" s="37">
        <v>2</v>
      </c>
      <c r="F172" s="36">
        <f>PRODUCT(B172:E172)</f>
        <v>0</v>
      </c>
      <c r="G172" s="37"/>
      <c r="H172" s="37" t="s">
        <v>59</v>
      </c>
      <c r="I172" s="39"/>
      <c r="J172" s="39"/>
    </row>
    <row r="173" spans="1:10" ht="15" x14ac:dyDescent="0.35">
      <c r="A173" s="57" t="s">
        <v>115</v>
      </c>
      <c r="B173" s="38">
        <f>B14</f>
        <v>0</v>
      </c>
      <c r="C173" s="37"/>
      <c r="D173" s="38">
        <v>0.92500000000000004</v>
      </c>
      <c r="E173" s="37">
        <v>2</v>
      </c>
      <c r="F173" s="36">
        <f>PRODUCT(B173:E173)</f>
        <v>0</v>
      </c>
      <c r="G173" s="37"/>
      <c r="H173" s="37" t="s">
        <v>59</v>
      </c>
      <c r="I173" s="39"/>
      <c r="J173" s="39"/>
    </row>
    <row r="174" spans="1:10" ht="15" x14ac:dyDescent="0.35">
      <c r="A174" s="57" t="s">
        <v>105</v>
      </c>
      <c r="B174" s="38">
        <v>1</v>
      </c>
      <c r="C174" s="37"/>
      <c r="D174" s="38">
        <v>7.4999999999999997E-2</v>
      </c>
      <c r="E174" s="37">
        <f>ROUND(B173/3,0)</f>
        <v>0</v>
      </c>
      <c r="F174" s="36">
        <f>PRODUCT(B174:E174)</f>
        <v>0</v>
      </c>
      <c r="G174" s="37"/>
      <c r="H174" s="37" t="s">
        <v>59</v>
      </c>
      <c r="I174" s="39"/>
      <c r="J174" s="39"/>
    </row>
    <row r="175" spans="1:10" ht="15" x14ac:dyDescent="0.35">
      <c r="A175" s="57"/>
      <c r="B175" s="63"/>
      <c r="C175" s="37"/>
      <c r="D175" s="38"/>
      <c r="E175" s="37"/>
      <c r="F175" s="36"/>
      <c r="G175" s="37"/>
      <c r="H175" s="37"/>
      <c r="I175" s="39"/>
      <c r="J175" s="39"/>
    </row>
    <row r="176" spans="1:10" ht="15" x14ac:dyDescent="0.35">
      <c r="A176" s="57" t="s">
        <v>155</v>
      </c>
      <c r="B176" s="38">
        <f>B15</f>
        <v>0</v>
      </c>
      <c r="C176" s="37"/>
      <c r="D176" s="38">
        <v>1</v>
      </c>
      <c r="E176" s="37">
        <v>2</v>
      </c>
      <c r="F176" s="36">
        <f>PRODUCT(B176:E176)</f>
        <v>0</v>
      </c>
      <c r="G176" s="37"/>
      <c r="H176" s="37" t="s">
        <v>59</v>
      </c>
      <c r="I176" s="39"/>
      <c r="J176" s="39"/>
    </row>
    <row r="177" spans="1:11" ht="15" x14ac:dyDescent="0.35">
      <c r="A177" s="57" t="s">
        <v>156</v>
      </c>
      <c r="B177" s="38">
        <f>B15</f>
        <v>0</v>
      </c>
      <c r="C177" s="37"/>
      <c r="D177" s="38">
        <v>1.125</v>
      </c>
      <c r="E177" s="37">
        <v>2</v>
      </c>
      <c r="F177" s="36">
        <f>PRODUCT(B177:E177)</f>
        <v>0</v>
      </c>
      <c r="G177" s="39"/>
      <c r="H177" s="37" t="s">
        <v>59</v>
      </c>
      <c r="I177" s="39"/>
      <c r="J177" s="39"/>
    </row>
    <row r="178" spans="1:11" ht="15" x14ac:dyDescent="0.35">
      <c r="A178" s="57" t="s">
        <v>105</v>
      </c>
      <c r="B178" s="38">
        <v>1</v>
      </c>
      <c r="C178" s="37"/>
      <c r="D178" s="38">
        <v>7.4999999999999997E-2</v>
      </c>
      <c r="E178" s="37">
        <f>ROUND(B177/3,0)</f>
        <v>0</v>
      </c>
      <c r="F178" s="36">
        <f>PRODUCT(B178:E178)</f>
        <v>0</v>
      </c>
      <c r="G178" s="37"/>
      <c r="H178" s="37" t="s">
        <v>59</v>
      </c>
      <c r="I178" s="39"/>
      <c r="J178" s="39"/>
    </row>
    <row r="179" spans="1:11" ht="15" x14ac:dyDescent="0.35">
      <c r="A179" s="57"/>
      <c r="B179" s="63"/>
      <c r="C179" s="37"/>
      <c r="D179" s="38"/>
      <c r="E179" s="37"/>
      <c r="F179" s="36"/>
      <c r="G179" s="37"/>
      <c r="H179" s="37"/>
      <c r="I179" s="39"/>
      <c r="J179" s="39"/>
    </row>
    <row r="180" spans="1:11" ht="15" x14ac:dyDescent="0.35">
      <c r="A180" s="57" t="s">
        <v>111</v>
      </c>
      <c r="B180" s="38">
        <f>B16</f>
        <v>0</v>
      </c>
      <c r="C180" s="37"/>
      <c r="D180" s="38">
        <v>0.6</v>
      </c>
      <c r="E180" s="37">
        <v>2</v>
      </c>
      <c r="F180" s="36">
        <f>PRODUCT(B180:E180)</f>
        <v>0</v>
      </c>
      <c r="G180" s="37"/>
      <c r="H180" s="37" t="s">
        <v>59</v>
      </c>
      <c r="I180" s="39"/>
      <c r="J180" s="39"/>
    </row>
    <row r="181" spans="1:11" ht="15" x14ac:dyDescent="0.35">
      <c r="A181" s="57" t="s">
        <v>112</v>
      </c>
      <c r="B181" s="38">
        <f>11.934+116.231+11.537+41.118+37.803</f>
        <v>218.62299999999999</v>
      </c>
      <c r="C181" s="37"/>
      <c r="D181" s="38">
        <v>0.7</v>
      </c>
      <c r="E181" s="37">
        <v>2</v>
      </c>
      <c r="F181" s="36">
        <f>PRODUCT(B181:E181)</f>
        <v>306.07219999999995</v>
      </c>
      <c r="G181" s="37"/>
      <c r="H181" s="37" t="s">
        <v>59</v>
      </c>
      <c r="I181" s="39"/>
      <c r="J181" s="39"/>
    </row>
    <row r="182" spans="1:11" ht="15" x14ac:dyDescent="0.35">
      <c r="A182" s="57"/>
      <c r="B182" s="63"/>
      <c r="C182" s="37"/>
      <c r="D182" s="38"/>
      <c r="E182" s="37"/>
      <c r="F182" s="36"/>
      <c r="G182" s="39"/>
      <c r="H182" s="37"/>
      <c r="I182" s="39"/>
      <c r="J182" s="39"/>
    </row>
    <row r="183" spans="1:11" ht="15" x14ac:dyDescent="0.35">
      <c r="A183" s="57" t="s">
        <v>113</v>
      </c>
      <c r="B183" s="38">
        <f>B17</f>
        <v>0</v>
      </c>
      <c r="C183" s="37"/>
      <c r="D183" s="38">
        <v>0.2</v>
      </c>
      <c r="E183" s="37"/>
      <c r="F183" s="36">
        <f>PRODUCT(B183:E183)</f>
        <v>0</v>
      </c>
      <c r="G183" s="37"/>
      <c r="H183" s="37" t="s">
        <v>59</v>
      </c>
      <c r="I183" s="39"/>
      <c r="J183" s="39"/>
    </row>
    <row r="184" spans="1:11" ht="15" x14ac:dyDescent="0.35">
      <c r="A184" s="57" t="s">
        <v>157</v>
      </c>
      <c r="B184" s="38">
        <f>110.504</f>
        <v>110.504</v>
      </c>
      <c r="C184" s="37"/>
      <c r="D184" s="38">
        <v>0.32500000000000001</v>
      </c>
      <c r="E184" s="37"/>
      <c r="F184" s="36">
        <f>PRODUCT(B184:E184)</f>
        <v>35.913800000000002</v>
      </c>
      <c r="G184" s="37"/>
      <c r="H184" s="37" t="s">
        <v>59</v>
      </c>
      <c r="I184" s="39"/>
      <c r="J184" s="39"/>
    </row>
    <row r="185" spans="1:11" ht="15" x14ac:dyDescent="0.35">
      <c r="A185" s="57" t="s">
        <v>158</v>
      </c>
      <c r="B185" s="38">
        <f>110.504</f>
        <v>110.504</v>
      </c>
      <c r="C185" s="37"/>
      <c r="D185" s="38">
        <v>0.125</v>
      </c>
      <c r="E185" s="37"/>
      <c r="F185" s="36">
        <f>PRODUCT(B185:E185)</f>
        <v>13.813000000000001</v>
      </c>
      <c r="G185" s="37"/>
      <c r="H185" s="37" t="s">
        <v>59</v>
      </c>
      <c r="I185" s="39"/>
      <c r="J185" s="39"/>
    </row>
    <row r="186" spans="1:11" ht="15" x14ac:dyDescent="0.35">
      <c r="A186" s="35"/>
      <c r="B186" s="38"/>
      <c r="C186" s="37"/>
      <c r="D186" s="38"/>
      <c r="E186" s="37"/>
      <c r="F186" s="36"/>
      <c r="G186" s="37"/>
      <c r="H186" s="37"/>
      <c r="I186" s="39"/>
      <c r="J186" s="39"/>
    </row>
    <row r="187" spans="1:11" ht="15" x14ac:dyDescent="0.35">
      <c r="A187" s="1101" t="s">
        <v>116</v>
      </c>
      <c r="B187" s="1102"/>
      <c r="C187" s="1102"/>
      <c r="D187" s="1102"/>
      <c r="E187" s="1102"/>
      <c r="F187" s="1103"/>
      <c r="G187" s="27">
        <f>SUM(F188:F189)</f>
        <v>24.8</v>
      </c>
      <c r="H187" s="28" t="s">
        <v>10</v>
      </c>
      <c r="I187" s="27">
        <f>G187</f>
        <v>24.8</v>
      </c>
      <c r="J187" s="29">
        <f>ROUND(I187,0)</f>
        <v>25</v>
      </c>
      <c r="K187" t="s">
        <v>131</v>
      </c>
    </row>
    <row r="188" spans="1:11" ht="15" x14ac:dyDescent="0.35">
      <c r="A188" s="35" t="s">
        <v>61</v>
      </c>
      <c r="B188" s="40">
        <v>1</v>
      </c>
      <c r="C188" s="56"/>
      <c r="D188" s="56"/>
      <c r="E188" s="40">
        <f>2*(ROUND((B11)/1,0)+1)</f>
        <v>2</v>
      </c>
      <c r="F188" s="36">
        <f>PRODUCT(B188:E188)</f>
        <v>2</v>
      </c>
      <c r="G188" s="37"/>
      <c r="H188" s="37" t="s">
        <v>10</v>
      </c>
      <c r="I188" s="39"/>
      <c r="J188" s="39"/>
    </row>
    <row r="189" spans="1:11" ht="15" x14ac:dyDescent="0.35">
      <c r="A189" s="35" t="s">
        <v>64</v>
      </c>
      <c r="B189" s="40">
        <v>0.6</v>
      </c>
      <c r="C189" s="56"/>
      <c r="D189" s="56"/>
      <c r="E189" s="40">
        <f>2*(ROUND((18)/1,0)+1)</f>
        <v>38</v>
      </c>
      <c r="F189" s="36">
        <f>PRODUCT(B189:E189)</f>
        <v>22.8</v>
      </c>
      <c r="G189" s="37"/>
      <c r="H189" s="37" t="s">
        <v>10</v>
      </c>
      <c r="I189" s="39"/>
      <c r="J189" s="39"/>
    </row>
    <row r="190" spans="1:11" ht="15" x14ac:dyDescent="0.35">
      <c r="A190" s="35"/>
      <c r="B190" s="40"/>
      <c r="C190" s="56"/>
      <c r="D190" s="38"/>
      <c r="E190" s="37"/>
      <c r="F190" s="36"/>
      <c r="G190" s="37"/>
      <c r="H190" s="37"/>
      <c r="I190" s="39"/>
      <c r="J190" s="39"/>
    </row>
    <row r="191" spans="1:11" ht="24.9" customHeight="1" x14ac:dyDescent="0.25">
      <c r="A191" s="1104" t="s">
        <v>117</v>
      </c>
      <c r="B191" s="1105"/>
      <c r="C191" s="1105"/>
      <c r="D191" s="1105"/>
      <c r="E191" s="1105"/>
      <c r="F191" s="1105"/>
      <c r="G191" s="1105"/>
      <c r="H191" s="1105"/>
      <c r="I191" s="1105"/>
      <c r="J191" s="1106"/>
    </row>
    <row r="192" spans="1:11" ht="15" x14ac:dyDescent="0.35">
      <c r="A192" s="1101" t="s">
        <v>94</v>
      </c>
      <c r="B192" s="1102"/>
      <c r="C192" s="1102"/>
      <c r="D192" s="1102"/>
      <c r="E192" s="1102"/>
      <c r="F192" s="1103"/>
      <c r="G192" s="27">
        <f>SUM(F193)</f>
        <v>0.33075000000000004</v>
      </c>
      <c r="H192" s="28" t="s">
        <v>68</v>
      </c>
      <c r="I192" s="27">
        <f>G192*1.1</f>
        <v>0.36382500000000007</v>
      </c>
      <c r="J192" s="29">
        <v>0.3</v>
      </c>
      <c r="K192" t="s">
        <v>131</v>
      </c>
    </row>
    <row r="193" spans="1:16" ht="15" x14ac:dyDescent="0.35">
      <c r="A193" s="35" t="s">
        <v>118</v>
      </c>
      <c r="B193" s="38">
        <v>1.05</v>
      </c>
      <c r="C193" s="38">
        <v>1.05</v>
      </c>
      <c r="D193" s="56">
        <v>0.05</v>
      </c>
      <c r="E193" s="37">
        <v>6</v>
      </c>
      <c r="F193" s="36">
        <f>PRODUCT(B193,C193,D193,E193)</f>
        <v>0.33075000000000004</v>
      </c>
      <c r="G193" s="39"/>
      <c r="H193" s="37" t="s">
        <v>68</v>
      </c>
      <c r="I193" s="39"/>
      <c r="J193" s="39"/>
    </row>
    <row r="194" spans="1:16" ht="15" x14ac:dyDescent="0.35">
      <c r="A194" s="67"/>
      <c r="B194" s="40"/>
      <c r="C194" s="56"/>
      <c r="D194" s="38"/>
      <c r="E194" s="37"/>
      <c r="F194" s="36"/>
      <c r="G194" s="39"/>
      <c r="H194" s="37"/>
      <c r="I194" s="39"/>
      <c r="J194" s="39"/>
    </row>
    <row r="195" spans="1:16" ht="15" x14ac:dyDescent="0.35">
      <c r="A195" s="1101" t="s">
        <v>95</v>
      </c>
      <c r="B195" s="1102"/>
      <c r="C195" s="1102"/>
      <c r="D195" s="1102"/>
      <c r="E195" s="1102"/>
      <c r="F195" s="1103"/>
      <c r="G195" s="27">
        <f>SUM(F196:F199)</f>
        <v>3.2081250000000003</v>
      </c>
      <c r="H195" s="28" t="s">
        <v>68</v>
      </c>
      <c r="I195" s="27">
        <f>G195*1.1</f>
        <v>3.5289375000000005</v>
      </c>
      <c r="J195" s="29">
        <f>ROUND(I195,0)</f>
        <v>4</v>
      </c>
      <c r="K195" t="s">
        <v>131</v>
      </c>
    </row>
    <row r="196" spans="1:16" ht="15" x14ac:dyDescent="0.35">
      <c r="A196" s="35" t="s">
        <v>119</v>
      </c>
      <c r="B196" s="38">
        <v>1.05</v>
      </c>
      <c r="C196" s="56">
        <v>1.05</v>
      </c>
      <c r="D196" s="38">
        <v>0.125</v>
      </c>
      <c r="E196" s="37">
        <v>6</v>
      </c>
      <c r="F196" s="36">
        <f>PRODUCT(B196,C196,D196,E196)</f>
        <v>0.82687500000000003</v>
      </c>
      <c r="G196" s="37"/>
      <c r="H196" s="37" t="s">
        <v>68</v>
      </c>
      <c r="I196" s="39"/>
      <c r="J196" s="39"/>
    </row>
    <row r="197" spans="1:16" ht="15" x14ac:dyDescent="0.35">
      <c r="A197" s="35" t="s">
        <v>120</v>
      </c>
      <c r="B197" s="38">
        <v>1.25</v>
      </c>
      <c r="C197" s="56">
        <v>0.125</v>
      </c>
      <c r="D197" s="38">
        <v>0.95</v>
      </c>
      <c r="E197" s="37">
        <v>12</v>
      </c>
      <c r="F197" s="36">
        <f>PRODUCT(B197,C197,D197,E197)</f>
        <v>1.78125</v>
      </c>
      <c r="G197" s="37"/>
      <c r="H197" s="37" t="s">
        <v>68</v>
      </c>
      <c r="I197" s="39"/>
      <c r="J197" s="39"/>
    </row>
    <row r="198" spans="1:16" ht="15" x14ac:dyDescent="0.35">
      <c r="A198" s="35"/>
      <c r="B198" s="38">
        <v>0.8</v>
      </c>
      <c r="C198" s="56">
        <v>0.125</v>
      </c>
      <c r="D198" s="38">
        <v>0.95</v>
      </c>
      <c r="E198" s="37">
        <v>12</v>
      </c>
      <c r="F198" s="36">
        <f>PRODUCT(B198,C198,D198,E198)</f>
        <v>1.1400000000000001</v>
      </c>
      <c r="G198" s="37"/>
      <c r="H198" s="37" t="s">
        <v>68</v>
      </c>
      <c r="I198" s="39"/>
      <c r="J198" s="39"/>
    </row>
    <row r="199" spans="1:16" ht="15" x14ac:dyDescent="0.35">
      <c r="A199" s="35" t="s">
        <v>121</v>
      </c>
      <c r="B199" s="38">
        <v>0.125</v>
      </c>
      <c r="C199" s="56">
        <v>0.6</v>
      </c>
      <c r="D199" s="38">
        <v>0.6</v>
      </c>
      <c r="E199" s="37">
        <v>12</v>
      </c>
      <c r="F199" s="36">
        <f>-PRODUCT(B199,C199,D199,E199)</f>
        <v>-0.54</v>
      </c>
      <c r="G199" s="37"/>
      <c r="H199" s="37" t="s">
        <v>68</v>
      </c>
      <c r="I199" s="39"/>
      <c r="J199" s="39"/>
    </row>
    <row r="200" spans="1:16" ht="15" x14ac:dyDescent="0.35">
      <c r="A200" s="35"/>
      <c r="B200" s="40"/>
      <c r="C200" s="56"/>
      <c r="D200" s="38"/>
      <c r="E200" s="37"/>
      <c r="F200" s="36"/>
      <c r="G200" s="37"/>
      <c r="H200" s="37"/>
      <c r="I200" s="39"/>
      <c r="J200" s="39"/>
    </row>
    <row r="201" spans="1:16" ht="30" x14ac:dyDescent="0.25">
      <c r="A201" s="64"/>
      <c r="B201" s="65" t="s">
        <v>87</v>
      </c>
      <c r="C201" s="65" t="s">
        <v>51</v>
      </c>
      <c r="D201" s="65" t="s">
        <v>38</v>
      </c>
      <c r="E201" s="66" t="s">
        <v>88</v>
      </c>
      <c r="F201" s="65" t="s">
        <v>89</v>
      </c>
      <c r="G201" s="65"/>
      <c r="H201" s="65"/>
      <c r="I201" s="65"/>
      <c r="J201" s="65"/>
    </row>
    <row r="202" spans="1:16" ht="15" x14ac:dyDescent="0.35">
      <c r="A202" s="1101" t="s">
        <v>90</v>
      </c>
      <c r="B202" s="1102"/>
      <c r="C202" s="1102"/>
      <c r="D202" s="1102"/>
      <c r="E202" s="1102"/>
      <c r="F202" s="1103"/>
      <c r="G202" s="27">
        <f>SUM(F204:F205)</f>
        <v>180.93018093018088</v>
      </c>
      <c r="H202" s="28" t="s">
        <v>91</v>
      </c>
      <c r="I202" s="27">
        <f>G202*1.1</f>
        <v>199.023199023199</v>
      </c>
      <c r="J202" s="29">
        <f>ROUND(I202,0)</f>
        <v>199</v>
      </c>
      <c r="K202" t="s">
        <v>131</v>
      </c>
    </row>
    <row r="203" spans="1:16" ht="15" x14ac:dyDescent="0.35">
      <c r="A203" s="57" t="s">
        <v>45</v>
      </c>
      <c r="B203" s="38"/>
      <c r="C203" s="37"/>
      <c r="D203" s="38"/>
      <c r="E203" s="37"/>
      <c r="F203" s="36"/>
      <c r="G203" s="56"/>
      <c r="H203" s="37"/>
      <c r="I203" s="56">
        <f>G203*1.15</f>
        <v>0</v>
      </c>
      <c r="J203" s="37"/>
    </row>
    <row r="204" spans="1:16" ht="15" x14ac:dyDescent="0.35">
      <c r="A204" s="48" t="s">
        <v>92</v>
      </c>
      <c r="B204" s="38">
        <v>10</v>
      </c>
      <c r="C204" s="37">
        <f>9*6</f>
        <v>54</v>
      </c>
      <c r="D204" s="38">
        <f>0.975*2+0.95</f>
        <v>2.9</v>
      </c>
      <c r="E204" s="38">
        <f>B204^2/162.162</f>
        <v>0.61666728333394993</v>
      </c>
      <c r="F204" s="36">
        <f>PRODUCT(C204,D204,E204)</f>
        <v>96.570096570096553</v>
      </c>
      <c r="G204" s="56"/>
      <c r="H204" s="37" t="s">
        <v>91</v>
      </c>
      <c r="I204" s="39"/>
      <c r="J204" s="39"/>
    </row>
    <row r="205" spans="1:16" ht="15" x14ac:dyDescent="0.35">
      <c r="A205" s="48" t="s">
        <v>92</v>
      </c>
      <c r="B205" s="38">
        <v>10</v>
      </c>
      <c r="C205" s="37">
        <f>6*6</f>
        <v>36</v>
      </c>
      <c r="D205" s="37">
        <f>0.95*4</f>
        <v>3.8</v>
      </c>
      <c r="E205" s="38">
        <f>B205^2/162.162</f>
        <v>0.61666728333394993</v>
      </c>
      <c r="F205" s="36">
        <f>PRODUCT(C205,D205,E205)</f>
        <v>84.360084360084343</v>
      </c>
      <c r="G205" s="37"/>
      <c r="H205" s="37" t="s">
        <v>91</v>
      </c>
      <c r="I205" s="39"/>
      <c r="J205" s="39"/>
    </row>
    <row r="206" spans="1:16" ht="15" x14ac:dyDescent="0.35">
      <c r="A206" s="48"/>
      <c r="B206" s="38"/>
      <c r="C206" s="37"/>
      <c r="D206" s="38"/>
      <c r="E206" s="37"/>
      <c r="F206" s="49"/>
      <c r="G206" s="56"/>
      <c r="H206" s="37"/>
      <c r="I206" s="39"/>
      <c r="J206" s="39"/>
      <c r="P206">
        <f>(4.25*6)</f>
        <v>25.5</v>
      </c>
    </row>
    <row r="207" spans="1:16" ht="15" x14ac:dyDescent="0.35">
      <c r="A207" s="1101" t="s">
        <v>42</v>
      </c>
      <c r="B207" s="1102"/>
      <c r="C207" s="1102"/>
      <c r="D207" s="1102"/>
      <c r="E207" s="1102"/>
      <c r="F207" s="1103"/>
      <c r="G207" s="27">
        <f>SUM(F208:F210)*3</f>
        <v>123.03</v>
      </c>
      <c r="H207" s="28" t="s">
        <v>59</v>
      </c>
      <c r="I207" s="27">
        <f>G207*1.1</f>
        <v>135.333</v>
      </c>
      <c r="J207" s="29">
        <f>ROUND(I207,0)</f>
        <v>135</v>
      </c>
      <c r="K207" t="s">
        <v>131</v>
      </c>
    </row>
    <row r="208" spans="1:16" ht="15" x14ac:dyDescent="0.35">
      <c r="A208" s="35" t="s">
        <v>122</v>
      </c>
      <c r="B208" s="40">
        <v>0.8</v>
      </c>
      <c r="C208" s="37"/>
      <c r="D208" s="38">
        <v>0.95</v>
      </c>
      <c r="E208" s="37">
        <f>4*6</f>
        <v>24</v>
      </c>
      <c r="F208" s="36">
        <f>PRODUCT(B208:E208)</f>
        <v>18.240000000000002</v>
      </c>
      <c r="G208" s="37"/>
      <c r="H208" s="37" t="s">
        <v>59</v>
      </c>
      <c r="I208" s="37"/>
      <c r="J208" s="37"/>
    </row>
    <row r="209" spans="1:11" ht="15" x14ac:dyDescent="0.35">
      <c r="A209" s="35" t="s">
        <v>123</v>
      </c>
      <c r="B209" s="40">
        <v>1.05</v>
      </c>
      <c r="C209" s="37"/>
      <c r="D209" s="38">
        <v>1.075</v>
      </c>
      <c r="E209" s="37">
        <f>4*6</f>
        <v>24</v>
      </c>
      <c r="F209" s="36">
        <f>PRODUCT(B209:E209)</f>
        <v>27.089999999999996</v>
      </c>
      <c r="G209" s="37"/>
      <c r="H209" s="37" t="s">
        <v>59</v>
      </c>
      <c r="I209" s="39"/>
      <c r="J209" s="39"/>
    </row>
    <row r="210" spans="1:11" ht="15" x14ac:dyDescent="0.35">
      <c r="A210" s="48" t="s">
        <v>159</v>
      </c>
      <c r="B210" s="40"/>
      <c r="C210" s="37">
        <v>0.6</v>
      </c>
      <c r="D210" s="38">
        <v>0.6</v>
      </c>
      <c r="E210" s="37">
        <f>2*6</f>
        <v>12</v>
      </c>
      <c r="F210" s="36">
        <f>-PRODUCT(B210:E210)</f>
        <v>-4.32</v>
      </c>
      <c r="G210" s="37"/>
      <c r="H210" s="37" t="s">
        <v>68</v>
      </c>
      <c r="I210" s="39"/>
      <c r="J210" s="39"/>
    </row>
    <row r="211" spans="1:11" ht="15" x14ac:dyDescent="0.35">
      <c r="A211" s="48"/>
      <c r="B211" s="40"/>
      <c r="C211" s="37"/>
      <c r="D211" s="38"/>
      <c r="E211" s="37"/>
      <c r="F211" s="36"/>
      <c r="G211" s="37"/>
      <c r="H211" s="37"/>
      <c r="I211" s="39"/>
      <c r="J211" s="39"/>
    </row>
    <row r="212" spans="1:11" ht="24.9" customHeight="1" x14ac:dyDescent="0.25">
      <c r="A212" s="1104" t="s">
        <v>124</v>
      </c>
      <c r="B212" s="1105"/>
      <c r="C212" s="1105"/>
      <c r="D212" s="1105"/>
      <c r="E212" s="1105"/>
      <c r="F212" s="1105"/>
      <c r="G212" s="1105"/>
      <c r="H212" s="1105"/>
      <c r="I212" s="1105"/>
      <c r="J212" s="1106"/>
    </row>
    <row r="213" spans="1:11" ht="15" x14ac:dyDescent="0.35">
      <c r="A213" s="1101" t="s">
        <v>163</v>
      </c>
      <c r="B213" s="1102"/>
      <c r="C213" s="1102"/>
      <c r="D213" s="1102"/>
      <c r="E213" s="1102"/>
      <c r="F213" s="1103"/>
      <c r="G213" s="27">
        <f>SUM(F215)</f>
        <v>0</v>
      </c>
      <c r="H213" s="28" t="s">
        <v>10</v>
      </c>
      <c r="I213" s="27">
        <f>G213</f>
        <v>0</v>
      </c>
      <c r="J213" s="29">
        <f>ROUND(I213,0)</f>
        <v>0</v>
      </c>
      <c r="K213" t="s">
        <v>131</v>
      </c>
    </row>
    <row r="214" spans="1:11" ht="15" x14ac:dyDescent="0.35">
      <c r="A214" s="35" t="s">
        <v>160</v>
      </c>
      <c r="B214" s="40"/>
      <c r="C214" s="38"/>
      <c r="D214" s="56"/>
      <c r="E214" s="37"/>
      <c r="F214" s="36"/>
      <c r="G214" s="39"/>
      <c r="H214" s="37"/>
      <c r="I214" s="39"/>
      <c r="J214" s="39"/>
    </row>
    <row r="215" spans="1:11" ht="15" x14ac:dyDescent="0.35">
      <c r="A215" s="48" t="s">
        <v>164</v>
      </c>
      <c r="B215" s="40">
        <v>16</v>
      </c>
      <c r="C215" s="37"/>
      <c r="D215" s="38"/>
      <c r="E215" s="82">
        <v>0</v>
      </c>
      <c r="F215" s="36">
        <f>PRODUCT(B215:E215)</f>
        <v>0</v>
      </c>
      <c r="G215" s="37"/>
      <c r="H215" s="37" t="s">
        <v>10</v>
      </c>
      <c r="I215" s="39"/>
      <c r="J215" s="39"/>
    </row>
    <row r="216" spans="1:11" ht="15" x14ac:dyDescent="0.35">
      <c r="A216" s="48"/>
      <c r="B216" s="40"/>
      <c r="C216" s="37"/>
      <c r="D216" s="38"/>
      <c r="E216" s="37"/>
      <c r="F216" s="36"/>
      <c r="G216" s="37"/>
      <c r="H216" s="37"/>
      <c r="I216" s="39"/>
      <c r="J216" s="39"/>
    </row>
    <row r="217" spans="1:11" ht="15" x14ac:dyDescent="0.35">
      <c r="A217" s="1101" t="s">
        <v>125</v>
      </c>
      <c r="B217" s="1102"/>
      <c r="C217" s="1102"/>
      <c r="D217" s="1102"/>
      <c r="E217" s="1102"/>
      <c r="F217" s="1103"/>
      <c r="G217" s="27">
        <f>SUM(F219:F224)</f>
        <v>3044</v>
      </c>
      <c r="H217" s="28" t="s">
        <v>10</v>
      </c>
      <c r="I217" s="27">
        <f>G217</f>
        <v>3044</v>
      </c>
      <c r="J217" s="29">
        <f>ROUND(I217,0)</f>
        <v>3044</v>
      </c>
      <c r="K217" t="s">
        <v>131</v>
      </c>
    </row>
    <row r="218" spans="1:11" ht="15" x14ac:dyDescent="0.35">
      <c r="A218" s="35" t="s">
        <v>160</v>
      </c>
      <c r="B218" s="40"/>
      <c r="C218" s="38"/>
      <c r="D218" s="56"/>
      <c r="E218" s="37"/>
      <c r="F218" s="36"/>
      <c r="G218" s="39"/>
      <c r="H218" s="37"/>
      <c r="I218" s="39"/>
      <c r="J218" s="39"/>
    </row>
    <row r="219" spans="1:11" ht="15" x14ac:dyDescent="0.35">
      <c r="A219" s="87" t="s">
        <v>192</v>
      </c>
      <c r="B219" s="40">
        <v>10</v>
      </c>
      <c r="C219" s="37"/>
      <c r="D219" s="38"/>
      <c r="E219" s="37">
        <v>152</v>
      </c>
      <c r="F219" s="36">
        <f t="shared" ref="F219:F224" si="6">PRODUCT(B219:E219)</f>
        <v>1520</v>
      </c>
      <c r="G219" s="37"/>
      <c r="H219" s="37" t="s">
        <v>10</v>
      </c>
      <c r="I219" s="39"/>
      <c r="J219" s="39"/>
    </row>
    <row r="220" spans="1:11" ht="15" x14ac:dyDescent="0.35">
      <c r="A220" s="48" t="s">
        <v>126</v>
      </c>
      <c r="B220" s="40">
        <v>12</v>
      </c>
      <c r="C220" s="37"/>
      <c r="D220" s="38"/>
      <c r="E220" s="82">
        <v>127</v>
      </c>
      <c r="F220" s="36">
        <f t="shared" si="6"/>
        <v>1524</v>
      </c>
      <c r="G220" s="37"/>
      <c r="H220" s="37" t="s">
        <v>10</v>
      </c>
      <c r="I220" s="39"/>
      <c r="J220" s="39"/>
    </row>
    <row r="221" spans="1:11" ht="15" x14ac:dyDescent="0.35">
      <c r="A221" s="35" t="s">
        <v>161</v>
      </c>
      <c r="B221" s="40"/>
      <c r="C221" s="37"/>
      <c r="D221" s="38"/>
      <c r="E221" s="37"/>
      <c r="F221" s="36"/>
      <c r="G221" s="37"/>
      <c r="H221" s="37"/>
      <c r="I221" s="39"/>
      <c r="J221" s="39"/>
    </row>
    <row r="222" spans="1:11" ht="15" x14ac:dyDescent="0.35">
      <c r="A222" s="48" t="s">
        <v>162</v>
      </c>
      <c r="B222" s="40">
        <v>8</v>
      </c>
      <c r="C222" s="37"/>
      <c r="D222" s="38"/>
      <c r="E222" s="82">
        <v>0</v>
      </c>
      <c r="F222" s="36">
        <f t="shared" si="6"/>
        <v>0</v>
      </c>
      <c r="G222" s="37"/>
      <c r="H222" s="37" t="s">
        <v>10</v>
      </c>
      <c r="I222" s="39"/>
      <c r="J222" s="39"/>
    </row>
    <row r="223" spans="1:11" ht="15" x14ac:dyDescent="0.35">
      <c r="A223" s="35" t="s">
        <v>165</v>
      </c>
      <c r="B223" s="40"/>
      <c r="C223" s="37"/>
      <c r="D223" s="38"/>
      <c r="E223" s="37"/>
      <c r="F223" s="36"/>
      <c r="G223" s="37"/>
      <c r="H223" s="37"/>
      <c r="I223" s="39"/>
      <c r="J223" s="39"/>
    </row>
    <row r="224" spans="1:11" ht="15" x14ac:dyDescent="0.35">
      <c r="A224" s="48" t="s">
        <v>162</v>
      </c>
      <c r="B224" s="40">
        <v>8</v>
      </c>
      <c r="C224" s="37"/>
      <c r="D224" s="38"/>
      <c r="E224" s="82">
        <v>0</v>
      </c>
      <c r="F224" s="36">
        <f t="shared" si="6"/>
        <v>0</v>
      </c>
      <c r="G224" s="37"/>
      <c r="H224" s="37" t="s">
        <v>10</v>
      </c>
      <c r="I224" s="39"/>
      <c r="J224" s="39"/>
    </row>
    <row r="225" spans="1:11" ht="15" x14ac:dyDescent="0.35">
      <c r="A225" s="48"/>
      <c r="B225" s="40"/>
      <c r="C225" s="37"/>
      <c r="D225" s="38"/>
      <c r="E225" s="37"/>
      <c r="F225" s="36"/>
      <c r="G225" s="37"/>
      <c r="H225" s="37"/>
      <c r="I225" s="39"/>
      <c r="J225" s="39"/>
    </row>
    <row r="226" spans="1:11" ht="15" x14ac:dyDescent="0.35">
      <c r="A226" s="1101" t="s">
        <v>170</v>
      </c>
      <c r="B226" s="1102"/>
      <c r="C226" s="1102"/>
      <c r="D226" s="1102"/>
      <c r="E226" s="1102"/>
      <c r="F226" s="1103"/>
      <c r="G226" s="27">
        <f>SUM(F228:F234)</f>
        <v>1635.4939999999999</v>
      </c>
      <c r="H226" s="28" t="s">
        <v>59</v>
      </c>
      <c r="I226" s="27">
        <f>G226*1.1</f>
        <v>1799.0434</v>
      </c>
      <c r="J226" s="29">
        <f>ROUND(I226,0)</f>
        <v>1799</v>
      </c>
      <c r="K226" t="s">
        <v>131</v>
      </c>
    </row>
    <row r="227" spans="1:11" ht="15" x14ac:dyDescent="0.35">
      <c r="A227" s="35" t="s">
        <v>171</v>
      </c>
      <c r="B227" s="40"/>
      <c r="C227" s="38"/>
      <c r="D227" s="56"/>
      <c r="E227" s="37"/>
      <c r="F227" s="36"/>
      <c r="G227" s="39"/>
      <c r="H227" s="37"/>
      <c r="I227" s="39"/>
      <c r="J227" s="39"/>
    </row>
    <row r="228" spans="1:11" ht="15" x14ac:dyDescent="0.35">
      <c r="A228" s="48" t="s">
        <v>173</v>
      </c>
      <c r="B228" s="38">
        <f>(12.635+22.982)/2</f>
        <v>17.808499999999999</v>
      </c>
      <c r="C228" s="38">
        <v>16</v>
      </c>
      <c r="D228" s="38"/>
      <c r="E228" s="37"/>
      <c r="F228" s="36">
        <f>PRODUCT(B228:E228)</f>
        <v>284.93599999999998</v>
      </c>
      <c r="G228" s="37"/>
      <c r="H228" s="37" t="s">
        <v>59</v>
      </c>
      <c r="I228" s="39"/>
      <c r="J228" s="39"/>
    </row>
    <row r="229" spans="1:11" ht="15" x14ac:dyDescent="0.35">
      <c r="A229" s="48" t="s">
        <v>174</v>
      </c>
      <c r="B229" s="38">
        <f>(22.982+24.413)/2</f>
        <v>23.697499999999998</v>
      </c>
      <c r="C229" s="38">
        <v>34</v>
      </c>
      <c r="D229" s="38"/>
      <c r="E229" s="37"/>
      <c r="F229" s="36">
        <f>PRODUCT(B229:E229)</f>
        <v>805.71499999999992</v>
      </c>
      <c r="G229" s="37"/>
      <c r="H229" s="37" t="s">
        <v>59</v>
      </c>
      <c r="I229" s="39"/>
      <c r="J229" s="39"/>
    </row>
    <row r="230" spans="1:11" ht="15" x14ac:dyDescent="0.35">
      <c r="A230" s="48" t="s">
        <v>194</v>
      </c>
      <c r="B230" s="38">
        <f>(24.412+17.499)/2</f>
        <v>20.955500000000001</v>
      </c>
      <c r="C230" s="38">
        <v>26</v>
      </c>
      <c r="D230" s="38"/>
      <c r="E230" s="37"/>
      <c r="F230" s="36">
        <f>PRODUCT(B230:E230)</f>
        <v>544.84300000000007</v>
      </c>
      <c r="G230" s="37"/>
      <c r="H230" s="37" t="s">
        <v>59</v>
      </c>
      <c r="I230" s="39"/>
      <c r="J230" s="39"/>
    </row>
    <row r="231" spans="1:11" ht="15" x14ac:dyDescent="0.35">
      <c r="A231" s="35" t="s">
        <v>172</v>
      </c>
      <c r="B231" s="40"/>
      <c r="C231" s="37"/>
      <c r="D231" s="38"/>
      <c r="E231" s="37"/>
      <c r="F231" s="36"/>
      <c r="G231" s="37"/>
      <c r="H231" s="37"/>
      <c r="I231" s="39"/>
      <c r="J231" s="39"/>
    </row>
    <row r="232" spans="1:11" ht="15" x14ac:dyDescent="0.35">
      <c r="A232" s="48" t="s">
        <v>175</v>
      </c>
      <c r="B232" s="84">
        <v>0</v>
      </c>
      <c r="C232" s="82">
        <v>0</v>
      </c>
      <c r="D232" s="38"/>
      <c r="E232" s="37"/>
      <c r="F232" s="36">
        <f>PRODUCT(B232:E232)</f>
        <v>0</v>
      </c>
      <c r="G232" s="37"/>
      <c r="H232" s="37" t="s">
        <v>59</v>
      </c>
      <c r="I232" s="39"/>
      <c r="J232" s="39"/>
    </row>
    <row r="233" spans="1:11" ht="15" x14ac:dyDescent="0.35">
      <c r="A233" s="35" t="s">
        <v>176</v>
      </c>
      <c r="B233" s="40"/>
      <c r="C233" s="37"/>
      <c r="D233" s="38"/>
      <c r="E233" s="37"/>
      <c r="F233" s="36"/>
      <c r="G233" s="37"/>
      <c r="H233" s="37"/>
      <c r="I233" s="39"/>
      <c r="J233" s="39"/>
    </row>
    <row r="234" spans="1:11" ht="15" x14ac:dyDescent="0.35">
      <c r="A234" s="48" t="s">
        <v>175</v>
      </c>
      <c r="B234" s="84">
        <v>0</v>
      </c>
      <c r="C234" s="82">
        <v>0</v>
      </c>
      <c r="D234" s="38"/>
      <c r="E234" s="37"/>
      <c r="F234" s="36">
        <f>PRODUCT(B234:E234)</f>
        <v>0</v>
      </c>
      <c r="G234" s="37"/>
      <c r="H234" s="37" t="s">
        <v>59</v>
      </c>
      <c r="I234" s="39"/>
      <c r="J234" s="39"/>
    </row>
    <row r="235" spans="1:11" ht="15" x14ac:dyDescent="0.35">
      <c r="A235" s="48"/>
      <c r="B235" s="40"/>
      <c r="C235" s="37"/>
      <c r="D235" s="38"/>
      <c r="E235" s="37"/>
      <c r="F235" s="36"/>
      <c r="G235" s="37"/>
      <c r="H235" s="37"/>
      <c r="I235" s="39"/>
      <c r="J235" s="39"/>
    </row>
    <row r="236" spans="1:11" ht="15" x14ac:dyDescent="0.35">
      <c r="A236" s="1101" t="s">
        <v>178</v>
      </c>
      <c r="B236" s="1102"/>
      <c r="C236" s="1102"/>
      <c r="D236" s="1102"/>
      <c r="E236" s="1102"/>
      <c r="F236" s="1103"/>
      <c r="G236" s="27">
        <f>SUM(F238:F287)</f>
        <v>1443.1349999999998</v>
      </c>
      <c r="H236" s="28" t="s">
        <v>10</v>
      </c>
      <c r="I236" s="27">
        <f>G236*1.1</f>
        <v>1587.4485</v>
      </c>
      <c r="J236" s="29">
        <f>ROUND(I236,0)</f>
        <v>1587</v>
      </c>
      <c r="K236" t="s">
        <v>131</v>
      </c>
    </row>
    <row r="237" spans="1:11" ht="15" x14ac:dyDescent="0.35">
      <c r="A237" s="35" t="s">
        <v>179</v>
      </c>
      <c r="B237" s="40"/>
      <c r="C237" s="38"/>
      <c r="D237" s="56"/>
      <c r="E237" s="37"/>
      <c r="F237" s="36"/>
      <c r="G237" s="39"/>
      <c r="H237" s="37"/>
      <c r="I237" s="39"/>
      <c r="J237" s="39"/>
    </row>
    <row r="238" spans="1:11" ht="15" x14ac:dyDescent="0.35">
      <c r="A238" s="48" t="s">
        <v>173</v>
      </c>
      <c r="B238" s="38">
        <f>B228</f>
        <v>17.808499999999999</v>
      </c>
      <c r="C238" s="38"/>
      <c r="D238" s="56"/>
      <c r="E238" s="37">
        <v>8</v>
      </c>
      <c r="F238" s="36">
        <f t="shared" ref="F238:F259" si="7">PRODUCT(B238:E238)</f>
        <v>142.46799999999999</v>
      </c>
      <c r="G238" s="39"/>
      <c r="H238" s="37" t="s">
        <v>10</v>
      </c>
      <c r="I238" s="39"/>
      <c r="J238" s="39"/>
    </row>
    <row r="239" spans="1:11" ht="15" x14ac:dyDescent="0.35">
      <c r="A239" s="48" t="s">
        <v>174</v>
      </c>
      <c r="B239" s="38">
        <f>B229</f>
        <v>23.697499999999998</v>
      </c>
      <c r="C239" s="38"/>
      <c r="D239" s="38"/>
      <c r="E239" s="37">
        <v>17</v>
      </c>
      <c r="F239" s="36">
        <f t="shared" si="7"/>
        <v>402.85749999999996</v>
      </c>
      <c r="G239" s="37"/>
      <c r="H239" s="37" t="s">
        <v>10</v>
      </c>
      <c r="I239" s="39"/>
      <c r="J239" s="39"/>
    </row>
    <row r="240" spans="1:11" ht="15" x14ac:dyDescent="0.35">
      <c r="A240" s="48" t="s">
        <v>194</v>
      </c>
      <c r="B240" s="38">
        <f>B230</f>
        <v>20.955500000000001</v>
      </c>
      <c r="C240" s="38"/>
      <c r="D240" s="38"/>
      <c r="E240" s="37">
        <v>13</v>
      </c>
      <c r="F240" s="36">
        <f t="shared" si="7"/>
        <v>272.42150000000004</v>
      </c>
      <c r="G240" s="37"/>
      <c r="H240" s="37" t="s">
        <v>10</v>
      </c>
      <c r="I240" s="39"/>
      <c r="J240" s="39"/>
    </row>
    <row r="241" spans="1:10" ht="15" x14ac:dyDescent="0.35">
      <c r="A241" s="48"/>
      <c r="B241" s="38"/>
      <c r="C241" s="38"/>
      <c r="D241" s="38"/>
      <c r="E241" s="37"/>
      <c r="F241" s="36"/>
      <c r="G241" s="37"/>
      <c r="H241" s="37"/>
      <c r="I241" s="39"/>
      <c r="J241" s="39"/>
    </row>
    <row r="242" spans="1:10" ht="15" x14ac:dyDescent="0.35">
      <c r="A242" s="35" t="s">
        <v>180</v>
      </c>
      <c r="B242" s="40"/>
      <c r="C242" s="37"/>
      <c r="D242" s="38"/>
      <c r="E242" s="37"/>
      <c r="F242" s="36"/>
      <c r="G242" s="37"/>
      <c r="H242" s="37"/>
      <c r="I242" s="39"/>
      <c r="J242" s="39"/>
    </row>
    <row r="243" spans="1:10" ht="15" x14ac:dyDescent="0.35">
      <c r="A243" s="35"/>
      <c r="B243" s="40">
        <v>4</v>
      </c>
      <c r="C243" s="37"/>
      <c r="D243" s="38"/>
      <c r="E243" s="37"/>
      <c r="F243" s="36">
        <f t="shared" si="7"/>
        <v>4</v>
      </c>
      <c r="G243" s="37"/>
      <c r="H243" s="37" t="s">
        <v>10</v>
      </c>
      <c r="I243" s="39"/>
      <c r="J243" s="39"/>
    </row>
    <row r="244" spans="1:10" ht="15" x14ac:dyDescent="0.35">
      <c r="A244" s="35"/>
      <c r="B244" s="40">
        <v>12</v>
      </c>
      <c r="C244" s="37"/>
      <c r="D244" s="38"/>
      <c r="E244" s="37"/>
      <c r="F244" s="36">
        <f t="shared" si="7"/>
        <v>12</v>
      </c>
      <c r="G244" s="37"/>
      <c r="H244" s="37" t="s">
        <v>10</v>
      </c>
      <c r="I244" s="39"/>
      <c r="J244" s="39"/>
    </row>
    <row r="245" spans="1:10" ht="15" x14ac:dyDescent="0.35">
      <c r="A245" s="35"/>
      <c r="B245" s="40">
        <v>20</v>
      </c>
      <c r="C245" s="37"/>
      <c r="D245" s="38"/>
      <c r="E245" s="37"/>
      <c r="F245" s="36">
        <f t="shared" si="7"/>
        <v>20</v>
      </c>
      <c r="G245" s="37"/>
      <c r="H245" s="37" t="s">
        <v>10</v>
      </c>
      <c r="I245" s="39"/>
      <c r="J245" s="39"/>
    </row>
    <row r="246" spans="1:10" ht="15" x14ac:dyDescent="0.35">
      <c r="A246" s="35"/>
      <c r="B246" s="40">
        <v>24</v>
      </c>
      <c r="C246" s="37"/>
      <c r="D246" s="38"/>
      <c r="E246" s="37"/>
      <c r="F246" s="36">
        <f t="shared" si="7"/>
        <v>24</v>
      </c>
      <c r="G246" s="37"/>
      <c r="H246" s="37" t="s">
        <v>10</v>
      </c>
      <c r="I246" s="39"/>
      <c r="J246" s="39"/>
    </row>
    <row r="247" spans="1:10" ht="15" x14ac:dyDescent="0.35">
      <c r="A247" s="35"/>
      <c r="B247" s="40">
        <v>32</v>
      </c>
      <c r="C247" s="37"/>
      <c r="D247" s="38"/>
      <c r="E247" s="37"/>
      <c r="F247" s="36">
        <f t="shared" si="7"/>
        <v>32</v>
      </c>
      <c r="G247" s="37"/>
      <c r="H247" s="37" t="s">
        <v>10</v>
      </c>
      <c r="I247" s="39"/>
      <c r="J247" s="39"/>
    </row>
    <row r="248" spans="1:10" ht="15" x14ac:dyDescent="0.35">
      <c r="A248" s="35"/>
      <c r="B248" s="40">
        <v>42</v>
      </c>
      <c r="C248" s="37"/>
      <c r="D248" s="38"/>
      <c r="E248" s="37"/>
      <c r="F248" s="36">
        <f t="shared" si="7"/>
        <v>42</v>
      </c>
      <c r="G248" s="37"/>
      <c r="H248" s="37" t="s">
        <v>10</v>
      </c>
      <c r="I248" s="39"/>
      <c r="J248" s="39"/>
    </row>
    <row r="249" spans="1:10" ht="15" x14ac:dyDescent="0.35">
      <c r="A249" s="35"/>
      <c r="B249" s="40">
        <v>58</v>
      </c>
      <c r="C249" s="37"/>
      <c r="D249" s="38"/>
      <c r="E249" s="37"/>
      <c r="F249" s="36">
        <f t="shared" si="7"/>
        <v>58</v>
      </c>
      <c r="G249" s="37"/>
      <c r="H249" s="37" t="s">
        <v>10</v>
      </c>
      <c r="I249" s="39"/>
      <c r="J249" s="39"/>
    </row>
    <row r="250" spans="1:10" ht="15" x14ac:dyDescent="0.35">
      <c r="A250" s="48"/>
      <c r="B250" s="40">
        <v>68</v>
      </c>
      <c r="C250" s="37"/>
      <c r="D250" s="38"/>
      <c r="E250" s="37"/>
      <c r="F250" s="36">
        <f t="shared" si="7"/>
        <v>68</v>
      </c>
      <c r="G250" s="37"/>
      <c r="H250" s="37" t="s">
        <v>10</v>
      </c>
      <c r="I250" s="39"/>
      <c r="J250" s="39"/>
    </row>
    <row r="251" spans="1:10" ht="15" x14ac:dyDescent="0.35">
      <c r="A251" s="48"/>
      <c r="B251" s="40">
        <f>54+12</f>
        <v>66</v>
      </c>
      <c r="C251" s="37"/>
      <c r="D251" s="38"/>
      <c r="E251" s="37"/>
      <c r="F251" s="36">
        <f t="shared" si="7"/>
        <v>66</v>
      </c>
      <c r="G251" s="37"/>
      <c r="H251" s="37" t="s">
        <v>10</v>
      </c>
      <c r="I251" s="39"/>
      <c r="J251" s="39"/>
    </row>
    <row r="252" spans="1:10" ht="15" x14ac:dyDescent="0.35">
      <c r="A252" s="48"/>
      <c r="B252" s="40">
        <v>54</v>
      </c>
      <c r="C252" s="37"/>
      <c r="D252" s="38"/>
      <c r="E252" s="37"/>
      <c r="F252" s="36">
        <f t="shared" si="7"/>
        <v>54</v>
      </c>
      <c r="G252" s="37"/>
      <c r="H252" s="37" t="s">
        <v>10</v>
      </c>
      <c r="I252" s="39"/>
      <c r="J252" s="39"/>
    </row>
    <row r="253" spans="1:10" ht="15" x14ac:dyDescent="0.35">
      <c r="A253" s="48"/>
      <c r="B253" s="40">
        <v>44</v>
      </c>
      <c r="C253" s="37"/>
      <c r="D253" s="38"/>
      <c r="E253" s="37"/>
      <c r="F253" s="36">
        <f t="shared" si="7"/>
        <v>44</v>
      </c>
      <c r="G253" s="37"/>
      <c r="H253" s="37" t="s">
        <v>10</v>
      </c>
      <c r="I253" s="39"/>
      <c r="J253" s="39"/>
    </row>
    <row r="254" spans="1:10" ht="15" x14ac:dyDescent="0.35">
      <c r="A254" s="48"/>
      <c r="B254" s="40">
        <v>42</v>
      </c>
      <c r="C254" s="37"/>
      <c r="D254" s="38"/>
      <c r="E254" s="37"/>
      <c r="F254" s="36">
        <f t="shared" si="7"/>
        <v>42</v>
      </c>
      <c r="G254" s="37"/>
      <c r="H254" s="37" t="s">
        <v>10</v>
      </c>
      <c r="I254" s="39"/>
      <c r="J254" s="39"/>
    </row>
    <row r="255" spans="1:10" ht="15" x14ac:dyDescent="0.35">
      <c r="A255" s="48"/>
      <c r="B255" s="40">
        <v>38</v>
      </c>
      <c r="C255" s="37"/>
      <c r="D255" s="38"/>
      <c r="E255" s="37"/>
      <c r="F255" s="36">
        <f t="shared" si="7"/>
        <v>38</v>
      </c>
      <c r="G255" s="37"/>
      <c r="H255" s="37" t="s">
        <v>10</v>
      </c>
      <c r="I255" s="39"/>
      <c r="J255" s="39"/>
    </row>
    <row r="256" spans="1:10" ht="15" x14ac:dyDescent="0.35">
      <c r="A256" s="48"/>
      <c r="B256" s="40">
        <v>34</v>
      </c>
      <c r="C256" s="37"/>
      <c r="D256" s="38"/>
      <c r="E256" s="37"/>
      <c r="F256" s="36">
        <f t="shared" si="7"/>
        <v>34</v>
      </c>
      <c r="G256" s="37"/>
      <c r="H256" s="37" t="s">
        <v>10</v>
      </c>
      <c r="I256" s="39"/>
      <c r="J256" s="39"/>
    </row>
    <row r="257" spans="1:10" ht="15" x14ac:dyDescent="0.35">
      <c r="A257" s="48"/>
      <c r="B257" s="40">
        <v>28</v>
      </c>
      <c r="C257" s="37"/>
      <c r="D257" s="38"/>
      <c r="E257" s="37"/>
      <c r="F257" s="36">
        <f t="shared" si="7"/>
        <v>28</v>
      </c>
      <c r="G257" s="37"/>
      <c r="H257" s="37" t="s">
        <v>10</v>
      </c>
      <c r="I257" s="39"/>
      <c r="J257" s="39"/>
    </row>
    <row r="258" spans="1:10" ht="15" x14ac:dyDescent="0.35">
      <c r="A258" s="55" t="s">
        <v>183</v>
      </c>
      <c r="B258" s="40"/>
      <c r="C258" s="37"/>
      <c r="D258" s="38"/>
      <c r="E258" s="37"/>
      <c r="F258" s="36"/>
      <c r="G258" s="37"/>
      <c r="H258" s="37"/>
      <c r="I258" s="39"/>
      <c r="J258" s="39"/>
    </row>
    <row r="259" spans="1:10" ht="15" x14ac:dyDescent="0.35">
      <c r="A259" s="48"/>
      <c r="B259" s="40">
        <v>2.8279999999999998</v>
      </c>
      <c r="C259" s="37"/>
      <c r="D259" s="38"/>
      <c r="E259" s="37">
        <v>21</v>
      </c>
      <c r="F259" s="36">
        <f t="shared" si="7"/>
        <v>59.387999999999998</v>
      </c>
      <c r="G259" s="37"/>
      <c r="H259" s="37" t="s">
        <v>10</v>
      </c>
      <c r="I259" s="39"/>
      <c r="J259" s="39"/>
    </row>
    <row r="260" spans="1:10" ht="15" x14ac:dyDescent="0.35">
      <c r="A260" s="48"/>
      <c r="B260" s="40"/>
      <c r="C260" s="37"/>
      <c r="D260" s="38"/>
      <c r="E260" s="37"/>
      <c r="F260" s="36"/>
      <c r="G260" s="37"/>
      <c r="H260" s="37"/>
      <c r="I260" s="39"/>
      <c r="J260" s="39"/>
    </row>
    <row r="261" spans="1:10" ht="15" x14ac:dyDescent="0.35">
      <c r="A261" s="35" t="s">
        <v>182</v>
      </c>
      <c r="B261" s="40"/>
      <c r="C261" s="37"/>
      <c r="D261" s="38"/>
      <c r="E261" s="37"/>
      <c r="F261" s="36"/>
      <c r="G261" s="37"/>
      <c r="H261" s="37"/>
      <c r="I261" s="39"/>
      <c r="J261" s="39"/>
    </row>
    <row r="262" spans="1:10" ht="15" x14ac:dyDescent="0.35">
      <c r="A262" s="48" t="s">
        <v>175</v>
      </c>
      <c r="B262" s="84">
        <v>0</v>
      </c>
      <c r="C262" s="37"/>
      <c r="D262" s="38"/>
      <c r="E262" s="37">
        <v>19</v>
      </c>
      <c r="F262" s="36">
        <f>PRODUCT(B262:E262)</f>
        <v>0</v>
      </c>
      <c r="G262" s="37"/>
      <c r="H262" s="37" t="s">
        <v>10</v>
      </c>
      <c r="I262" s="39"/>
      <c r="J262" s="39"/>
    </row>
    <row r="263" spans="1:10" ht="15" x14ac:dyDescent="0.35">
      <c r="A263" s="48"/>
      <c r="B263" s="40"/>
      <c r="C263" s="37"/>
      <c r="D263" s="38"/>
      <c r="E263" s="37"/>
      <c r="F263" s="36"/>
      <c r="G263" s="37"/>
      <c r="H263" s="37"/>
      <c r="I263" s="39"/>
      <c r="J263" s="39"/>
    </row>
    <row r="264" spans="1:10" ht="15" x14ac:dyDescent="0.35">
      <c r="A264" s="35" t="s">
        <v>181</v>
      </c>
      <c r="B264" s="84">
        <v>0</v>
      </c>
      <c r="C264" s="37"/>
      <c r="D264" s="38"/>
      <c r="E264" s="37">
        <v>2</v>
      </c>
      <c r="F264" s="36">
        <f>PRODUCT(B264:E264)</f>
        <v>0</v>
      </c>
      <c r="G264" s="37"/>
      <c r="H264" s="37" t="s">
        <v>10</v>
      </c>
      <c r="I264" s="39"/>
      <c r="J264" s="39"/>
    </row>
    <row r="265" spans="1:10" ht="15" x14ac:dyDescent="0.35">
      <c r="A265" s="48"/>
      <c r="B265" s="84">
        <v>0</v>
      </c>
      <c r="C265" s="37"/>
      <c r="D265" s="38"/>
      <c r="E265" s="37">
        <v>2</v>
      </c>
      <c r="F265" s="36">
        <f>PRODUCT(B265:E265)</f>
        <v>0</v>
      </c>
      <c r="G265" s="37"/>
      <c r="H265" s="37" t="s">
        <v>10</v>
      </c>
      <c r="I265" s="39"/>
      <c r="J265" s="39"/>
    </row>
    <row r="266" spans="1:10" ht="15" x14ac:dyDescent="0.35">
      <c r="A266" s="48"/>
      <c r="B266" s="84">
        <v>0</v>
      </c>
      <c r="C266" s="37"/>
      <c r="D266" s="38"/>
      <c r="E266" s="37">
        <v>2</v>
      </c>
      <c r="F266" s="36">
        <f>PRODUCT(B266:E266)</f>
        <v>0</v>
      </c>
      <c r="G266" s="37"/>
      <c r="H266" s="37" t="s">
        <v>10</v>
      </c>
      <c r="I266" s="39"/>
      <c r="J266" s="39"/>
    </row>
    <row r="267" spans="1:10" ht="15" x14ac:dyDescent="0.35">
      <c r="A267" s="48"/>
      <c r="B267" s="84">
        <v>0</v>
      </c>
      <c r="C267" s="37"/>
      <c r="D267" s="38"/>
      <c r="E267" s="37">
        <v>3</v>
      </c>
      <c r="F267" s="36">
        <f>PRODUCT(B267:E267)</f>
        <v>0</v>
      </c>
      <c r="G267" s="37"/>
      <c r="H267" s="37" t="s">
        <v>10</v>
      </c>
      <c r="I267" s="39"/>
      <c r="J267" s="39"/>
    </row>
    <row r="268" spans="1:10" ht="15" x14ac:dyDescent="0.35">
      <c r="A268" s="48"/>
      <c r="B268" s="84">
        <v>0</v>
      </c>
      <c r="C268" s="37"/>
      <c r="D268" s="38"/>
      <c r="E268" s="37">
        <v>1</v>
      </c>
      <c r="F268" s="36">
        <f>PRODUCT(B268:E268)</f>
        <v>0</v>
      </c>
      <c r="G268" s="37"/>
      <c r="H268" s="37" t="s">
        <v>10</v>
      </c>
      <c r="I268" s="39"/>
      <c r="J268" s="39"/>
    </row>
    <row r="269" spans="1:10" ht="15" x14ac:dyDescent="0.35">
      <c r="A269" s="48"/>
      <c r="B269" s="40"/>
      <c r="C269" s="37"/>
      <c r="D269" s="38"/>
      <c r="E269" s="37"/>
      <c r="F269" s="36"/>
      <c r="G269" s="37"/>
      <c r="H269" s="37"/>
      <c r="I269" s="39"/>
      <c r="J269" s="39"/>
    </row>
    <row r="270" spans="1:10" ht="15" x14ac:dyDescent="0.35">
      <c r="A270" s="55" t="s">
        <v>193</v>
      </c>
      <c r="B270" s="40"/>
      <c r="C270" s="37"/>
      <c r="D270" s="38"/>
      <c r="E270" s="37"/>
      <c r="F270" s="36"/>
      <c r="G270" s="37"/>
      <c r="H270" s="37"/>
      <c r="I270" s="39"/>
      <c r="J270" s="39"/>
    </row>
    <row r="271" spans="1:10" ht="15" x14ac:dyDescent="0.35">
      <c r="A271" s="48"/>
      <c r="B271" s="40">
        <v>2.8279999999999998</v>
      </c>
      <c r="C271" s="37"/>
      <c r="D271" s="38"/>
      <c r="E271" s="37">
        <v>0</v>
      </c>
      <c r="F271" s="36">
        <f>PRODUCT(B271:E271)</f>
        <v>0</v>
      </c>
      <c r="G271" s="37"/>
      <c r="H271" s="37" t="s">
        <v>10</v>
      </c>
      <c r="I271" s="39"/>
      <c r="J271" s="39"/>
    </row>
    <row r="272" spans="1:10" ht="15" x14ac:dyDescent="0.35">
      <c r="A272" s="48"/>
      <c r="B272" s="40"/>
      <c r="C272" s="37"/>
      <c r="D272" s="38"/>
      <c r="E272" s="37"/>
      <c r="F272" s="36"/>
      <c r="G272" s="37"/>
      <c r="H272" s="37"/>
      <c r="I272" s="39"/>
      <c r="J272" s="39"/>
    </row>
    <row r="273" spans="1:10" ht="15" x14ac:dyDescent="0.35">
      <c r="A273" s="35" t="s">
        <v>184</v>
      </c>
      <c r="B273" s="40"/>
      <c r="C273" s="37"/>
      <c r="D273" s="38"/>
      <c r="E273" s="37"/>
      <c r="F273" s="36"/>
      <c r="G273" s="37"/>
      <c r="H273" s="37"/>
      <c r="I273" s="39"/>
      <c r="J273" s="39"/>
    </row>
    <row r="274" spans="1:10" ht="15" x14ac:dyDescent="0.35">
      <c r="A274" s="48" t="s">
        <v>175</v>
      </c>
      <c r="B274" s="84">
        <v>0</v>
      </c>
      <c r="C274" s="37"/>
      <c r="D274" s="38"/>
      <c r="E274" s="37">
        <v>19</v>
      </c>
      <c r="F274" s="36">
        <f>PRODUCT(B274:E274)</f>
        <v>0</v>
      </c>
      <c r="G274" s="37"/>
      <c r="H274" s="37" t="s">
        <v>10</v>
      </c>
      <c r="I274" s="39"/>
      <c r="J274" s="39"/>
    </row>
    <row r="275" spans="1:10" ht="15" x14ac:dyDescent="0.35">
      <c r="A275" s="48"/>
      <c r="B275" s="40"/>
      <c r="C275" s="37"/>
      <c r="D275" s="38"/>
      <c r="E275" s="37"/>
      <c r="F275" s="36"/>
      <c r="G275" s="37"/>
      <c r="H275" s="37"/>
      <c r="I275" s="39"/>
      <c r="J275" s="39"/>
    </row>
    <row r="276" spans="1:10" ht="15" x14ac:dyDescent="0.35">
      <c r="A276" s="35" t="s">
        <v>185</v>
      </c>
      <c r="B276" s="84">
        <v>0</v>
      </c>
      <c r="C276" s="37"/>
      <c r="D276" s="38"/>
      <c r="E276" s="37"/>
      <c r="F276" s="36">
        <f t="shared" ref="F276:F284" si="8">PRODUCT(B276:E276)</f>
        <v>0</v>
      </c>
      <c r="G276" s="37"/>
      <c r="H276" s="37" t="s">
        <v>10</v>
      </c>
      <c r="I276" s="39"/>
      <c r="J276" s="39"/>
    </row>
    <row r="277" spans="1:10" ht="15" x14ac:dyDescent="0.35">
      <c r="A277" s="48"/>
      <c r="B277" s="84">
        <v>0</v>
      </c>
      <c r="C277" s="37"/>
      <c r="D277" s="38"/>
      <c r="E277" s="37">
        <v>3</v>
      </c>
      <c r="F277" s="36">
        <f t="shared" si="8"/>
        <v>0</v>
      </c>
      <c r="G277" s="37"/>
      <c r="H277" s="37" t="s">
        <v>10</v>
      </c>
      <c r="I277" s="39"/>
      <c r="J277" s="39"/>
    </row>
    <row r="278" spans="1:10" ht="15" x14ac:dyDescent="0.35">
      <c r="A278" s="48"/>
      <c r="B278" s="84">
        <v>0</v>
      </c>
      <c r="C278" s="37"/>
      <c r="D278" s="38"/>
      <c r="E278" s="37"/>
      <c r="F278" s="36">
        <f t="shared" si="8"/>
        <v>0</v>
      </c>
      <c r="G278" s="37"/>
      <c r="H278" s="37" t="s">
        <v>10</v>
      </c>
      <c r="I278" s="39"/>
      <c r="J278" s="39"/>
    </row>
    <row r="279" spans="1:10" ht="15" x14ac:dyDescent="0.35">
      <c r="A279" s="48"/>
      <c r="B279" s="84">
        <v>0</v>
      </c>
      <c r="C279" s="37"/>
      <c r="D279" s="38"/>
      <c r="E279" s="37"/>
      <c r="F279" s="36">
        <f t="shared" si="8"/>
        <v>0</v>
      </c>
      <c r="G279" s="37"/>
      <c r="H279" s="37" t="s">
        <v>10</v>
      </c>
      <c r="I279" s="39"/>
      <c r="J279" s="39"/>
    </row>
    <row r="280" spans="1:10" ht="15" x14ac:dyDescent="0.35">
      <c r="A280" s="48"/>
      <c r="B280" s="84">
        <v>0</v>
      </c>
      <c r="C280" s="37"/>
      <c r="D280" s="38"/>
      <c r="E280" s="37"/>
      <c r="F280" s="36">
        <f t="shared" si="8"/>
        <v>0</v>
      </c>
      <c r="G280" s="37"/>
      <c r="H280" s="37" t="s">
        <v>10</v>
      </c>
      <c r="I280" s="39"/>
      <c r="J280" s="39"/>
    </row>
    <row r="281" spans="1:10" ht="15" x14ac:dyDescent="0.35">
      <c r="A281" s="48"/>
      <c r="B281" s="84">
        <v>0</v>
      </c>
      <c r="C281" s="37"/>
      <c r="D281" s="38"/>
      <c r="E281" s="37"/>
      <c r="F281" s="36">
        <f t="shared" si="8"/>
        <v>0</v>
      </c>
      <c r="G281" s="37"/>
      <c r="H281" s="37" t="s">
        <v>10</v>
      </c>
      <c r="I281" s="39"/>
      <c r="J281" s="39"/>
    </row>
    <row r="282" spans="1:10" ht="15" x14ac:dyDescent="0.35">
      <c r="A282" s="48"/>
      <c r="B282" s="84">
        <v>0</v>
      </c>
      <c r="C282" s="37"/>
      <c r="D282" s="38"/>
      <c r="E282" s="37"/>
      <c r="F282" s="36">
        <f t="shared" si="8"/>
        <v>0</v>
      </c>
      <c r="G282" s="37"/>
      <c r="H282" s="37" t="s">
        <v>10</v>
      </c>
      <c r="I282" s="39"/>
      <c r="J282" s="39"/>
    </row>
    <row r="283" spans="1:10" ht="15" x14ac:dyDescent="0.35">
      <c r="A283" s="48"/>
      <c r="B283" s="84">
        <v>0</v>
      </c>
      <c r="C283" s="37"/>
      <c r="D283" s="38"/>
      <c r="E283" s="37"/>
      <c r="F283" s="36">
        <f t="shared" si="8"/>
        <v>0</v>
      </c>
      <c r="G283" s="37"/>
      <c r="H283" s="37" t="s">
        <v>10</v>
      </c>
      <c r="I283" s="39"/>
      <c r="J283" s="39"/>
    </row>
    <row r="284" spans="1:10" ht="15" x14ac:dyDescent="0.35">
      <c r="A284" s="48"/>
      <c r="B284" s="84">
        <v>0</v>
      </c>
      <c r="C284" s="37"/>
      <c r="D284" s="38"/>
      <c r="E284" s="37"/>
      <c r="F284" s="36">
        <f t="shared" si="8"/>
        <v>0</v>
      </c>
      <c r="G284" s="37"/>
      <c r="H284" s="37" t="s">
        <v>10</v>
      </c>
      <c r="I284" s="39"/>
      <c r="J284" s="39"/>
    </row>
    <row r="285" spans="1:10" ht="15" x14ac:dyDescent="0.35">
      <c r="A285" s="48"/>
      <c r="B285" s="40"/>
      <c r="C285" s="37"/>
      <c r="D285" s="38"/>
      <c r="E285" s="37"/>
      <c r="F285" s="36"/>
      <c r="G285" s="37"/>
      <c r="H285" s="37"/>
      <c r="I285" s="39"/>
      <c r="J285" s="39"/>
    </row>
    <row r="286" spans="1:10" ht="15" x14ac:dyDescent="0.35">
      <c r="A286" s="55" t="s">
        <v>186</v>
      </c>
      <c r="B286" s="40"/>
      <c r="C286" s="37"/>
      <c r="D286" s="38"/>
      <c r="E286" s="37"/>
      <c r="F286" s="36"/>
      <c r="G286" s="37"/>
      <c r="H286" s="37"/>
      <c r="I286" s="39"/>
      <c r="J286" s="39"/>
    </row>
    <row r="287" spans="1:10" ht="15" x14ac:dyDescent="0.35">
      <c r="A287" s="48"/>
      <c r="B287" s="84">
        <v>0</v>
      </c>
      <c r="C287" s="37"/>
      <c r="D287" s="38"/>
      <c r="E287" s="37">
        <v>14</v>
      </c>
      <c r="F287" s="36">
        <f>PRODUCT(B287:E287)</f>
        <v>0</v>
      </c>
      <c r="G287" s="37"/>
      <c r="H287" s="37" t="s">
        <v>10</v>
      </c>
      <c r="I287" s="39"/>
      <c r="J287" s="39"/>
    </row>
    <row r="288" spans="1:10" ht="15" x14ac:dyDescent="0.35">
      <c r="A288" s="48"/>
      <c r="B288" s="40"/>
      <c r="C288" s="37"/>
      <c r="D288" s="38"/>
      <c r="E288" s="37"/>
      <c r="F288" s="36"/>
      <c r="G288" s="37"/>
      <c r="H288" s="37"/>
      <c r="I288" s="39"/>
      <c r="J288" s="39"/>
    </row>
    <row r="289" spans="1:11" ht="15" x14ac:dyDescent="0.35">
      <c r="A289" s="1101" t="s">
        <v>127</v>
      </c>
      <c r="B289" s="1102"/>
      <c r="C289" s="1102"/>
      <c r="D289" s="1102"/>
      <c r="E289" s="1102"/>
      <c r="F289" s="1103"/>
      <c r="G289" s="27">
        <f>SUM(F290:F292)</f>
        <v>180</v>
      </c>
      <c r="H289" s="28" t="s">
        <v>10</v>
      </c>
      <c r="I289" s="27">
        <f>G289</f>
        <v>180</v>
      </c>
      <c r="J289" s="29">
        <f>ROUND(I289,0)</f>
        <v>180</v>
      </c>
      <c r="K289" t="s">
        <v>131</v>
      </c>
    </row>
    <row r="290" spans="1:11" ht="15" x14ac:dyDescent="0.35">
      <c r="A290" s="35" t="s">
        <v>160</v>
      </c>
      <c r="B290" s="40">
        <v>20</v>
      </c>
      <c r="C290" s="38"/>
      <c r="D290" s="56"/>
      <c r="E290" s="37">
        <v>9</v>
      </c>
      <c r="F290" s="36">
        <f>PRODUCT(B290:E290)</f>
        <v>180</v>
      </c>
      <c r="G290" s="39"/>
      <c r="H290" s="37" t="s">
        <v>10</v>
      </c>
      <c r="I290" s="39"/>
      <c r="J290" s="39"/>
    </row>
    <row r="291" spans="1:11" ht="15" x14ac:dyDescent="0.35">
      <c r="A291" s="35" t="s">
        <v>161</v>
      </c>
      <c r="B291" s="40">
        <v>20</v>
      </c>
      <c r="C291" s="37"/>
      <c r="D291" s="38"/>
      <c r="E291" s="82">
        <v>0</v>
      </c>
      <c r="F291" s="36">
        <f>PRODUCT(B291:E291)</f>
        <v>0</v>
      </c>
      <c r="G291" s="37"/>
      <c r="H291" s="37" t="s">
        <v>10</v>
      </c>
      <c r="I291" s="39"/>
      <c r="J291" s="39"/>
    </row>
    <row r="292" spans="1:11" ht="15" x14ac:dyDescent="0.35">
      <c r="A292" s="35" t="s">
        <v>165</v>
      </c>
      <c r="B292" s="40">
        <v>20</v>
      </c>
      <c r="C292" s="37"/>
      <c r="D292" s="38"/>
      <c r="E292" s="82">
        <v>0</v>
      </c>
      <c r="F292" s="36">
        <f>PRODUCT(B292:E292)</f>
        <v>0</v>
      </c>
      <c r="G292" s="37"/>
      <c r="H292" s="37" t="s">
        <v>10</v>
      </c>
      <c r="I292" s="39"/>
      <c r="J292" s="39"/>
    </row>
    <row r="293" spans="1:11" ht="15" x14ac:dyDescent="0.35">
      <c r="A293" s="48"/>
      <c r="B293" s="40"/>
      <c r="C293" s="37"/>
      <c r="D293" s="38"/>
      <c r="E293" s="37"/>
      <c r="F293" s="36"/>
      <c r="G293" s="37"/>
      <c r="H293" s="37"/>
      <c r="I293" s="39"/>
      <c r="J293" s="39"/>
    </row>
    <row r="294" spans="1:11" ht="15" x14ac:dyDescent="0.35">
      <c r="A294" s="48"/>
      <c r="B294" s="40"/>
      <c r="C294" s="37"/>
      <c r="D294" s="38"/>
      <c r="E294" s="37"/>
      <c r="F294" s="36"/>
      <c r="G294" s="37"/>
      <c r="H294" s="37"/>
      <c r="I294" s="39"/>
      <c r="J294" s="39"/>
    </row>
  </sheetData>
  <mergeCells count="36">
    <mergeCell ref="A22:F22"/>
    <mergeCell ref="A213:F213"/>
    <mergeCell ref="A84:F84"/>
    <mergeCell ref="A1:J1"/>
    <mergeCell ref="A3:J3"/>
    <mergeCell ref="A4:F4"/>
    <mergeCell ref="A20:J20"/>
    <mergeCell ref="A21:F21"/>
    <mergeCell ref="A56:F56"/>
    <mergeCell ref="A60:J60"/>
    <mergeCell ref="A61:F61"/>
    <mergeCell ref="A23:F23"/>
    <mergeCell ref="A33:F33"/>
    <mergeCell ref="A38:F38"/>
    <mergeCell ref="A39:F39"/>
    <mergeCell ref="A40:F40"/>
    <mergeCell ref="A52:F52"/>
    <mergeCell ref="A64:F64"/>
    <mergeCell ref="A70:F70"/>
    <mergeCell ref="A77:F77"/>
    <mergeCell ref="A87:J87"/>
    <mergeCell ref="A192:F192"/>
    <mergeCell ref="A88:F88"/>
    <mergeCell ref="A236:F236"/>
    <mergeCell ref="A289:F289"/>
    <mergeCell ref="A195:F195"/>
    <mergeCell ref="A202:F202"/>
    <mergeCell ref="A207:F207"/>
    <mergeCell ref="A212:J212"/>
    <mergeCell ref="A217:F217"/>
    <mergeCell ref="A226:F226"/>
    <mergeCell ref="A97:F97"/>
    <mergeCell ref="A125:F125"/>
    <mergeCell ref="A156:F156"/>
    <mergeCell ref="A187:F187"/>
    <mergeCell ref="A191:J191"/>
  </mergeCells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5"/>
  <dimension ref="A1:AC224"/>
  <sheetViews>
    <sheetView topLeftCell="A106" zoomScale="80" zoomScaleNormal="80" workbookViewId="0">
      <pane ySplit="4632" topLeftCell="A152"/>
      <selection activeCell="P55" sqref="P55"/>
      <selection pane="bottomLeft" activeCell="P55" sqref="P55"/>
    </sheetView>
  </sheetViews>
  <sheetFormatPr defaultRowHeight="13.2" x14ac:dyDescent="0.25"/>
  <cols>
    <col min="1" max="1" width="25" customWidth="1"/>
    <col min="2" max="2" width="7.33203125" bestFit="1" customWidth="1"/>
    <col min="3" max="3" width="11.109375" bestFit="1" customWidth="1"/>
    <col min="6" max="6" width="11.6640625" customWidth="1"/>
    <col min="8" max="8" width="11.33203125" bestFit="1" customWidth="1"/>
    <col min="10" max="10" width="10.33203125" customWidth="1"/>
    <col min="11" max="11" width="11" customWidth="1"/>
    <col min="12" max="12" width="10.44140625" customWidth="1"/>
    <col min="13" max="13" width="10.88671875" customWidth="1"/>
    <col min="14" max="14" width="10" customWidth="1"/>
    <col min="15" max="15" width="10.109375" customWidth="1"/>
    <col min="21" max="21" width="11.33203125" customWidth="1"/>
    <col min="22" max="22" width="14.44140625" customWidth="1"/>
    <col min="23" max="23" width="10.33203125" customWidth="1"/>
  </cols>
  <sheetData>
    <row r="1" spans="1:29" ht="14.4" x14ac:dyDescent="0.3">
      <c r="O1" s="1121" t="s">
        <v>566</v>
      </c>
      <c r="P1" s="1122"/>
      <c r="Q1" s="1122"/>
      <c r="R1" s="1122"/>
      <c r="S1" s="1122"/>
      <c r="T1" s="1122"/>
      <c r="U1" s="1122"/>
      <c r="V1" s="1123"/>
    </row>
    <row r="2" spans="1:29" ht="14.4" x14ac:dyDescent="0.3">
      <c r="O2" s="1119" t="s">
        <v>568</v>
      </c>
      <c r="P2" s="1124"/>
      <c r="Q2" s="1120"/>
      <c r="R2" s="1119" t="s">
        <v>50</v>
      </c>
      <c r="S2" s="1124"/>
      <c r="T2" s="1120"/>
      <c r="U2" s="1119" t="s">
        <v>528</v>
      </c>
      <c r="V2" s="1120"/>
    </row>
    <row r="3" spans="1:29" ht="19.5" customHeight="1" x14ac:dyDescent="0.3">
      <c r="C3" s="511" t="s">
        <v>38</v>
      </c>
      <c r="D3" s="511" t="s">
        <v>569</v>
      </c>
      <c r="E3" s="511" t="s">
        <v>403</v>
      </c>
      <c r="F3" s="511" t="s">
        <v>570</v>
      </c>
      <c r="G3" s="511" t="s">
        <v>571</v>
      </c>
      <c r="H3" s="511" t="s">
        <v>572</v>
      </c>
      <c r="J3" s="512" t="s">
        <v>573</v>
      </c>
      <c r="K3" s="512" t="s">
        <v>574</v>
      </c>
      <c r="L3" s="512" t="s">
        <v>575</v>
      </c>
      <c r="M3" s="512" t="s">
        <v>576</v>
      </c>
      <c r="N3" s="512" t="s">
        <v>577</v>
      </c>
      <c r="O3" s="1119" t="s">
        <v>578</v>
      </c>
      <c r="P3" s="1120"/>
      <c r="Q3" s="513" t="s">
        <v>38</v>
      </c>
      <c r="R3" s="1119" t="s">
        <v>578</v>
      </c>
      <c r="S3" s="1120"/>
      <c r="T3" s="513" t="s">
        <v>38</v>
      </c>
      <c r="U3" s="513" t="s">
        <v>38</v>
      </c>
      <c r="V3" s="513" t="s">
        <v>89</v>
      </c>
    </row>
    <row r="4" spans="1:29" ht="14.4" x14ac:dyDescent="0.3">
      <c r="A4" t="s">
        <v>588</v>
      </c>
      <c r="B4" t="s">
        <v>587</v>
      </c>
      <c r="C4" s="523">
        <f>127.64*1.1</f>
        <v>140.40400000000002</v>
      </c>
      <c r="D4" s="523">
        <v>0.45</v>
      </c>
      <c r="E4" s="523">
        <v>0.1</v>
      </c>
      <c r="F4" s="523">
        <v>0.45</v>
      </c>
      <c r="G4" s="523">
        <v>0.1</v>
      </c>
      <c r="H4" s="523">
        <v>0.05</v>
      </c>
      <c r="J4" s="514">
        <f>+C4*(D4+(F4/AC4+E4)*2+1)</f>
        <v>287.92822065894927</v>
      </c>
      <c r="K4" s="514">
        <f>+C4*(F4+G4+H4)*0.5*(D4+E4*2+D4+(F4/AC4+E4)*2)</f>
        <v>71.636046197684806</v>
      </c>
      <c r="L4" s="515">
        <f>+C4*(D4+E4*2)*H4</f>
        <v>4.563130000000001</v>
      </c>
      <c r="M4" s="515">
        <f>+C4*(D4+E4*2+F4/Z4*2)*E4</f>
        <v>22.959166403940895</v>
      </c>
      <c r="N4" s="515">
        <f>+C4*(F4/Z4*2)</f>
        <v>138.32906403940891</v>
      </c>
      <c r="O4" s="524">
        <f>+(C4)/0.25+1</f>
        <v>562.6160000000001</v>
      </c>
      <c r="P4" s="518">
        <v>563</v>
      </c>
      <c r="Q4" s="519">
        <f>+D4+E4*2+F4/Z4*2</f>
        <v>1.6352216748768473</v>
      </c>
      <c r="R4" s="525">
        <f>+Q4/0.25+1</f>
        <v>7.5408866995073893</v>
      </c>
      <c r="S4" s="518">
        <v>8</v>
      </c>
      <c r="T4" s="520">
        <f>+C4+C4/6*50*0.01</f>
        <v>152.10433333333336</v>
      </c>
      <c r="U4" s="521">
        <f>+Q4*P4+S4*T4</f>
        <v>2137.4644696223318</v>
      </c>
      <c r="V4" s="515">
        <f>(100/162)*U4</f>
        <v>1319.4225121125503</v>
      </c>
      <c r="W4" t="s">
        <v>580</v>
      </c>
      <c r="Y4" t="s">
        <v>589</v>
      </c>
      <c r="Z4">
        <v>0.91349999999999998</v>
      </c>
      <c r="AB4" t="s">
        <v>590</v>
      </c>
      <c r="AC4">
        <v>2.246</v>
      </c>
    </row>
    <row r="5" spans="1:29" ht="14.4" x14ac:dyDescent="0.3">
      <c r="C5" s="523">
        <f>133.28*1.1</f>
        <v>146.608</v>
      </c>
      <c r="D5" s="523">
        <v>0.45</v>
      </c>
      <c r="E5" s="523">
        <v>0.1</v>
      </c>
      <c r="F5" s="523">
        <v>0.45</v>
      </c>
      <c r="G5" s="523">
        <v>0.1</v>
      </c>
      <c r="H5" s="523">
        <v>0.05</v>
      </c>
      <c r="J5" s="514">
        <f>+C5*(D5+(F5/AC5+E5)*2+1)</f>
        <v>300.65084024933213</v>
      </c>
      <c r="K5" s="514">
        <f>+C5*(F5+G5+H5)*0.5*(D5+E5*2+D5+(F5/AC5+E5)*2)</f>
        <v>74.801412074799657</v>
      </c>
      <c r="L5" s="515">
        <f>+C5*(D5+E5*2)*H5</f>
        <v>4.7647600000000008</v>
      </c>
      <c r="M5" s="515">
        <f>+C5*(D5+E5*2+F5/Z5*2)*E5</f>
        <v>23.973657931034484</v>
      </c>
      <c r="N5" s="515">
        <f>+C5*(F5/Z5*2)</f>
        <v>144.44137931034484</v>
      </c>
      <c r="O5" s="524">
        <f>+(C5)/0.25+1</f>
        <v>587.43200000000002</v>
      </c>
      <c r="P5" s="518">
        <v>588</v>
      </c>
      <c r="Q5" s="519">
        <f>+D5+E5*2+F5/Z5*2</f>
        <v>1.6352216748768473</v>
      </c>
      <c r="R5" s="525">
        <f>+Q5/0.25+1</f>
        <v>7.5408866995073893</v>
      </c>
      <c r="S5" s="518">
        <v>8</v>
      </c>
      <c r="T5" s="520">
        <f>+C5+C5/6*50*0.01</f>
        <v>158.82533333333333</v>
      </c>
      <c r="U5" s="521">
        <f>+Q5*P5+S5*T5</f>
        <v>2232.113011494253</v>
      </c>
      <c r="V5" s="515">
        <f>(100/162)*U5</f>
        <v>1377.8475379594154</v>
      </c>
      <c r="W5" t="s">
        <v>580</v>
      </c>
      <c r="Y5" t="s">
        <v>589</v>
      </c>
      <c r="Z5">
        <v>0.91349999999999998</v>
      </c>
      <c r="AB5" t="s">
        <v>590</v>
      </c>
      <c r="AC5">
        <v>2.246</v>
      </c>
    </row>
    <row r="6" spans="1:29" ht="14.4" x14ac:dyDescent="0.3">
      <c r="C6" s="523">
        <f>126.55*1.1</f>
        <v>139.20500000000001</v>
      </c>
      <c r="D6" s="523">
        <v>0.45</v>
      </c>
      <c r="E6" s="523">
        <v>0.1</v>
      </c>
      <c r="F6" s="523">
        <v>0.45</v>
      </c>
      <c r="G6" s="523">
        <v>0.1</v>
      </c>
      <c r="H6" s="523">
        <v>0.05</v>
      </c>
      <c r="J6" s="514">
        <f>+C6*(D6+(F6/AC6+E6)*2+1)</f>
        <v>285.46941651825466</v>
      </c>
      <c r="K6" s="514">
        <f>+C6*(F6+G6+H6)*0.5*(D6+E6*2+D6+(F6/AC6+E6)*2)</f>
        <v>71.024299955476422</v>
      </c>
      <c r="L6" s="515">
        <f>+C6*(D6+E6*2)*H6</f>
        <v>4.524162500000001</v>
      </c>
      <c r="M6" s="515">
        <f>+C6*(D6+E6*2+F6/Z6*2)*E6</f>
        <v>22.763103325123154</v>
      </c>
      <c r="N6" s="515">
        <f>+C6*(F6/Z6*2)</f>
        <v>137.14778325123154</v>
      </c>
      <c r="O6" s="524">
        <f>+(C6)/0.25+1</f>
        <v>557.82000000000005</v>
      </c>
      <c r="P6" s="518">
        <v>558</v>
      </c>
      <c r="Q6" s="519">
        <f>+D6+E6*2+F6/Z6*2</f>
        <v>1.6352216748768473</v>
      </c>
      <c r="R6" s="525">
        <f>+Q6/0.25+1</f>
        <v>7.5408866995073893</v>
      </c>
      <c r="S6" s="518">
        <v>8</v>
      </c>
      <c r="T6" s="520">
        <f>+C6+C6/6*50*0.01</f>
        <v>150.80541666666667</v>
      </c>
      <c r="U6" s="521">
        <f>+Q6*P6+S6*T6</f>
        <v>2118.8970279146142</v>
      </c>
      <c r="V6" s="515">
        <f>(100/162)*U6</f>
        <v>1307.9611283423544</v>
      </c>
      <c r="W6" t="s">
        <v>580</v>
      </c>
      <c r="Y6" t="s">
        <v>589</v>
      </c>
      <c r="Z6">
        <v>0.91349999999999998</v>
      </c>
      <c r="AB6" t="s">
        <v>590</v>
      </c>
      <c r="AC6">
        <v>2.246</v>
      </c>
    </row>
    <row r="7" spans="1:29" ht="14.4" x14ac:dyDescent="0.3">
      <c r="C7" s="523">
        <f>123.01*1.1</f>
        <v>135.31100000000001</v>
      </c>
      <c r="D7" s="523">
        <v>0.45</v>
      </c>
      <c r="E7" s="523">
        <v>0.1</v>
      </c>
      <c r="F7" s="523">
        <v>0.45</v>
      </c>
      <c r="G7" s="523">
        <v>0.1</v>
      </c>
      <c r="H7" s="523">
        <v>0.05</v>
      </c>
      <c r="J7" s="514">
        <f>+C7*(D7+(F7/AC7+E7)*2+1)</f>
        <v>277.48394252003561</v>
      </c>
      <c r="K7" s="514">
        <f>+C7*(F7+G7+H7)*0.5*(D7+E7*2+D7+(F7/AC7+E7)*2)</f>
        <v>69.037527756010704</v>
      </c>
      <c r="L7" s="515">
        <f>+C7*(D7+E7*2)*H7</f>
        <v>4.3976075000000003</v>
      </c>
      <c r="M7" s="515">
        <f>+C7*(D7+E7*2+F7/Z7*2)*E7</f>
        <v>22.126348004926111</v>
      </c>
      <c r="N7" s="515">
        <f>+C7*(F7/Z7*2)</f>
        <v>133.3113300492611</v>
      </c>
      <c r="O7" s="524">
        <f>+(C7)/0.25+1</f>
        <v>542.24400000000003</v>
      </c>
      <c r="P7" s="518">
        <v>543</v>
      </c>
      <c r="Q7" s="519">
        <f>+D7+E7*2+F7/Z7*2</f>
        <v>1.6352216748768473</v>
      </c>
      <c r="R7" s="525">
        <f>+Q7/0.25+1</f>
        <v>7.5408866995073893</v>
      </c>
      <c r="S7" s="518">
        <v>8</v>
      </c>
      <c r="T7" s="520">
        <f>+C7+C7/6*50*0.01</f>
        <v>146.58691666666667</v>
      </c>
      <c r="U7" s="521">
        <f>+Q7*P7+S7*T7</f>
        <v>2060.6207027914616</v>
      </c>
      <c r="V7" s="515">
        <f>(100/162)*U7</f>
        <v>1271.9880881428774</v>
      </c>
      <c r="W7" t="s">
        <v>580</v>
      </c>
      <c r="Y7" t="s">
        <v>589</v>
      </c>
      <c r="Z7">
        <v>0.91349999999999998</v>
      </c>
      <c r="AB7" t="s">
        <v>590</v>
      </c>
      <c r="AC7">
        <v>2.246</v>
      </c>
    </row>
    <row r="9" spans="1:29" x14ac:dyDescent="0.25">
      <c r="A9" t="s">
        <v>620</v>
      </c>
      <c r="C9" s="90">
        <f>SUM(C4:C7)</f>
        <v>561.52800000000013</v>
      </c>
      <c r="D9" s="523">
        <v>1.5</v>
      </c>
      <c r="E9" s="523"/>
      <c r="F9" s="523">
        <v>0.1</v>
      </c>
      <c r="J9" s="514">
        <f>+C9*(D9+0.5)</f>
        <v>1123.0560000000003</v>
      </c>
      <c r="K9" s="514">
        <f>+C9*D9*F9</f>
        <v>84.22920000000002</v>
      </c>
      <c r="L9" s="515"/>
      <c r="M9" s="515">
        <f>+C9*D9*F9</f>
        <v>84.22920000000002</v>
      </c>
      <c r="N9" s="515">
        <f>+C9*F9</f>
        <v>56.152800000000013</v>
      </c>
    </row>
    <row r="12" spans="1:29" x14ac:dyDescent="0.25">
      <c r="I12" s="512" t="s">
        <v>591</v>
      </c>
      <c r="K12" s="4"/>
    </row>
    <row r="13" spans="1:29" ht="14.4" x14ac:dyDescent="0.3">
      <c r="A13" t="s">
        <v>592</v>
      </c>
      <c r="B13" t="s">
        <v>654</v>
      </c>
      <c r="C13" s="526">
        <f>+(12.828+6.651+15.622)*1.1/Z13</f>
        <v>40.178043704474504</v>
      </c>
      <c r="D13" s="527">
        <v>0.6</v>
      </c>
      <c r="E13" s="527">
        <v>0.1</v>
      </c>
      <c r="F13" s="527">
        <v>0.6</v>
      </c>
      <c r="G13" s="527">
        <v>0.1</v>
      </c>
      <c r="H13" s="527">
        <v>0.05</v>
      </c>
      <c r="I13" s="528">
        <v>40</v>
      </c>
      <c r="J13" s="514">
        <f>+C13*(D13+E13*2+1.5)</f>
        <v>92.409500520291346</v>
      </c>
      <c r="K13" s="514">
        <f>+C13*(D13+E13*2)*(F13+G13+H13)</f>
        <v>24.106826222684703</v>
      </c>
      <c r="L13" s="515">
        <f>+(D13+E13*2)*C13*H13</f>
        <v>1.6071217481789803</v>
      </c>
      <c r="M13" s="516">
        <f>+C13*((D13+E13*2)*G13+(F13*E13*2))</f>
        <v>8.0356087408949008</v>
      </c>
      <c r="N13" s="515">
        <f>+(F13+(F13+G13))*C13*2</f>
        <v>104.4629136316337</v>
      </c>
      <c r="O13" s="529">
        <f>+(C13)/0.25+1</f>
        <v>161.71217481789802</v>
      </c>
      <c r="P13" s="530">
        <v>162</v>
      </c>
      <c r="Q13" s="519">
        <f>+(F13+G13-0.08)*2+(D13+E13*2-0.08)</f>
        <v>1.96</v>
      </c>
      <c r="R13" s="529">
        <f>+Q13/0.25+1</f>
        <v>8.84</v>
      </c>
      <c r="S13" s="518">
        <v>9</v>
      </c>
      <c r="T13" s="520">
        <f>+C13+C13/6*50*0.01</f>
        <v>43.526214013180713</v>
      </c>
      <c r="U13" s="521">
        <f>+Q13*P13+S13*T13</f>
        <v>709.25592611862635</v>
      </c>
      <c r="V13" s="515">
        <f>(100/162)*U13</f>
        <v>437.81230007322614</v>
      </c>
      <c r="W13" t="s">
        <v>580</v>
      </c>
      <c r="Y13" t="s">
        <v>595</v>
      </c>
      <c r="Z13">
        <v>0.96099999999999997</v>
      </c>
    </row>
    <row r="14" spans="1:29" x14ac:dyDescent="0.25">
      <c r="B14" t="s">
        <v>593</v>
      </c>
      <c r="C14">
        <f>+C13/0.389</f>
        <v>103.28545939453599</v>
      </c>
      <c r="D14">
        <v>104</v>
      </c>
      <c r="E14">
        <v>0.27500000000000002</v>
      </c>
      <c r="F14">
        <v>0.27500000000000002</v>
      </c>
      <c r="G14" s="527">
        <f>+D13</f>
        <v>0.6</v>
      </c>
      <c r="I14" s="531"/>
      <c r="K14" s="4"/>
      <c r="M14" s="516">
        <f>+D14*E14*F14*G14</f>
        <v>4.7190000000000003</v>
      </c>
      <c r="N14" s="515">
        <f>+D14*E14*G14</f>
        <v>17.16</v>
      </c>
    </row>
    <row r="15" spans="1:29" ht="14.4" x14ac:dyDescent="0.3">
      <c r="C15" s="526">
        <f>+(10.455+5.59+19.316)*1.1/Z15</f>
        <v>40.475650364203965</v>
      </c>
      <c r="D15" s="527">
        <v>0.6</v>
      </c>
      <c r="E15" s="527">
        <v>0.1</v>
      </c>
      <c r="F15" s="527">
        <v>0.6</v>
      </c>
      <c r="G15" s="527">
        <v>0.1</v>
      </c>
      <c r="H15" s="527">
        <v>0.05</v>
      </c>
      <c r="I15" s="528">
        <v>40</v>
      </c>
      <c r="J15" s="514">
        <f>+C15*(D15+E15*2+1.5)</f>
        <v>93.093995837669112</v>
      </c>
      <c r="K15" s="514">
        <f>+C15*(D15+E15*2)*(F15+G15+H15)</f>
        <v>24.28539021852238</v>
      </c>
      <c r="L15" s="515">
        <f>+(D15+E15*2)*C15*H15</f>
        <v>1.619026014568159</v>
      </c>
      <c r="M15" s="516">
        <f>+C15*((D15+E15*2)*G15+(F15*E15*2))</f>
        <v>8.095130072840794</v>
      </c>
      <c r="N15" s="515">
        <f>+(F15+(F15+G15))*C15*2</f>
        <v>105.2366909469303</v>
      </c>
      <c r="O15" s="529">
        <f>+(C15)/0.25+1</f>
        <v>162.90260145681586</v>
      </c>
      <c r="P15" s="530">
        <v>163</v>
      </c>
      <c r="Q15" s="519">
        <f>+(F15+G15-0.08)*2+(D15+E15*2-0.08)</f>
        <v>1.96</v>
      </c>
      <c r="R15" s="529">
        <f>+Q15/0.25+1</f>
        <v>8.84</v>
      </c>
      <c r="S15" s="518">
        <v>9</v>
      </c>
      <c r="T15" s="520">
        <f>+C15+C15/6*50*0.01</f>
        <v>43.848621227887627</v>
      </c>
      <c r="U15" s="521">
        <f>+Q15*P15+S15*T15</f>
        <v>714.11759105098872</v>
      </c>
      <c r="V15" s="515">
        <f>(100/162)*U15</f>
        <v>440.81332780925226</v>
      </c>
      <c r="W15" t="s">
        <v>580</v>
      </c>
      <c r="Y15" t="s">
        <v>595</v>
      </c>
      <c r="Z15">
        <v>0.96099999999999997</v>
      </c>
    </row>
    <row r="16" spans="1:29" x14ac:dyDescent="0.25">
      <c r="C16">
        <f>+C15/0.389</f>
        <v>104.05051507507446</v>
      </c>
      <c r="D16">
        <v>105</v>
      </c>
      <c r="E16">
        <v>0.27500000000000002</v>
      </c>
      <c r="F16">
        <v>0.27500000000000002</v>
      </c>
      <c r="G16" s="527">
        <f>+D15</f>
        <v>0.6</v>
      </c>
      <c r="I16" s="531"/>
      <c r="K16" s="4"/>
      <c r="M16" s="516">
        <f>+D16*E16*F16*G16</f>
        <v>4.7643750000000011</v>
      </c>
      <c r="N16" s="515">
        <f>+D16*E16*G16</f>
        <v>17.325000000000003</v>
      </c>
    </row>
    <row r="17" spans="2:26" ht="14.4" x14ac:dyDescent="0.3">
      <c r="C17" s="526">
        <f>+(12.914+9.839+15.609)*1.1/Z17</f>
        <v>43.910718002081175</v>
      </c>
      <c r="D17" s="527">
        <v>0.6</v>
      </c>
      <c r="E17" s="527">
        <v>0.1</v>
      </c>
      <c r="F17" s="527">
        <v>0.6</v>
      </c>
      <c r="G17" s="527">
        <v>0.1</v>
      </c>
      <c r="H17" s="527">
        <v>0.05</v>
      </c>
      <c r="I17" s="528">
        <v>43</v>
      </c>
      <c r="J17" s="514">
        <f>+C17*(D17+E17*2+1.5)</f>
        <v>100.99465140478669</v>
      </c>
      <c r="K17" s="514">
        <f>+C17*(D17+E17*2)*(F17+G17+H17)</f>
        <v>26.346430801248708</v>
      </c>
      <c r="L17" s="515">
        <f>+(D17+E17*2)*C17*H17</f>
        <v>1.7564287200832471</v>
      </c>
      <c r="M17" s="516">
        <f>+C17*((D17+E17*2)*G17+(F17*E17*2))</f>
        <v>8.7821436004162354</v>
      </c>
      <c r="N17" s="515">
        <f>+(F17+(F17+G17))*C17*2</f>
        <v>114.16786680541104</v>
      </c>
      <c r="O17" s="529">
        <f>+(C17)/0.25+1</f>
        <v>176.6428720083247</v>
      </c>
      <c r="P17" s="530">
        <v>177</v>
      </c>
      <c r="Q17" s="519">
        <f>+(F17+G17-0.08)*2+(D17+E17*2-0.08)</f>
        <v>1.96</v>
      </c>
      <c r="R17" s="529">
        <f>+Q17/0.25+1</f>
        <v>8.84</v>
      </c>
      <c r="S17" s="518">
        <v>9</v>
      </c>
      <c r="T17" s="520">
        <f>+C17+C17/6*50*0.01</f>
        <v>47.569944502254607</v>
      </c>
      <c r="U17" s="521">
        <f>+Q17*P17+S17*T17</f>
        <v>775.04950052029153</v>
      </c>
      <c r="V17" s="515">
        <f>(100/162)*U17</f>
        <v>478.42561760511819</v>
      </c>
      <c r="W17" t="s">
        <v>580</v>
      </c>
      <c r="Y17" t="s">
        <v>595</v>
      </c>
      <c r="Z17">
        <v>0.96099999999999997</v>
      </c>
    </row>
    <row r="18" spans="2:26" x14ac:dyDescent="0.25">
      <c r="C18">
        <f>+C17/0.389</f>
        <v>112.88102314159684</v>
      </c>
      <c r="D18">
        <v>113</v>
      </c>
      <c r="E18">
        <v>0.27500000000000002</v>
      </c>
      <c r="F18">
        <v>0.27500000000000002</v>
      </c>
      <c r="G18" s="527">
        <f>+D17</f>
        <v>0.6</v>
      </c>
      <c r="I18" s="531"/>
      <c r="K18" s="4"/>
      <c r="M18" s="516">
        <f>+D18*E18*F18*G18</f>
        <v>5.1273750000000007</v>
      </c>
      <c r="N18" s="515">
        <f>+D18*E18*G18</f>
        <v>18.645</v>
      </c>
    </row>
    <row r="19" spans="2:26" ht="14.4" x14ac:dyDescent="0.3">
      <c r="C19" s="526">
        <f>+(20.6+7.34+12.97)*1.15</f>
        <v>47.046500000000002</v>
      </c>
      <c r="D19" s="527">
        <v>0.6</v>
      </c>
      <c r="E19" s="527">
        <v>0.1</v>
      </c>
      <c r="F19" s="527">
        <v>0.6</v>
      </c>
      <c r="G19" s="527">
        <v>0.1</v>
      </c>
      <c r="H19" s="527">
        <v>0.05</v>
      </c>
      <c r="I19" s="528">
        <v>48</v>
      </c>
      <c r="J19" s="514">
        <f>+C19*(D19+E19*2+1.5)</f>
        <v>108.20694999999999</v>
      </c>
      <c r="K19" s="514">
        <f>+C19*(D19+E19*2)*(F19+G19+H19)</f>
        <v>28.227899999999998</v>
      </c>
      <c r="L19" s="515">
        <f>+(D19+E19*2)*C19*H19</f>
        <v>1.8818600000000001</v>
      </c>
      <c r="M19" s="516">
        <f>+C19*((D19+E19*2)*G19+(F19*E19*2))</f>
        <v>9.4093</v>
      </c>
      <c r="N19" s="515">
        <f>+(F19+(F19+G19))*C19*2</f>
        <v>122.32089999999999</v>
      </c>
      <c r="O19" s="529">
        <f t="shared" ref="O19:O27" si="0">+(C19)/0.25+1</f>
        <v>189.18600000000001</v>
      </c>
      <c r="P19" s="530">
        <v>190</v>
      </c>
      <c r="Q19" s="519">
        <f>+(F19+G19-0.08)*2+(D19+E19*2-0.08)</f>
        <v>1.96</v>
      </c>
      <c r="R19" s="529">
        <f>+Q19/0.25+1</f>
        <v>8.84</v>
      </c>
      <c r="S19" s="518">
        <v>9</v>
      </c>
      <c r="T19" s="520">
        <f>+C19+C19/6*50*0.01</f>
        <v>50.967041666666667</v>
      </c>
      <c r="U19" s="521">
        <f>+Q19*P19+S19*T19</f>
        <v>831.10337499999991</v>
      </c>
      <c r="V19" s="515">
        <f>(100/162)*U19</f>
        <v>513.0267746913579</v>
      </c>
      <c r="W19" t="s">
        <v>580</v>
      </c>
    </row>
    <row r="20" spans="2:26" x14ac:dyDescent="0.25">
      <c r="C20">
        <f>+C19/0.389</f>
        <v>120.94215938303341</v>
      </c>
      <c r="D20">
        <v>121</v>
      </c>
      <c r="E20">
        <v>0.27500000000000002</v>
      </c>
      <c r="F20">
        <v>0.27500000000000002</v>
      </c>
      <c r="G20" s="527">
        <f>+D19</f>
        <v>0.6</v>
      </c>
      <c r="I20" s="531"/>
      <c r="K20" s="4"/>
      <c r="M20" s="516">
        <f>+D20*E20*F20*G20</f>
        <v>5.4903750000000011</v>
      </c>
      <c r="N20" s="515">
        <f>+D20*E20*G20</f>
        <v>19.965000000000003</v>
      </c>
    </row>
    <row r="21" spans="2:26" ht="14.4" x14ac:dyDescent="0.3">
      <c r="C21" s="526">
        <f>+(9.28+6.04)*1.1/Z21</f>
        <v>18.594284453271545</v>
      </c>
      <c r="D21" s="527">
        <v>0.6</v>
      </c>
      <c r="E21" s="527">
        <v>0.1</v>
      </c>
      <c r="F21" s="527">
        <v>0.6</v>
      </c>
      <c r="G21" s="527">
        <v>0.1</v>
      </c>
      <c r="H21" s="527">
        <v>0.05</v>
      </c>
      <c r="I21" s="528">
        <v>18</v>
      </c>
      <c r="J21" s="514">
        <f>+C21*(D21+E21*2+1.5)</f>
        <v>42.766854242524552</v>
      </c>
      <c r="K21" s="514">
        <f>+C21*(D21+E21*2)*(F21+G21+H21)</f>
        <v>11.156570671962928</v>
      </c>
      <c r="L21" s="515">
        <f>+(D21+E21*2)*C21*H21</f>
        <v>0.74377137813086192</v>
      </c>
      <c r="M21" s="516">
        <f>+C21*((D21+E21*2)*G21+(F21*E21*2))</f>
        <v>3.7188568906543091</v>
      </c>
      <c r="N21" s="515">
        <f>+(F21+(F21+G21))*C21*2</f>
        <v>48.345139578506007</v>
      </c>
      <c r="O21" s="529">
        <f t="shared" si="0"/>
        <v>75.377137813086179</v>
      </c>
      <c r="P21" s="530">
        <v>76</v>
      </c>
      <c r="Q21" s="519">
        <f>+(F21+G21-0.08)*2+(D21+E21*2-0.08)</f>
        <v>1.96</v>
      </c>
      <c r="R21" s="529">
        <f>+Q21/0.25+1</f>
        <v>8.84</v>
      </c>
      <c r="S21" s="518">
        <v>9</v>
      </c>
      <c r="T21" s="520">
        <f>+C21+C21/6*50*0.01</f>
        <v>20.14380815771084</v>
      </c>
      <c r="U21" s="521">
        <f>+Q21*P21+S21*T21</f>
        <v>330.25427341939758</v>
      </c>
      <c r="V21" s="515">
        <f>(100/162)*U21</f>
        <v>203.86066260456639</v>
      </c>
      <c r="W21" t="s">
        <v>580</v>
      </c>
      <c r="Y21" t="s">
        <v>651</v>
      </c>
      <c r="Z21">
        <v>0.90629999999999999</v>
      </c>
    </row>
    <row r="22" spans="2:26" x14ac:dyDescent="0.25">
      <c r="C22">
        <f>+C21/0.389</f>
        <v>47.800217103525817</v>
      </c>
      <c r="D22">
        <v>48</v>
      </c>
      <c r="E22">
        <v>0.27500000000000002</v>
      </c>
      <c r="F22">
        <v>0.27500000000000002</v>
      </c>
      <c r="G22" s="527">
        <f>+D21</f>
        <v>0.6</v>
      </c>
      <c r="I22" s="531"/>
      <c r="K22" s="4"/>
      <c r="M22" s="516">
        <f>+D22*E22*F22*G22</f>
        <v>2.1780000000000004</v>
      </c>
      <c r="N22" s="515">
        <f>+D22*E22*G22</f>
        <v>7.92</v>
      </c>
    </row>
    <row r="23" spans="2:26" ht="14.4" x14ac:dyDescent="0.3">
      <c r="C23" s="526">
        <f>+(9.85)*1.1/Z23</f>
        <v>21.67</v>
      </c>
      <c r="D23" s="527">
        <v>0.6</v>
      </c>
      <c r="E23" s="527">
        <v>0.1</v>
      </c>
      <c r="F23" s="527">
        <v>0.6</v>
      </c>
      <c r="G23" s="527">
        <v>0.1</v>
      </c>
      <c r="H23" s="527">
        <v>0.05</v>
      </c>
      <c r="I23" s="528">
        <v>21</v>
      </c>
      <c r="J23" s="514">
        <f>+C23*(D23+E23*2+1.5)</f>
        <v>49.841000000000001</v>
      </c>
      <c r="K23" s="514">
        <f>+C23*(D23+E23*2)*(F23+G23+H23)</f>
        <v>13.002000000000002</v>
      </c>
      <c r="L23" s="515">
        <f>+(D23+E23*2)*C23*H23</f>
        <v>0.86680000000000013</v>
      </c>
      <c r="M23" s="516">
        <f>+C23*((D23+E23*2)*G23+(F23*E23*2))</f>
        <v>4.3340000000000005</v>
      </c>
      <c r="N23" s="515">
        <f>+(F23+(F23+G23))*C23*2</f>
        <v>56.341999999999999</v>
      </c>
      <c r="O23" s="529">
        <f t="shared" si="0"/>
        <v>87.68</v>
      </c>
      <c r="P23" s="530">
        <v>88</v>
      </c>
      <c r="Q23" s="519">
        <f>+(F23+G23-0.08)*2+(D23+E23*2-0.08)</f>
        <v>1.96</v>
      </c>
      <c r="R23" s="529">
        <f>+Q23/0.25+1</f>
        <v>8.84</v>
      </c>
      <c r="S23" s="518">
        <v>9</v>
      </c>
      <c r="T23" s="520">
        <f>+C23+C23/6*50*0.01</f>
        <v>23.475833333333334</v>
      </c>
      <c r="U23" s="521">
        <f>+Q23*P23+S23*T23</f>
        <v>383.76249999999999</v>
      </c>
      <c r="V23" s="515">
        <f>(100/162)*U23</f>
        <v>236.89043209876542</v>
      </c>
      <c r="W23" t="s">
        <v>580</v>
      </c>
      <c r="Y23" t="s">
        <v>637</v>
      </c>
      <c r="Z23">
        <v>0.5</v>
      </c>
    </row>
    <row r="24" spans="2:26" x14ac:dyDescent="0.25">
      <c r="C24">
        <f>+C23/0.389</f>
        <v>55.706940874035993</v>
      </c>
      <c r="D24">
        <v>56</v>
      </c>
      <c r="E24">
        <v>0.27500000000000002</v>
      </c>
      <c r="F24">
        <v>0.27500000000000002</v>
      </c>
      <c r="G24" s="527">
        <f>+D23</f>
        <v>0.6</v>
      </c>
      <c r="I24" s="531"/>
      <c r="K24" s="4"/>
      <c r="M24" s="516">
        <f>+D24*E24*F24*G24</f>
        <v>2.5410000000000008</v>
      </c>
      <c r="N24" s="515">
        <f>+D24*E24*G24</f>
        <v>9.24</v>
      </c>
    </row>
    <row r="25" spans="2:26" ht="14.4" x14ac:dyDescent="0.3">
      <c r="C25" s="526">
        <f>+(16.803+13.837)*1.1/Z25</f>
        <v>42.203856749311299</v>
      </c>
      <c r="D25" s="527">
        <v>0.6</v>
      </c>
      <c r="E25" s="527">
        <v>0.1</v>
      </c>
      <c r="F25" s="527">
        <v>0.6</v>
      </c>
      <c r="G25" s="527">
        <v>0.1</v>
      </c>
      <c r="H25" s="527">
        <v>0.05</v>
      </c>
      <c r="I25" s="528">
        <v>42</v>
      </c>
      <c r="J25" s="514">
        <f>+C25*(D25+E25*2+1.5)</f>
        <v>97.068870523415981</v>
      </c>
      <c r="K25" s="514">
        <f>+C25*(D25+E25*2)*(F25+G25+H25)</f>
        <v>25.32231404958678</v>
      </c>
      <c r="L25" s="515">
        <f>+(D25+E25*2)*C25*H25</f>
        <v>1.6881542699724521</v>
      </c>
      <c r="M25" s="516">
        <f>+C25*((D25+E25*2)*G25+(F25*E25*2))</f>
        <v>8.4407713498622599</v>
      </c>
      <c r="N25" s="515">
        <f>+(F25+(F25+G25))*C25*2</f>
        <v>109.73002754820936</v>
      </c>
      <c r="O25" s="529">
        <f t="shared" si="0"/>
        <v>169.8154269972452</v>
      </c>
      <c r="P25" s="530">
        <v>170</v>
      </c>
      <c r="Q25" s="519">
        <f>+(F25+G25-0.08)*2+(D25+E25*2-0.08)</f>
        <v>1.96</v>
      </c>
      <c r="R25" s="529">
        <f>+Q25/0.25+1</f>
        <v>8.84</v>
      </c>
      <c r="S25" s="518">
        <v>9</v>
      </c>
      <c r="T25" s="520">
        <f>+C25+C25/6*50*0.01</f>
        <v>45.720844811753906</v>
      </c>
      <c r="U25" s="521">
        <f>+Q25*P25+S25*T25</f>
        <v>744.68760330578516</v>
      </c>
      <c r="V25" s="515">
        <f>(100/162)*U25</f>
        <v>459.68370574431179</v>
      </c>
      <c r="W25" t="s">
        <v>580</v>
      </c>
      <c r="Y25" t="s">
        <v>652</v>
      </c>
      <c r="Z25">
        <v>0.79859999999999998</v>
      </c>
    </row>
    <row r="26" spans="2:26" x14ac:dyDescent="0.25">
      <c r="C26">
        <f>+C25/0.389</f>
        <v>108.49320501108303</v>
      </c>
      <c r="D26">
        <v>108</v>
      </c>
      <c r="E26">
        <v>0.27500000000000002</v>
      </c>
      <c r="F26">
        <v>0.27500000000000002</v>
      </c>
      <c r="G26" s="527">
        <f>+D25</f>
        <v>0.6</v>
      </c>
      <c r="I26" s="531"/>
      <c r="K26" s="4"/>
      <c r="M26" s="516">
        <f>+D26*E26*F26*G26</f>
        <v>4.900500000000001</v>
      </c>
      <c r="N26" s="515">
        <f>+D26*E26*G26</f>
        <v>17.82</v>
      </c>
    </row>
    <row r="27" spans="2:26" ht="14.4" x14ac:dyDescent="0.3">
      <c r="C27" s="526">
        <f>+(2.088+7.547)*1.1/Z27</f>
        <v>12.238452655889148</v>
      </c>
      <c r="D27" s="527">
        <v>0.6</v>
      </c>
      <c r="E27" s="527">
        <v>0.1</v>
      </c>
      <c r="F27" s="527">
        <v>0.6</v>
      </c>
      <c r="G27" s="527">
        <v>0.1</v>
      </c>
      <c r="H27" s="527">
        <v>0.05</v>
      </c>
      <c r="I27" s="528">
        <v>12</v>
      </c>
      <c r="J27" s="514">
        <f>+C27*(D27+E27*2+1.5)</f>
        <v>28.14844110854504</v>
      </c>
      <c r="K27" s="514">
        <f>+C27*(D27+E27*2)*(F27+G27+H27)</f>
        <v>7.3430715935334891</v>
      </c>
      <c r="L27" s="515">
        <f>+(D27+E27*2)*C27*H27</f>
        <v>0.48953810623556598</v>
      </c>
      <c r="M27" s="516">
        <f>+C27*((D27+E27*2)*G27+(F27*E27*2))</f>
        <v>2.4476905311778299</v>
      </c>
      <c r="N27" s="515">
        <f>+(F27+(F27+G27))*C27*2</f>
        <v>31.81997690531178</v>
      </c>
      <c r="O27" s="529">
        <f t="shared" si="0"/>
        <v>49.953810623556592</v>
      </c>
      <c r="P27" s="530">
        <v>50</v>
      </c>
      <c r="Q27" s="519">
        <f>+(F27+G27-0.08)*2+(D27+E27*2-0.08)</f>
        <v>1.96</v>
      </c>
      <c r="R27" s="529">
        <f>+Q27/0.25+1</f>
        <v>8.84</v>
      </c>
      <c r="S27" s="518">
        <v>9</v>
      </c>
      <c r="T27" s="520">
        <f>+C27+C27/6*50*0.01</f>
        <v>13.258323710546577</v>
      </c>
      <c r="U27" s="521">
        <f>+Q27*P27+S27*T27</f>
        <v>217.32491339491918</v>
      </c>
      <c r="V27" s="515">
        <f>(100/162)*U27</f>
        <v>134.15118110797479</v>
      </c>
      <c r="W27" t="s">
        <v>580</v>
      </c>
      <c r="Y27" t="s">
        <v>653</v>
      </c>
      <c r="Z27">
        <v>0.86599999999999999</v>
      </c>
    </row>
    <row r="28" spans="2:26" x14ac:dyDescent="0.25">
      <c r="C28">
        <f>+C27/0.389</f>
        <v>31.461317881463103</v>
      </c>
      <c r="D28">
        <v>31</v>
      </c>
      <c r="E28">
        <v>0.27500000000000002</v>
      </c>
      <c r="F28">
        <v>0.27500000000000002</v>
      </c>
      <c r="G28" s="527">
        <f>+D27</f>
        <v>0.6</v>
      </c>
      <c r="I28" s="531"/>
      <c r="K28" s="4"/>
      <c r="M28" s="516">
        <f>+D28*E28*F28*G28</f>
        <v>1.4066250000000002</v>
      </c>
      <c r="N28" s="515">
        <f>+D28*E28*G28</f>
        <v>5.1150000000000002</v>
      </c>
    </row>
    <row r="30" spans="2:26" ht="14.4" x14ac:dyDescent="0.3">
      <c r="B30" t="s">
        <v>594</v>
      </c>
      <c r="C30" s="526">
        <f>17.676*1.1/Z30</f>
        <v>38.8872</v>
      </c>
      <c r="D30" s="527">
        <v>0.8</v>
      </c>
      <c r="E30" s="527">
        <v>0.125</v>
      </c>
      <c r="F30" s="527">
        <v>0.8</v>
      </c>
      <c r="G30" s="527">
        <v>0.1</v>
      </c>
      <c r="H30" s="527">
        <v>0.05</v>
      </c>
      <c r="I30" s="528">
        <v>38</v>
      </c>
      <c r="J30" s="514">
        <f>+C30*(D30+E30*2+1.5)</f>
        <v>99.162359999999993</v>
      </c>
      <c r="K30" s="514">
        <f>+C30*(D30+E30*2)*(F30+G30+H30)</f>
        <v>38.789982000000009</v>
      </c>
      <c r="L30" s="515">
        <f>+(D30+E30*2)*C30*H30</f>
        <v>2.0415780000000003</v>
      </c>
      <c r="M30" s="516">
        <f>+C30*((D30+E30*2)*G30+(F30*E30*2))</f>
        <v>11.860596000000001</v>
      </c>
      <c r="N30" s="515">
        <f>+(F30+(F30+G30))*C30*2</f>
        <v>132.21648000000002</v>
      </c>
      <c r="O30" s="529">
        <f>+(C30)/0.25+1</f>
        <v>156.5488</v>
      </c>
      <c r="P30" s="530">
        <v>157</v>
      </c>
      <c r="Q30" s="519">
        <f>+(F30+G30-0.08)*2+(D30+E30*2-0.08)</f>
        <v>2.6100000000000003</v>
      </c>
      <c r="R30" s="529">
        <f>+Q30/0.25+1</f>
        <v>11.440000000000001</v>
      </c>
      <c r="S30" s="518">
        <v>12</v>
      </c>
      <c r="T30" s="520">
        <f>+C30+C30/6*50*0.01</f>
        <v>42.127800000000001</v>
      </c>
      <c r="U30" s="521">
        <f>+Q30*P30+S30*T30</f>
        <v>915.30359999999996</v>
      </c>
      <c r="V30" s="515">
        <f>(100/162)*U30</f>
        <v>565.00222222222214</v>
      </c>
      <c r="W30" t="s">
        <v>580</v>
      </c>
      <c r="Y30" t="s">
        <v>637</v>
      </c>
      <c r="Z30">
        <v>0.5</v>
      </c>
    </row>
    <row r="31" spans="2:26" x14ac:dyDescent="0.25">
      <c r="B31" t="s">
        <v>593</v>
      </c>
      <c r="C31">
        <f>+C30/0.389</f>
        <v>99.967095115681232</v>
      </c>
      <c r="D31">
        <v>99</v>
      </c>
      <c r="E31">
        <v>0.27500000000000002</v>
      </c>
      <c r="F31">
        <v>0.27500000000000002</v>
      </c>
      <c r="G31" s="527">
        <f>+D30</f>
        <v>0.8</v>
      </c>
      <c r="I31" s="531"/>
      <c r="K31" s="4"/>
      <c r="M31" s="516">
        <f>+D31*E31*F31*G31</f>
        <v>5.9895000000000014</v>
      </c>
      <c r="N31" s="515">
        <f>+D31*E31*G31</f>
        <v>21.78</v>
      </c>
    </row>
    <row r="36" spans="1:26" ht="14.4" x14ac:dyDescent="0.3">
      <c r="A36" t="s">
        <v>597</v>
      </c>
      <c r="B36" t="s">
        <v>596</v>
      </c>
      <c r="C36">
        <f>243.72*1.1</f>
        <v>268.09200000000004</v>
      </c>
      <c r="D36" s="523">
        <v>1</v>
      </c>
      <c r="E36" s="523">
        <v>0.1</v>
      </c>
      <c r="F36" s="523">
        <v>0.2</v>
      </c>
      <c r="G36" s="523">
        <v>0.1</v>
      </c>
      <c r="H36" s="523">
        <v>0.05</v>
      </c>
      <c r="J36" s="514">
        <f>+C36*(D36+1)</f>
        <v>536.18400000000008</v>
      </c>
      <c r="K36" s="514">
        <f>+C36*D36*(G36+H36)</f>
        <v>40.213800000000013</v>
      </c>
      <c r="L36" s="515">
        <f>+C36*D36*H36</f>
        <v>13.404600000000002</v>
      </c>
      <c r="M36" s="514">
        <f>+C36*((D36+E36)*G36+F36*E36)</f>
        <v>34.851960000000005</v>
      </c>
      <c r="N36" s="514">
        <f>+C36*(G36+F36+F36+G36)</f>
        <v>160.85520000000002</v>
      </c>
      <c r="O36" s="529">
        <f>+(C36)/0.25+1</f>
        <v>1073.3680000000002</v>
      </c>
      <c r="P36" s="530">
        <v>1074</v>
      </c>
      <c r="Q36" s="519">
        <f>+D36-0.08+G36+F36-0.08</f>
        <v>1.1399999999999999</v>
      </c>
      <c r="R36" s="529">
        <f>+Q36/0.25+1</f>
        <v>5.56</v>
      </c>
      <c r="S36" s="518">
        <v>6</v>
      </c>
      <c r="T36" s="520">
        <f>+C36+C36/6*50*0.01</f>
        <v>290.43300000000005</v>
      </c>
      <c r="U36" s="521">
        <f>+Q36*P36+S36*T36</f>
        <v>2966.9580000000005</v>
      </c>
      <c r="V36" s="515">
        <f>(100/162)*U36</f>
        <v>1831.4555555555557</v>
      </c>
      <c r="W36" t="s">
        <v>580</v>
      </c>
    </row>
    <row r="38" spans="1:26" ht="14.4" x14ac:dyDescent="0.3">
      <c r="B38" t="s">
        <v>660</v>
      </c>
      <c r="C38" s="523">
        <f>(14.43+28.122+25.01+4.769)*1.1</f>
        <v>79.56410000000001</v>
      </c>
      <c r="D38" s="523">
        <v>1</v>
      </c>
      <c r="E38" s="523">
        <v>0.1</v>
      </c>
      <c r="F38" s="523">
        <v>0.3</v>
      </c>
      <c r="G38" s="523">
        <v>0.1</v>
      </c>
      <c r="H38" s="523">
        <v>0.05</v>
      </c>
      <c r="J38" s="514">
        <f>+C38*(D38+1)</f>
        <v>159.12820000000002</v>
      </c>
      <c r="K38" s="514">
        <f>+C38*D38*(G38+H38)</f>
        <v>11.934615000000003</v>
      </c>
      <c r="L38" s="515">
        <f>+C38*D38*H38</f>
        <v>3.9782050000000009</v>
      </c>
      <c r="M38" s="514">
        <f>+C38*((D38+E38)*G38+F38*E38)</f>
        <v>11.138974000000003</v>
      </c>
      <c r="N38" s="514">
        <f>+C38*(G38+F38+F38+G38)</f>
        <v>63.65128</v>
      </c>
      <c r="O38" s="529">
        <f>+(C38)/0.25+1</f>
        <v>319.25640000000004</v>
      </c>
      <c r="P38" s="530">
        <v>320</v>
      </c>
      <c r="Q38" s="519">
        <f>+D38-0.08+G38+F38-0.08</f>
        <v>1.24</v>
      </c>
      <c r="R38" s="529">
        <f>+Q38/0.25+1</f>
        <v>5.96</v>
      </c>
      <c r="S38" s="518">
        <v>7</v>
      </c>
      <c r="T38" s="520">
        <f>+C38+C38/6*50*0.01</f>
        <v>86.194441666666677</v>
      </c>
      <c r="U38" s="521">
        <f>+Q38*P38+S38*T38</f>
        <v>1000.1610916666668</v>
      </c>
      <c r="V38" s="515">
        <f>(100/162)*U38</f>
        <v>617.38338991769558</v>
      </c>
      <c r="W38" t="s">
        <v>580</v>
      </c>
    </row>
    <row r="41" spans="1:26" ht="14.4" x14ac:dyDescent="0.3">
      <c r="A41" t="s">
        <v>579</v>
      </c>
      <c r="B41" t="s">
        <v>656</v>
      </c>
      <c r="C41" s="523">
        <f>127.74*1.15</f>
        <v>146.90099999999998</v>
      </c>
      <c r="D41" s="523">
        <v>0.3</v>
      </c>
      <c r="E41" s="523">
        <v>0.1</v>
      </c>
      <c r="F41" s="523">
        <v>0.3</v>
      </c>
      <c r="G41" s="523">
        <v>0.1</v>
      </c>
      <c r="H41" s="523">
        <v>0.05</v>
      </c>
      <c r="J41" s="514">
        <f>+C41*(D41+E41*2+1.5)</f>
        <v>293.80199999999996</v>
      </c>
      <c r="K41" s="514">
        <f>+C41*(D41+E41*2)*(F41+G41+H41)</f>
        <v>33.052724999999995</v>
      </c>
      <c r="L41" s="515">
        <f>+(D41+E41*2)*C41*H41</f>
        <v>3.6725249999999998</v>
      </c>
      <c r="M41" s="515">
        <f>+C41*((D41+E41*2)*G41+(F41*E41*2))</f>
        <v>16.159109999999998</v>
      </c>
      <c r="N41" s="515">
        <f>+(F41+(F41+G41))*C41*2</f>
        <v>205.66139999999996</v>
      </c>
      <c r="O41" s="529">
        <f>+(C41)/0.2+1</f>
        <v>735.50499999999988</v>
      </c>
      <c r="P41" s="518">
        <v>736</v>
      </c>
      <c r="Q41" s="519">
        <f>+(F41+G41-0.08)*2+(D41+E41*2-0.08)</f>
        <v>1.06</v>
      </c>
      <c r="R41" s="529">
        <f>+Q41/0.25+1</f>
        <v>5.24</v>
      </c>
      <c r="S41" s="518">
        <v>6</v>
      </c>
      <c r="T41" s="520">
        <f>+C41+C41/6*50*0.01</f>
        <v>159.14274999999998</v>
      </c>
      <c r="U41" s="521">
        <f>+Q41*P41+S41*T41</f>
        <v>1735.0165</v>
      </c>
      <c r="V41" s="515">
        <f>(100/162)*U41</f>
        <v>1070.9978395061728</v>
      </c>
      <c r="W41" t="s">
        <v>580</v>
      </c>
    </row>
    <row r="43" spans="1:26" ht="14.4" x14ac:dyDescent="0.3">
      <c r="B43" t="s">
        <v>631</v>
      </c>
      <c r="C43" s="526">
        <f>19.87*1.1/Z43</f>
        <v>43.714000000000006</v>
      </c>
      <c r="D43" s="523">
        <v>0.6</v>
      </c>
      <c r="E43" s="523">
        <v>0.1</v>
      </c>
      <c r="F43" s="523">
        <v>0.6</v>
      </c>
      <c r="G43" s="523">
        <v>0.1</v>
      </c>
      <c r="H43" s="523">
        <v>0.05</v>
      </c>
      <c r="J43" s="514">
        <f>+C43*(D43+E43*2+1.5)</f>
        <v>100.54220000000001</v>
      </c>
      <c r="K43" s="514">
        <f>+C43*(D43+E43*2)*(F43+G43+H43)</f>
        <v>26.228400000000001</v>
      </c>
      <c r="L43" s="515">
        <f>+(D43+E43*2)*C43*H43</f>
        <v>1.7485600000000003</v>
      </c>
      <c r="M43" s="515">
        <f>+C43*((D43+E43*2)*G43+(F43*E43*2))</f>
        <v>8.7428000000000008</v>
      </c>
      <c r="N43" s="515">
        <f>+(F43+(F43+G43))*C43*2</f>
        <v>113.6564</v>
      </c>
      <c r="O43" s="529">
        <f>+(C43)/0.2+1</f>
        <v>219.57000000000002</v>
      </c>
      <c r="P43" s="518">
        <v>220</v>
      </c>
      <c r="Q43" s="519">
        <f>+(F43+G43-0.08)*2+(D43+E43*2-0.08)</f>
        <v>1.96</v>
      </c>
      <c r="R43" s="529">
        <f>+Q43/0.25+1</f>
        <v>8.84</v>
      </c>
      <c r="S43" s="518">
        <v>8</v>
      </c>
      <c r="T43" s="520">
        <f>+C43+C43/6*50*0.01</f>
        <v>47.356833333333341</v>
      </c>
      <c r="U43" s="521">
        <f>+Q43*P43+S43*T43</f>
        <v>810.05466666666666</v>
      </c>
      <c r="V43" s="515">
        <f>(100/162)*U43</f>
        <v>500.03374485596703</v>
      </c>
      <c r="W43" t="s">
        <v>580</v>
      </c>
      <c r="Y43" t="s">
        <v>637</v>
      </c>
      <c r="Z43">
        <v>0.5</v>
      </c>
    </row>
    <row r="44" spans="1:26" ht="14.4" x14ac:dyDescent="0.3">
      <c r="C44" s="526">
        <f>13.84*1.1/Z44</f>
        <v>30.448</v>
      </c>
      <c r="D44" s="523">
        <v>0.6</v>
      </c>
      <c r="E44" s="523">
        <v>0.1</v>
      </c>
      <c r="F44" s="523">
        <v>0.6</v>
      </c>
      <c r="G44" s="523">
        <v>0.1</v>
      </c>
      <c r="H44" s="523">
        <v>0.05</v>
      </c>
      <c r="J44" s="514">
        <f>+C44*(D44+E44*2+1.5)</f>
        <v>70.0304</v>
      </c>
      <c r="K44" s="514">
        <f>+C44*(D44+E44*2)*(F44+G44+H44)</f>
        <v>18.268800000000002</v>
      </c>
      <c r="L44" s="515">
        <f>+(D44+E44*2)*C44*H44</f>
        <v>1.2179200000000003</v>
      </c>
      <c r="M44" s="515">
        <f>+C44*((D44+E44*2)*G44+(F44*E44*2))</f>
        <v>6.0896000000000008</v>
      </c>
      <c r="N44" s="515">
        <f>+(F44+(F44+G44))*C44*2</f>
        <v>79.164799999999985</v>
      </c>
      <c r="O44" s="529">
        <f>+(C44)/0.2+1</f>
        <v>153.23999999999998</v>
      </c>
      <c r="P44" s="518">
        <v>154</v>
      </c>
      <c r="Q44" s="519">
        <f>+(F44+G44-0.08)*2+(D44+E44*2-0.08)</f>
        <v>1.96</v>
      </c>
      <c r="R44" s="532">
        <f>+Q44/0.25+1</f>
        <v>8.84</v>
      </c>
      <c r="S44" s="518">
        <v>8</v>
      </c>
      <c r="T44" s="520">
        <f>+C44+C44/6*50*0.01</f>
        <v>32.985333333333337</v>
      </c>
      <c r="U44" s="521">
        <f>+Q44*P44+S44*T44</f>
        <v>565.72266666666667</v>
      </c>
      <c r="V44" s="515">
        <f>(100/162)*U44</f>
        <v>349.21152263374483</v>
      </c>
      <c r="W44" t="s">
        <v>580</v>
      </c>
      <c r="Y44" t="s">
        <v>637</v>
      </c>
      <c r="Z44">
        <v>0.5</v>
      </c>
    </row>
    <row r="46" spans="1:26" ht="14.4" x14ac:dyDescent="0.3">
      <c r="B46" t="s">
        <v>657</v>
      </c>
      <c r="C46" s="523">
        <f>(7.43+23.65)*1.1</f>
        <v>34.188000000000002</v>
      </c>
      <c r="D46" s="523">
        <v>0.9</v>
      </c>
      <c r="E46" s="523">
        <v>0.15</v>
      </c>
      <c r="F46" s="523">
        <v>0.9</v>
      </c>
      <c r="G46" s="523">
        <v>0.15</v>
      </c>
      <c r="H46" s="523">
        <v>0.05</v>
      </c>
      <c r="J46" s="514">
        <f>+C46*(D46+E46*2+1.5)</f>
        <v>92.307600000000008</v>
      </c>
      <c r="K46" s="514">
        <f>+C46*(D46+E46*2)*(F46+G46+H46)</f>
        <v>45.128160000000008</v>
      </c>
      <c r="L46" s="515">
        <f>+(D46+E46*2)*C46*H46</f>
        <v>2.0512800000000002</v>
      </c>
      <c r="M46" s="515">
        <f>+C46*((D46+E46*2)*G46+(F46*E46*2))</f>
        <v>15.384600000000001</v>
      </c>
      <c r="N46" s="515">
        <f>+(F46+(F46+G46))*C46*2</f>
        <v>133.33320000000003</v>
      </c>
      <c r="O46" s="529">
        <f>+(C46)/0.2+1</f>
        <v>171.94</v>
      </c>
      <c r="P46" s="518">
        <f>172*2</f>
        <v>344</v>
      </c>
      <c r="Q46" s="519">
        <f>+(F46+G46-0.08)*2+(D46+E46*2-0.08)</f>
        <v>3.06</v>
      </c>
      <c r="R46" s="529">
        <f>+Q46/0.25+1</f>
        <v>13.24</v>
      </c>
      <c r="S46" s="518">
        <f>14*2</f>
        <v>28</v>
      </c>
      <c r="T46" s="520">
        <f>+C46+C46/6*50*0.01</f>
        <v>37.037000000000006</v>
      </c>
      <c r="U46" s="521">
        <f>+Q46*P46+S46*T46</f>
        <v>2089.6760000000004</v>
      </c>
      <c r="V46" s="515">
        <f>(100/162)*U46</f>
        <v>1289.9234567901235</v>
      </c>
      <c r="W46" t="s">
        <v>580</v>
      </c>
    </row>
    <row r="48" spans="1:26" ht="14.4" x14ac:dyDescent="0.3">
      <c r="B48" t="s">
        <v>655</v>
      </c>
      <c r="C48">
        <f>71.51*1.15</f>
        <v>82.236500000000007</v>
      </c>
      <c r="D48">
        <v>0.45</v>
      </c>
      <c r="E48">
        <v>0.1</v>
      </c>
      <c r="F48">
        <v>0.45</v>
      </c>
      <c r="G48">
        <v>0.1</v>
      </c>
      <c r="H48">
        <v>0.05</v>
      </c>
      <c r="J48" s="514">
        <f>+C48*(D48+E48*2+1.5)</f>
        <v>176.80847500000002</v>
      </c>
      <c r="K48" s="514">
        <f>+C48*(D48+E48*2)*(F48+G48+H48)</f>
        <v>32.072235000000006</v>
      </c>
      <c r="L48" s="515">
        <f>+(D48+E48*2)*C48*H48</f>
        <v>2.6726862500000004</v>
      </c>
      <c r="M48" s="515">
        <f>+C48*((D48+E48*2)*G48+(F48*E48*2))</f>
        <v>12.746657500000003</v>
      </c>
      <c r="N48" s="515">
        <f>+(F48+(F48+G48))*C48*2</f>
        <v>164.47300000000001</v>
      </c>
      <c r="O48" s="529">
        <f>+(C48)/0.2+1</f>
        <v>412.1825</v>
      </c>
      <c r="P48" s="518">
        <v>413</v>
      </c>
      <c r="Q48" s="519">
        <f>+(F48+G48-0.08)*2+(D48+E48*2-0.08)</f>
        <v>1.5100000000000002</v>
      </c>
      <c r="R48" s="529">
        <f>+Q48/0.25+1</f>
        <v>7.0400000000000009</v>
      </c>
      <c r="S48" s="518">
        <v>8</v>
      </c>
      <c r="T48" s="520">
        <f>+C48+C48/6*50*0.01</f>
        <v>89.089541666666676</v>
      </c>
      <c r="U48" s="521">
        <f>+Q48*P48+S48*T48</f>
        <v>1336.3463333333334</v>
      </c>
      <c r="V48" s="515">
        <f>(100/162)*U48</f>
        <v>824.90514403292184</v>
      </c>
      <c r="W48" t="s">
        <v>580</v>
      </c>
    </row>
    <row r="49" spans="1:26" ht="14.4" x14ac:dyDescent="0.3">
      <c r="C49">
        <f>(45.08+44.71)*1.1/Z49</f>
        <v>108.98047004303211</v>
      </c>
      <c r="D49">
        <v>0.45</v>
      </c>
      <c r="E49">
        <v>0.1</v>
      </c>
      <c r="F49">
        <v>0.45</v>
      </c>
      <c r="G49">
        <v>0.1</v>
      </c>
      <c r="H49">
        <v>0.05</v>
      </c>
      <c r="J49" s="514">
        <f>+C49*(D49+E49*2+1.5)</f>
        <v>234.30801059251903</v>
      </c>
      <c r="K49" s="514">
        <f>+C49*(D49+E49*2)*(F49+G49+H49)</f>
        <v>42.502383316782527</v>
      </c>
      <c r="L49" s="515">
        <f>+(D49+E49*2)*C49*H49</f>
        <v>3.5418652763985436</v>
      </c>
      <c r="M49" s="515">
        <f>+C49*((D49+E49*2)*G49+(F49*E49*2))</f>
        <v>16.89197285666998</v>
      </c>
      <c r="N49" s="515">
        <f>+(F49+(F49+G49))*C49*2</f>
        <v>217.96094008606423</v>
      </c>
      <c r="O49" s="529">
        <f>+(C49)/0.2+1</f>
        <v>545.90235021516048</v>
      </c>
      <c r="P49" s="518">
        <v>545</v>
      </c>
      <c r="Q49" s="519">
        <f>+(F49+G49-0.08)*2+(D49+E49*2-0.08)</f>
        <v>1.5100000000000002</v>
      </c>
      <c r="R49" s="529">
        <f>+Q49/0.25+1</f>
        <v>7.0400000000000009</v>
      </c>
      <c r="S49" s="518">
        <v>8</v>
      </c>
      <c r="T49" s="520">
        <f>+C49+C49/6*50*0.01</f>
        <v>118.06217587995145</v>
      </c>
      <c r="U49" s="521">
        <f>+Q49*P49+S49*T49</f>
        <v>1767.4474070396118</v>
      </c>
      <c r="V49" s="515">
        <f>(100/162)*U49</f>
        <v>1091.0169179256861</v>
      </c>
      <c r="W49" t="s">
        <v>580</v>
      </c>
      <c r="Y49" t="s">
        <v>651</v>
      </c>
      <c r="Z49">
        <v>0.90629999999999999</v>
      </c>
    </row>
    <row r="51" spans="1:26" ht="14.4" x14ac:dyDescent="0.3">
      <c r="B51" t="s">
        <v>631</v>
      </c>
      <c r="C51">
        <f>+(8.61+19.29)*1.1</f>
        <v>30.69</v>
      </c>
      <c r="D51">
        <v>0.5</v>
      </c>
      <c r="E51">
        <v>0.1</v>
      </c>
      <c r="F51">
        <v>0.5</v>
      </c>
      <c r="G51">
        <v>0.1</v>
      </c>
      <c r="H51">
        <v>0.05</v>
      </c>
      <c r="J51" s="514">
        <f>+C51*(D51+E51*2+1.5)</f>
        <v>67.518000000000015</v>
      </c>
      <c r="K51" s="514">
        <f>+C51*(D51+E51*2)*(F51+G51+H51)</f>
        <v>13.963950000000001</v>
      </c>
      <c r="L51" s="515">
        <f>+(D51+E51*2)*C51*H51</f>
        <v>1.0741500000000002</v>
      </c>
      <c r="M51" s="515">
        <f>+C51*((D51+E51*2)*G51+(F51*E51*2))</f>
        <v>5.2172999999999998</v>
      </c>
      <c r="N51" s="515">
        <f>+(F51+(F51+G51))*C51*2</f>
        <v>67.518000000000015</v>
      </c>
      <c r="O51" s="529">
        <f>+(C51)/0.2+1</f>
        <v>154.44999999999999</v>
      </c>
      <c r="P51" s="518">
        <v>155</v>
      </c>
      <c r="Q51" s="519">
        <f>+(F51+G51-0.08)*2+(D51+E51*2-0.08)</f>
        <v>1.6600000000000001</v>
      </c>
      <c r="R51" s="529">
        <f>+Q51/0.25+1</f>
        <v>7.6400000000000006</v>
      </c>
      <c r="S51" s="518">
        <v>8</v>
      </c>
      <c r="T51" s="520">
        <f>+C51+C51/6*50*0.01</f>
        <v>33.247500000000002</v>
      </c>
      <c r="U51" s="521">
        <f>+Q51*P51+S51*T51</f>
        <v>523.28</v>
      </c>
      <c r="V51" s="515">
        <f>(100/162)*U51</f>
        <v>323.0123456790123</v>
      </c>
      <c r="W51" t="s">
        <v>580</v>
      </c>
    </row>
    <row r="55" spans="1:26" x14ac:dyDescent="0.25">
      <c r="I55" s="512" t="s">
        <v>599</v>
      </c>
    </row>
    <row r="56" spans="1:26" ht="14.4" x14ac:dyDescent="0.3">
      <c r="A56" t="s">
        <v>598</v>
      </c>
      <c r="B56" t="s">
        <v>658</v>
      </c>
      <c r="C56" s="523">
        <f>(9.74+53.3+27.47+23.51+27.79+29.78)*1.1</f>
        <v>188.74900000000002</v>
      </c>
      <c r="D56" s="523">
        <v>0.6</v>
      </c>
      <c r="E56" s="523">
        <v>0.1</v>
      </c>
      <c r="F56" s="523">
        <v>0.6</v>
      </c>
      <c r="G56" s="523">
        <v>0.1</v>
      </c>
      <c r="H56" s="523">
        <v>0.05</v>
      </c>
      <c r="I56" s="90">
        <f>+C56</f>
        <v>188.74900000000002</v>
      </c>
      <c r="J56" s="514">
        <f>+C56*(D56+E56*2+1.5)</f>
        <v>434.12270000000001</v>
      </c>
      <c r="K56" s="514">
        <f>+C56*(D56+E56*2)*(F56+G56+H56)</f>
        <v>113.24940000000002</v>
      </c>
      <c r="L56" s="515">
        <f>+(D56+E56*2)*C56*H56</f>
        <v>7.5499600000000022</v>
      </c>
      <c r="M56" s="515">
        <f>+C56*((D56+E56*2)*G56+(F56*E56*2))</f>
        <v>37.749800000000008</v>
      </c>
      <c r="N56" s="515">
        <f>+(F56+(F56+G56))*C56*2</f>
        <v>490.74739999999997</v>
      </c>
      <c r="O56" s="529">
        <f>+(C56)/0.25+1</f>
        <v>755.99600000000009</v>
      </c>
      <c r="P56" s="518">
        <v>756</v>
      </c>
      <c r="Q56" s="519">
        <f>+(F56+G56-0.08)*2+(D56+E56*2-0.08)</f>
        <v>1.96</v>
      </c>
      <c r="R56" s="529">
        <f>+Q56/0.25+1</f>
        <v>8.84</v>
      </c>
      <c r="S56" s="518">
        <v>9</v>
      </c>
      <c r="T56" s="520">
        <f>+C56+C56/6*50*0.01</f>
        <v>204.47808333333336</v>
      </c>
      <c r="U56" s="521">
        <f>+Q56*P56+S56*T56</f>
        <v>3322.0627500000001</v>
      </c>
      <c r="V56" s="515">
        <f>(100/162)*U56</f>
        <v>2050.6560185185185</v>
      </c>
      <c r="W56" t="s">
        <v>580</v>
      </c>
    </row>
    <row r="59" spans="1:26" x14ac:dyDescent="0.25">
      <c r="K59" s="512" t="s">
        <v>554</v>
      </c>
    </row>
    <row r="60" spans="1:26" x14ac:dyDescent="0.25">
      <c r="A60" t="s">
        <v>554</v>
      </c>
      <c r="C60">
        <f>1754/Z60*1.1</f>
        <v>2251.0792206276983</v>
      </c>
      <c r="J60" s="514">
        <f>+C60</f>
        <v>2251.0792206276983</v>
      </c>
      <c r="K60" s="514">
        <f>+C60</f>
        <v>2251.0792206276983</v>
      </c>
      <c r="Y60" t="s">
        <v>600</v>
      </c>
      <c r="Z60">
        <v>0.85709999999999997</v>
      </c>
    </row>
    <row r="61" spans="1:26" x14ac:dyDescent="0.25">
      <c r="C61">
        <f>896*1.1/Z61</f>
        <v>1020.3954860751633</v>
      </c>
      <c r="J61" s="514">
        <f>+C61</f>
        <v>1020.3954860751633</v>
      </c>
      <c r="K61" s="514">
        <f>+C61</f>
        <v>1020.3954860751633</v>
      </c>
      <c r="Y61" t="s">
        <v>601</v>
      </c>
      <c r="Z61">
        <v>0.96589999999999998</v>
      </c>
    </row>
    <row r="62" spans="1:26" x14ac:dyDescent="0.25">
      <c r="C62">
        <f>1224.45*1.1/Z62</f>
        <v>1401.5556711758588</v>
      </c>
      <c r="J62" s="514">
        <f>+C62</f>
        <v>1401.5556711758588</v>
      </c>
      <c r="K62" s="514">
        <f>+C62</f>
        <v>1401.5556711758588</v>
      </c>
      <c r="Y62" t="s">
        <v>595</v>
      </c>
      <c r="Z62">
        <v>0.96099999999999997</v>
      </c>
    </row>
    <row r="63" spans="1:26" x14ac:dyDescent="0.25">
      <c r="C63">
        <f>4405.97*1.1/Z63</f>
        <v>5227.6636824506531</v>
      </c>
      <c r="J63" s="514">
        <f>+C63</f>
        <v>5227.6636824506531</v>
      </c>
      <c r="K63" s="514">
        <f>+C63</f>
        <v>5227.6636824506531</v>
      </c>
      <c r="Y63" t="s">
        <v>602</v>
      </c>
      <c r="Z63">
        <v>0.92710000000000004</v>
      </c>
    </row>
    <row r="65" spans="1:20" x14ac:dyDescent="0.25">
      <c r="J65" s="512" t="s">
        <v>573</v>
      </c>
      <c r="K65" s="512" t="s">
        <v>574</v>
      </c>
      <c r="L65" s="512" t="s">
        <v>604</v>
      </c>
      <c r="M65" s="512" t="s">
        <v>584</v>
      </c>
      <c r="N65" s="512" t="s">
        <v>83</v>
      </c>
      <c r="O65" s="512" t="s">
        <v>195</v>
      </c>
    </row>
    <row r="66" spans="1:20" x14ac:dyDescent="0.25">
      <c r="A66" t="s">
        <v>603</v>
      </c>
      <c r="C66">
        <f>119.85*1.1</f>
        <v>131.83500000000001</v>
      </c>
      <c r="D66">
        <v>3.605</v>
      </c>
      <c r="E66">
        <v>6.4480000000000004</v>
      </c>
      <c r="F66">
        <v>4.5</v>
      </c>
      <c r="G66">
        <v>8.1980000000000004</v>
      </c>
      <c r="H66">
        <v>0.995</v>
      </c>
      <c r="I66">
        <f>1.545+0.136</f>
        <v>1.681</v>
      </c>
      <c r="J66" s="514">
        <f>+C66*(D66+0.5)</f>
        <v>541.18267500000013</v>
      </c>
      <c r="K66" s="514">
        <f>+C66*E66</f>
        <v>850.07208000000014</v>
      </c>
      <c r="L66" s="514">
        <f>+C66*F66</f>
        <v>593.25750000000005</v>
      </c>
      <c r="M66" s="514">
        <f>+C66*G66</f>
        <v>1080.7833300000002</v>
      </c>
      <c r="N66" s="514">
        <f>+C66*H66</f>
        <v>131.175825</v>
      </c>
      <c r="O66" s="514"/>
    </row>
    <row r="68" spans="1:20" x14ac:dyDescent="0.25">
      <c r="A68" t="s">
        <v>605</v>
      </c>
      <c r="C68">
        <f>148*1.1</f>
        <v>162.80000000000001</v>
      </c>
      <c r="D68">
        <v>5.5869999999999997</v>
      </c>
      <c r="E68">
        <f>+(9.62+11.58+8.97)/3</f>
        <v>10.056666666666667</v>
      </c>
      <c r="F68">
        <v>8.5</v>
      </c>
      <c r="G68">
        <v>11.784000000000001</v>
      </c>
      <c r="H68">
        <v>1.742</v>
      </c>
      <c r="I68">
        <f>3.293+0.283</f>
        <v>3.5760000000000001</v>
      </c>
      <c r="J68" s="514">
        <f>+C68*(D68+0.5)</f>
        <v>990.96360000000004</v>
      </c>
      <c r="K68" s="514">
        <f>+C68*E68</f>
        <v>1637.2253333333335</v>
      </c>
      <c r="L68" s="514">
        <f>+C68*F68</f>
        <v>1383.8000000000002</v>
      </c>
      <c r="M68" s="514">
        <f>+C68*G68</f>
        <v>1918.4352000000003</v>
      </c>
      <c r="N68" s="514">
        <f>+C68*H68</f>
        <v>283.5976</v>
      </c>
      <c r="O68" s="514"/>
    </row>
    <row r="71" spans="1:20" x14ac:dyDescent="0.25">
      <c r="A71" t="s">
        <v>536</v>
      </c>
    </row>
    <row r="72" spans="1:20" x14ac:dyDescent="0.25">
      <c r="J72" s="512" t="s">
        <v>607</v>
      </c>
      <c r="K72" s="512" t="s">
        <v>608</v>
      </c>
      <c r="L72" s="512" t="s">
        <v>555</v>
      </c>
      <c r="M72" s="512" t="s">
        <v>609</v>
      </c>
      <c r="N72" s="512" t="s">
        <v>610</v>
      </c>
      <c r="O72" s="512" t="s">
        <v>661</v>
      </c>
      <c r="P72" s="512" t="s">
        <v>611</v>
      </c>
    </row>
    <row r="73" spans="1:20" x14ac:dyDescent="0.25">
      <c r="A73" t="s">
        <v>606</v>
      </c>
      <c r="C73">
        <v>10</v>
      </c>
      <c r="D73">
        <v>45</v>
      </c>
      <c r="E73">
        <f t="shared" ref="E73:E78" si="1">+C73*D73</f>
        <v>450</v>
      </c>
      <c r="G73">
        <f>1144/T73*1.1</f>
        <v>1453.1177829099308</v>
      </c>
      <c r="H73">
        <v>196.73</v>
      </c>
      <c r="J73" s="514"/>
      <c r="K73" s="514">
        <f>SUM(E73:E78)</f>
        <v>3870</v>
      </c>
      <c r="L73" s="514">
        <f>SUM(D73:D78)</f>
        <v>490</v>
      </c>
      <c r="M73" s="514">
        <f>+(G73+G74+G75)</f>
        <v>2601.3475750577368</v>
      </c>
      <c r="N73" s="514">
        <f>+M73</f>
        <v>2601.3475750577368</v>
      </c>
      <c r="O73" s="514">
        <f>+N73</f>
        <v>2601.3475750577368</v>
      </c>
      <c r="P73" s="514">
        <f>SUM(H73:H75)*1.1</f>
        <v>442.89300000000003</v>
      </c>
      <c r="S73" t="s">
        <v>612</v>
      </c>
      <c r="T73">
        <v>0.86599999999999999</v>
      </c>
    </row>
    <row r="74" spans="1:20" x14ac:dyDescent="0.25">
      <c r="C74">
        <v>8</v>
      </c>
      <c r="D74">
        <v>164</v>
      </c>
      <c r="E74">
        <f t="shared" si="1"/>
        <v>1312</v>
      </c>
      <c r="G74">
        <f>617.87/T73*1.1</f>
        <v>784.82332563510397</v>
      </c>
      <c r="H74">
        <f>62.88+4.44+8.23+52.59</f>
        <v>128.14000000000001</v>
      </c>
    </row>
    <row r="75" spans="1:20" x14ac:dyDescent="0.25">
      <c r="C75">
        <v>6</v>
      </c>
      <c r="D75">
        <v>66</v>
      </c>
      <c r="E75">
        <f t="shared" si="1"/>
        <v>396</v>
      </c>
      <c r="G75">
        <f>286.1*1.1/T73</f>
        <v>363.40646651270214</v>
      </c>
      <c r="H75">
        <v>77.760000000000005</v>
      </c>
    </row>
    <row r="76" spans="1:20" x14ac:dyDescent="0.25">
      <c r="C76">
        <v>10</v>
      </c>
      <c r="D76">
        <v>66</v>
      </c>
      <c r="E76">
        <f t="shared" si="1"/>
        <v>660</v>
      </c>
    </row>
    <row r="77" spans="1:20" x14ac:dyDescent="0.25">
      <c r="C77">
        <v>8</v>
      </c>
      <c r="D77">
        <v>79</v>
      </c>
      <c r="E77">
        <f t="shared" si="1"/>
        <v>632</v>
      </c>
    </row>
    <row r="78" spans="1:20" x14ac:dyDescent="0.25">
      <c r="C78">
        <v>6</v>
      </c>
      <c r="D78">
        <v>70</v>
      </c>
      <c r="E78">
        <f t="shared" si="1"/>
        <v>420</v>
      </c>
    </row>
    <row r="81" spans="1:20" x14ac:dyDescent="0.25">
      <c r="J81" s="512" t="s">
        <v>615</v>
      </c>
    </row>
    <row r="82" spans="1:20" x14ac:dyDescent="0.25">
      <c r="A82" t="s">
        <v>614</v>
      </c>
      <c r="C82">
        <v>20</v>
      </c>
      <c r="D82">
        <v>23</v>
      </c>
      <c r="E82">
        <f>+C82*D82</f>
        <v>460</v>
      </c>
      <c r="J82" s="514">
        <f>SUM(E82:E84)</f>
        <v>880</v>
      </c>
    </row>
    <row r="83" spans="1:20" x14ac:dyDescent="0.25">
      <c r="C83">
        <v>20</v>
      </c>
      <c r="D83">
        <v>13</v>
      </c>
      <c r="E83">
        <f>+C83*D83</f>
        <v>260</v>
      </c>
    </row>
    <row r="84" spans="1:20" x14ac:dyDescent="0.25">
      <c r="C84">
        <v>20</v>
      </c>
      <c r="D84">
        <v>8</v>
      </c>
      <c r="E84">
        <f>+C84*D84</f>
        <v>160</v>
      </c>
    </row>
    <row r="85" spans="1:20" x14ac:dyDescent="0.25">
      <c r="J85" s="512"/>
    </row>
    <row r="86" spans="1:20" x14ac:dyDescent="0.25">
      <c r="J86" s="514"/>
    </row>
    <row r="89" spans="1:20" x14ac:dyDescent="0.25">
      <c r="J89" s="512" t="s">
        <v>573</v>
      </c>
      <c r="K89" s="512" t="s">
        <v>574</v>
      </c>
      <c r="L89" s="512" t="s">
        <v>604</v>
      </c>
      <c r="M89" s="512" t="s">
        <v>584</v>
      </c>
    </row>
    <row r="90" spans="1:20" x14ac:dyDescent="0.25">
      <c r="A90" t="s">
        <v>613</v>
      </c>
      <c r="C90">
        <f>84.059*1.1</f>
        <v>92.4649</v>
      </c>
      <c r="D90">
        <v>3.4580000000000002</v>
      </c>
      <c r="E90">
        <v>0.91700000000000004</v>
      </c>
      <c r="F90">
        <f>1+0.3*2</f>
        <v>1.6</v>
      </c>
      <c r="G90">
        <v>4.4249999999999998</v>
      </c>
      <c r="J90" s="514">
        <f>+C90*(D90+0.5)</f>
        <v>365.97607420000003</v>
      </c>
      <c r="K90" s="514">
        <f>+C90*E90</f>
        <v>84.790313300000008</v>
      </c>
      <c r="L90" s="514">
        <f>+C90*F90</f>
        <v>147.94383999999999</v>
      </c>
      <c r="M90" s="514">
        <f>+C90*G90</f>
        <v>409.15718249999998</v>
      </c>
    </row>
    <row r="92" spans="1:20" x14ac:dyDescent="0.25">
      <c r="K92" s="512" t="s">
        <v>576</v>
      </c>
      <c r="N92" s="512" t="s">
        <v>577</v>
      </c>
    </row>
    <row r="93" spans="1:20" x14ac:dyDescent="0.25">
      <c r="A93" t="s">
        <v>616</v>
      </c>
      <c r="C93">
        <f>825*1.1/T93</f>
        <v>939.53825447768929</v>
      </c>
      <c r="J93" s="514">
        <f>+C93*(D93+0.5)</f>
        <v>469.76912723884465</v>
      </c>
      <c r="K93" s="514">
        <f>+C93*0.1</f>
        <v>93.953825447768935</v>
      </c>
      <c r="N93" s="514">
        <f>135.56*0.1</f>
        <v>13.556000000000001</v>
      </c>
      <c r="S93" t="s">
        <v>601</v>
      </c>
      <c r="T93">
        <v>0.96589999999999998</v>
      </c>
    </row>
    <row r="94" spans="1:20" x14ac:dyDescent="0.25">
      <c r="J94" s="522"/>
      <c r="K94" s="522"/>
    </row>
    <row r="95" spans="1:20" x14ac:dyDescent="0.25">
      <c r="K95" s="512" t="s">
        <v>574</v>
      </c>
    </row>
    <row r="96" spans="1:20" x14ac:dyDescent="0.25">
      <c r="A96" t="s">
        <v>617</v>
      </c>
      <c r="C96">
        <f>(122.07+15.54+3.63+7.55+1.009+6.34+3.54+1)/3</f>
        <v>53.559666666666658</v>
      </c>
      <c r="D96">
        <v>170</v>
      </c>
      <c r="F96">
        <f>+C96*D96</f>
        <v>9105.1433333333316</v>
      </c>
      <c r="K96" s="514">
        <f>SUM(F96:F98)*1.1</f>
        <v>10827.271051666667</v>
      </c>
    </row>
    <row r="97" spans="1:12" x14ac:dyDescent="0.25">
      <c r="C97">
        <f>+(5.93+3.82)/2</f>
        <v>4.875</v>
      </c>
      <c r="D97">
        <v>123.29</v>
      </c>
      <c r="F97">
        <f>+C97*D97</f>
        <v>601.03875000000005</v>
      </c>
    </row>
    <row r="98" spans="1:12" x14ac:dyDescent="0.25">
      <c r="C98">
        <v>4.7300000000000004</v>
      </c>
      <c r="D98">
        <v>28.92</v>
      </c>
      <c r="F98">
        <f>+C98*D98</f>
        <v>136.79160000000002</v>
      </c>
    </row>
    <row r="99" spans="1:12" x14ac:dyDescent="0.25">
      <c r="K99" s="512"/>
    </row>
    <row r="100" spans="1:12" x14ac:dyDescent="0.25">
      <c r="K100" s="514"/>
    </row>
    <row r="102" spans="1:12" x14ac:dyDescent="0.25">
      <c r="L102" s="512" t="s">
        <v>195</v>
      </c>
    </row>
    <row r="103" spans="1:12" x14ac:dyDescent="0.25">
      <c r="A103" t="s">
        <v>618</v>
      </c>
      <c r="B103" t="s">
        <v>644</v>
      </c>
      <c r="C103">
        <f>+(24.61+22.83+42.43)/3</f>
        <v>29.956666666666667</v>
      </c>
      <c r="D103">
        <v>149.58000000000001</v>
      </c>
      <c r="F103">
        <f>+C103*D103</f>
        <v>4480.9182000000001</v>
      </c>
      <c r="L103" s="514">
        <f>SUM(F103:F104)</f>
        <v>6138.7380000000003</v>
      </c>
    </row>
    <row r="104" spans="1:12" x14ac:dyDescent="0.25">
      <c r="B104" t="s">
        <v>645</v>
      </c>
      <c r="C104">
        <f>(13.52+23.71+14.04+6.8)/4</f>
        <v>14.5175</v>
      </c>
      <c r="D104">
        <v>65.52</v>
      </c>
      <c r="F104">
        <f>+(C104+C105)*D104</f>
        <v>1657.8198</v>
      </c>
    </row>
    <row r="105" spans="1:12" x14ac:dyDescent="0.25">
      <c r="C105">
        <f>+(10.6+10.97)/2</f>
        <v>10.785</v>
      </c>
    </row>
    <row r="113" spans="1:6" x14ac:dyDescent="0.25">
      <c r="A113" s="533" t="s">
        <v>573</v>
      </c>
      <c r="F113" s="533">
        <f>SUM(J4:J68)+J90+J93</f>
        <v>17419.618165944539</v>
      </c>
    </row>
    <row r="115" spans="1:6" x14ac:dyDescent="0.25">
      <c r="A115" s="533" t="s">
        <v>619</v>
      </c>
      <c r="F115" s="533">
        <f>SUM(K4:K56)</f>
        <v>945.92343985829302</v>
      </c>
    </row>
    <row r="117" spans="1:6" x14ac:dyDescent="0.25">
      <c r="A117" s="533" t="s">
        <v>621</v>
      </c>
      <c r="F117" s="533">
        <f>SUM(K66:K68)</f>
        <v>2487.2974133333337</v>
      </c>
    </row>
    <row r="119" spans="1:6" x14ac:dyDescent="0.25">
      <c r="A119" s="533" t="s">
        <v>622</v>
      </c>
      <c r="F119" s="533">
        <f>+K90</f>
        <v>84.790313300000008</v>
      </c>
    </row>
    <row r="121" spans="1:6" x14ac:dyDescent="0.25">
      <c r="A121" s="533" t="s">
        <v>623</v>
      </c>
      <c r="F121" s="533">
        <f>+O66+O68</f>
        <v>0</v>
      </c>
    </row>
    <row r="123" spans="1:6" x14ac:dyDescent="0.25">
      <c r="A123" s="533" t="s">
        <v>624</v>
      </c>
      <c r="F123" s="533">
        <f>+L103</f>
        <v>6138.7380000000003</v>
      </c>
    </row>
    <row r="125" spans="1:6" x14ac:dyDescent="0.25">
      <c r="A125" s="533" t="s">
        <v>656</v>
      </c>
    </row>
    <row r="126" spans="1:6" x14ac:dyDescent="0.25">
      <c r="A126" t="s">
        <v>575</v>
      </c>
      <c r="F126" s="90">
        <f>+L41</f>
        <v>3.6725249999999998</v>
      </c>
    </row>
    <row r="127" spans="1:6" x14ac:dyDescent="0.25">
      <c r="A127" t="s">
        <v>576</v>
      </c>
      <c r="F127" s="90">
        <f>+M41</f>
        <v>16.159109999999998</v>
      </c>
    </row>
    <row r="128" spans="1:6" x14ac:dyDescent="0.25">
      <c r="A128" t="s">
        <v>625</v>
      </c>
      <c r="F128" s="90">
        <f>+V41</f>
        <v>1070.9978395061728</v>
      </c>
    </row>
    <row r="129" spans="1:6" x14ac:dyDescent="0.25">
      <c r="A129" t="s">
        <v>577</v>
      </c>
      <c r="F129" s="90">
        <f>+N41</f>
        <v>205.66139999999996</v>
      </c>
    </row>
    <row r="131" spans="1:6" x14ac:dyDescent="0.25">
      <c r="A131" s="533" t="s">
        <v>631</v>
      </c>
    </row>
    <row r="132" spans="1:6" x14ac:dyDescent="0.25">
      <c r="A132" t="s">
        <v>575</v>
      </c>
      <c r="F132" s="90">
        <f>+L43+L44+L51</f>
        <v>4.0406300000000011</v>
      </c>
    </row>
    <row r="133" spans="1:6" x14ac:dyDescent="0.25">
      <c r="A133" t="s">
        <v>576</v>
      </c>
      <c r="F133" s="90">
        <f>+M43+M44+M51</f>
        <v>20.049700000000001</v>
      </c>
    </row>
    <row r="134" spans="1:6" x14ac:dyDescent="0.25">
      <c r="A134" t="s">
        <v>625</v>
      </c>
      <c r="F134" s="90">
        <f>+V43+V44+V51</f>
        <v>1172.2576131687242</v>
      </c>
    </row>
    <row r="135" spans="1:6" x14ac:dyDescent="0.25">
      <c r="A135" t="s">
        <v>577</v>
      </c>
      <c r="F135" s="90">
        <f>+N43+N44+N51</f>
        <v>260.33920000000001</v>
      </c>
    </row>
    <row r="137" spans="1:6" x14ac:dyDescent="0.25">
      <c r="A137" s="533" t="s">
        <v>659</v>
      </c>
    </row>
    <row r="138" spans="1:6" x14ac:dyDescent="0.25">
      <c r="A138" t="s">
        <v>575</v>
      </c>
      <c r="F138" s="90">
        <f>+L46</f>
        <v>2.0512800000000002</v>
      </c>
    </row>
    <row r="139" spans="1:6" x14ac:dyDescent="0.25">
      <c r="A139" t="s">
        <v>576</v>
      </c>
      <c r="F139" s="90">
        <f>+M46</f>
        <v>15.384600000000001</v>
      </c>
    </row>
    <row r="140" spans="1:6" x14ac:dyDescent="0.25">
      <c r="A140" t="s">
        <v>625</v>
      </c>
      <c r="F140" s="90">
        <f>+V46</f>
        <v>1289.9234567901235</v>
      </c>
    </row>
    <row r="141" spans="1:6" x14ac:dyDescent="0.25">
      <c r="A141" t="s">
        <v>577</v>
      </c>
      <c r="F141" s="90">
        <f>+N46</f>
        <v>133.33320000000003</v>
      </c>
    </row>
    <row r="143" spans="1:6" x14ac:dyDescent="0.25">
      <c r="A143" s="533" t="s">
        <v>655</v>
      </c>
    </row>
    <row r="144" spans="1:6" x14ac:dyDescent="0.25">
      <c r="A144" t="s">
        <v>575</v>
      </c>
      <c r="F144" s="90">
        <f>+L48+L49</f>
        <v>6.2145515263985445</v>
      </c>
    </row>
    <row r="145" spans="1:6" x14ac:dyDescent="0.25">
      <c r="A145" t="s">
        <v>576</v>
      </c>
      <c r="F145" s="90">
        <f>+M48+M49</f>
        <v>29.638630356669985</v>
      </c>
    </row>
    <row r="146" spans="1:6" x14ac:dyDescent="0.25">
      <c r="A146" t="s">
        <v>625</v>
      </c>
      <c r="F146" s="90">
        <f>+V48+V49</f>
        <v>1915.9220619586081</v>
      </c>
    </row>
    <row r="147" spans="1:6" x14ac:dyDescent="0.25">
      <c r="A147" t="s">
        <v>577</v>
      </c>
      <c r="F147" s="90">
        <f>+N48+N49</f>
        <v>382.43394008606424</v>
      </c>
    </row>
    <row r="149" spans="1:6" x14ac:dyDescent="0.25">
      <c r="A149" s="533" t="s">
        <v>587</v>
      </c>
    </row>
    <row r="150" spans="1:6" x14ac:dyDescent="0.25">
      <c r="A150" t="s">
        <v>575</v>
      </c>
      <c r="F150" s="90">
        <f>SUM(L4:L7)</f>
        <v>18.249660000000002</v>
      </c>
    </row>
    <row r="151" spans="1:6" x14ac:dyDescent="0.25">
      <c r="A151" t="s">
        <v>576</v>
      </c>
      <c r="F151" s="90">
        <f>SUM(M4:M7)</f>
        <v>91.822275665024648</v>
      </c>
    </row>
    <row r="152" spans="1:6" x14ac:dyDescent="0.25">
      <c r="A152" t="s">
        <v>625</v>
      </c>
      <c r="F152" s="90">
        <f>SUM(V4:V7)</f>
        <v>5277.2192665571974</v>
      </c>
    </row>
    <row r="153" spans="1:6" x14ac:dyDescent="0.25">
      <c r="A153" t="s">
        <v>577</v>
      </c>
      <c r="F153" s="90">
        <f>SUM(N4:N7)</f>
        <v>553.22955665024642</v>
      </c>
    </row>
    <row r="155" spans="1:6" x14ac:dyDescent="0.25">
      <c r="A155" s="533" t="s">
        <v>654</v>
      </c>
    </row>
    <row r="156" spans="1:6" x14ac:dyDescent="0.25">
      <c r="A156" t="s">
        <v>575</v>
      </c>
      <c r="F156" s="90">
        <f>SUM(L13:L27)</f>
        <v>10.652700237169267</v>
      </c>
    </row>
    <row r="157" spans="1:6" x14ac:dyDescent="0.25">
      <c r="A157" t="s">
        <v>576</v>
      </c>
      <c r="F157" s="90">
        <f>+SUM(M13:M28)</f>
        <v>84.390751185846341</v>
      </c>
    </row>
    <row r="158" spans="1:6" x14ac:dyDescent="0.25">
      <c r="A158" t="s">
        <v>625</v>
      </c>
      <c r="F158" s="90">
        <f>SUM(V13:V27)</f>
        <v>2904.6640017345726</v>
      </c>
    </row>
    <row r="159" spans="1:6" x14ac:dyDescent="0.25">
      <c r="A159" t="s">
        <v>577</v>
      </c>
      <c r="F159" s="90">
        <f>SUM(N13:N28)</f>
        <v>805.61551541600215</v>
      </c>
    </row>
    <row r="160" spans="1:6" x14ac:dyDescent="0.25">
      <c r="A160" t="s">
        <v>293</v>
      </c>
      <c r="F160" s="90">
        <f>SUM(I13:I27)</f>
        <v>264</v>
      </c>
    </row>
    <row r="162" spans="1:6" x14ac:dyDescent="0.25">
      <c r="A162" s="533" t="s">
        <v>594</v>
      </c>
    </row>
    <row r="163" spans="1:6" x14ac:dyDescent="0.25">
      <c r="A163" t="s">
        <v>575</v>
      </c>
      <c r="F163" s="90">
        <f>+L30</f>
        <v>2.0415780000000003</v>
      </c>
    </row>
    <row r="164" spans="1:6" x14ac:dyDescent="0.25">
      <c r="A164" t="s">
        <v>576</v>
      </c>
      <c r="F164" s="90">
        <f>+M30+M31</f>
        <v>17.850096000000001</v>
      </c>
    </row>
    <row r="165" spans="1:6" x14ac:dyDescent="0.25">
      <c r="A165" t="s">
        <v>625</v>
      </c>
      <c r="F165" s="90">
        <f>+V30</f>
        <v>565.00222222222214</v>
      </c>
    </row>
    <row r="166" spans="1:6" x14ac:dyDescent="0.25">
      <c r="A166" t="s">
        <v>577</v>
      </c>
      <c r="F166" s="90">
        <f>+N30+N31</f>
        <v>153.99648000000002</v>
      </c>
    </row>
    <row r="167" spans="1:6" x14ac:dyDescent="0.25">
      <c r="A167" t="s">
        <v>293</v>
      </c>
      <c r="F167" s="90">
        <f>+I30</f>
        <v>38</v>
      </c>
    </row>
    <row r="169" spans="1:6" x14ac:dyDescent="0.25">
      <c r="A169" s="533" t="s">
        <v>596</v>
      </c>
    </row>
    <row r="170" spans="1:6" x14ac:dyDescent="0.25">
      <c r="A170" t="s">
        <v>575</v>
      </c>
      <c r="F170" s="90">
        <f>+L36</f>
        <v>13.404600000000002</v>
      </c>
    </row>
    <row r="171" spans="1:6" x14ac:dyDescent="0.25">
      <c r="A171" t="s">
        <v>576</v>
      </c>
      <c r="F171" s="90">
        <f>+M36</f>
        <v>34.851960000000005</v>
      </c>
    </row>
    <row r="172" spans="1:6" x14ac:dyDescent="0.25">
      <c r="A172" t="s">
        <v>625</v>
      </c>
      <c r="F172" s="90">
        <f>+V36</f>
        <v>1831.4555555555557</v>
      </c>
    </row>
    <row r="173" spans="1:6" x14ac:dyDescent="0.25">
      <c r="A173" t="s">
        <v>577</v>
      </c>
      <c r="F173" s="90">
        <f>+N36</f>
        <v>160.85520000000002</v>
      </c>
    </row>
    <row r="175" spans="1:6" x14ac:dyDescent="0.25">
      <c r="A175" s="533" t="str">
        <f>+B38</f>
        <v xml:space="preserve">DS-K-B </v>
      </c>
    </row>
    <row r="176" spans="1:6" x14ac:dyDescent="0.25">
      <c r="A176" t="s">
        <v>575</v>
      </c>
      <c r="F176" s="90">
        <f>+L38</f>
        <v>3.9782050000000009</v>
      </c>
    </row>
    <row r="177" spans="1:6" x14ac:dyDescent="0.25">
      <c r="A177" t="s">
        <v>576</v>
      </c>
      <c r="F177" s="90">
        <f>+M38</f>
        <v>11.138974000000003</v>
      </c>
    </row>
    <row r="178" spans="1:6" x14ac:dyDescent="0.25">
      <c r="A178" t="s">
        <v>625</v>
      </c>
      <c r="F178" s="90">
        <f>+V38</f>
        <v>617.38338991769558</v>
      </c>
    </row>
    <row r="179" spans="1:6" x14ac:dyDescent="0.25">
      <c r="A179" t="s">
        <v>577</v>
      </c>
      <c r="F179" s="90">
        <f>+N38</f>
        <v>63.65128</v>
      </c>
    </row>
    <row r="181" spans="1:6" x14ac:dyDescent="0.25">
      <c r="A181" s="533" t="str">
        <f>+B56</f>
        <v>DS-S-A</v>
      </c>
    </row>
    <row r="182" spans="1:6" x14ac:dyDescent="0.25">
      <c r="A182" t="s">
        <v>575</v>
      </c>
      <c r="F182" s="90">
        <f>+L56</f>
        <v>7.5499600000000022</v>
      </c>
    </row>
    <row r="183" spans="1:6" x14ac:dyDescent="0.25">
      <c r="A183" t="s">
        <v>576</v>
      </c>
      <c r="F183" s="90">
        <f>+M56</f>
        <v>37.749800000000008</v>
      </c>
    </row>
    <row r="184" spans="1:6" x14ac:dyDescent="0.25">
      <c r="A184" t="s">
        <v>625</v>
      </c>
      <c r="F184" s="90">
        <f>+V56</f>
        <v>2050.6560185185185</v>
      </c>
    </row>
    <row r="185" spans="1:6" x14ac:dyDescent="0.25">
      <c r="A185" t="s">
        <v>577</v>
      </c>
      <c r="F185" s="90">
        <f>+N56</f>
        <v>490.74739999999997</v>
      </c>
    </row>
    <row r="186" spans="1:6" x14ac:dyDescent="0.25">
      <c r="A186" t="s">
        <v>599</v>
      </c>
      <c r="F186" s="90">
        <f>+I56</f>
        <v>188.74900000000002</v>
      </c>
    </row>
    <row r="188" spans="1:6" x14ac:dyDescent="0.25">
      <c r="A188" s="533" t="str">
        <f>+A9</f>
        <v>Berm Sealing</v>
      </c>
    </row>
    <row r="189" spans="1:6" x14ac:dyDescent="0.25">
      <c r="A189" t="s">
        <v>576</v>
      </c>
      <c r="F189" s="90">
        <f>+M9+K93</f>
        <v>178.18302544776896</v>
      </c>
    </row>
    <row r="190" spans="1:6" x14ac:dyDescent="0.25">
      <c r="A190" t="s">
        <v>577</v>
      </c>
      <c r="F190" s="90">
        <f>+N9+N93</f>
        <v>69.708800000000011</v>
      </c>
    </row>
    <row r="191" spans="1:6" x14ac:dyDescent="0.25">
      <c r="F191" s="90"/>
    </row>
    <row r="192" spans="1:6" x14ac:dyDescent="0.25">
      <c r="F192" s="90"/>
    </row>
    <row r="193" spans="1:6" x14ac:dyDescent="0.25">
      <c r="A193" s="533" t="s">
        <v>626</v>
      </c>
      <c r="F193" s="90"/>
    </row>
    <row r="194" spans="1:6" x14ac:dyDescent="0.25">
      <c r="A194" t="s">
        <v>604</v>
      </c>
      <c r="F194" s="90">
        <f>+L66+L68</f>
        <v>1977.0575000000003</v>
      </c>
    </row>
    <row r="195" spans="1:6" x14ac:dyDescent="0.25">
      <c r="A195" t="s">
        <v>584</v>
      </c>
      <c r="F195" s="90">
        <f>+M66+M68</f>
        <v>2999.2185300000006</v>
      </c>
    </row>
    <row r="196" spans="1:6" x14ac:dyDescent="0.25">
      <c r="A196" t="s">
        <v>83</v>
      </c>
      <c r="F196" s="90">
        <f>+N66+N68</f>
        <v>414.77342499999997</v>
      </c>
    </row>
    <row r="197" spans="1:6" x14ac:dyDescent="0.25">
      <c r="F197" s="90"/>
    </row>
    <row r="200" spans="1:6" x14ac:dyDescent="0.25">
      <c r="A200" s="533" t="s">
        <v>627</v>
      </c>
    </row>
    <row r="201" spans="1:6" x14ac:dyDescent="0.25">
      <c r="A201" t="s">
        <v>604</v>
      </c>
      <c r="F201" s="90">
        <f>+L90</f>
        <v>147.94383999999999</v>
      </c>
    </row>
    <row r="202" spans="1:6" x14ac:dyDescent="0.25">
      <c r="A202" t="s">
        <v>584</v>
      </c>
      <c r="F202" s="90">
        <f>+M90</f>
        <v>409.15718249999998</v>
      </c>
    </row>
    <row r="205" spans="1:6" x14ac:dyDescent="0.25">
      <c r="A205" s="533" t="s">
        <v>628</v>
      </c>
    </row>
    <row r="206" spans="1:6" x14ac:dyDescent="0.25">
      <c r="A206" t="s">
        <v>608</v>
      </c>
      <c r="F206" s="90">
        <f>+K73</f>
        <v>3870</v>
      </c>
    </row>
    <row r="207" spans="1:6" x14ac:dyDescent="0.25">
      <c r="A207" t="s">
        <v>555</v>
      </c>
      <c r="F207" s="90">
        <f>+L73</f>
        <v>490</v>
      </c>
    </row>
    <row r="208" spans="1:6" x14ac:dyDescent="0.25">
      <c r="A208" t="s">
        <v>609</v>
      </c>
      <c r="F208" s="90">
        <f>+M73</f>
        <v>2601.3475750577368</v>
      </c>
    </row>
    <row r="209" spans="1:8" x14ac:dyDescent="0.25">
      <c r="A209" t="s">
        <v>610</v>
      </c>
      <c r="F209" s="90">
        <f>+N73</f>
        <v>2601.3475750577368</v>
      </c>
    </row>
    <row r="210" spans="1:8" x14ac:dyDescent="0.25">
      <c r="A210" t="s">
        <v>630</v>
      </c>
      <c r="F210" s="90">
        <f>+P73</f>
        <v>442.89300000000003</v>
      </c>
    </row>
    <row r="212" spans="1:8" x14ac:dyDescent="0.25">
      <c r="A212" s="533" t="s">
        <v>615</v>
      </c>
      <c r="F212" s="90">
        <f>+J82</f>
        <v>880</v>
      </c>
    </row>
    <row r="214" spans="1:8" x14ac:dyDescent="0.25">
      <c r="A214" s="533">
        <f>+A86</f>
        <v>0</v>
      </c>
      <c r="F214" s="90">
        <f>+J86</f>
        <v>0</v>
      </c>
    </row>
    <row r="216" spans="1:8" x14ac:dyDescent="0.25">
      <c r="A216" s="533" t="s">
        <v>554</v>
      </c>
      <c r="F216" s="90">
        <f>SUM(K60:K63)</f>
        <v>9900.6940603293733</v>
      </c>
    </row>
    <row r="218" spans="1:8" x14ac:dyDescent="0.25">
      <c r="A218" s="533" t="s">
        <v>346</v>
      </c>
      <c r="F218" s="90">
        <f>SUM(K60:K63)</f>
        <v>9900.6940603293733</v>
      </c>
      <c r="H218" s="90"/>
    </row>
    <row r="220" spans="1:8" x14ac:dyDescent="0.25">
      <c r="A220" s="533"/>
    </row>
    <row r="221" spans="1:8" x14ac:dyDescent="0.25">
      <c r="F221" s="90"/>
    </row>
    <row r="222" spans="1:8" x14ac:dyDescent="0.25">
      <c r="F222" s="90"/>
    </row>
    <row r="223" spans="1:8" x14ac:dyDescent="0.25">
      <c r="F223" s="90"/>
    </row>
    <row r="224" spans="1:8" x14ac:dyDescent="0.25">
      <c r="F224" s="90"/>
    </row>
  </sheetData>
  <mergeCells count="6">
    <mergeCell ref="O3:P3"/>
    <mergeCell ref="R3:S3"/>
    <mergeCell ref="O1:V1"/>
    <mergeCell ref="O2:Q2"/>
    <mergeCell ref="R2:T2"/>
    <mergeCell ref="U2:V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7"/>
  <dimension ref="A1:AV39"/>
  <sheetViews>
    <sheetView topLeftCell="F4" zoomScale="90" zoomScaleNormal="90" workbookViewId="0">
      <selection activeCell="P55" sqref="P55"/>
    </sheetView>
  </sheetViews>
  <sheetFormatPr defaultRowHeight="13.2" x14ac:dyDescent="0.25"/>
  <cols>
    <col min="1" max="1" width="15.109375" customWidth="1"/>
    <col min="2" max="2" width="11" customWidth="1"/>
    <col min="10" max="10" width="10.5546875" customWidth="1"/>
    <col min="18" max="18" width="8.5546875" customWidth="1"/>
    <col min="19" max="19" width="6.109375" customWidth="1"/>
    <col min="21" max="21" width="11.33203125" customWidth="1"/>
    <col min="22" max="22" width="13.33203125" customWidth="1"/>
    <col min="34" max="34" width="11.6640625" customWidth="1"/>
    <col min="36" max="36" width="13.88671875" customWidth="1"/>
    <col min="42" max="42" width="36" bestFit="1" customWidth="1"/>
    <col min="43" max="43" width="8.6640625"/>
    <col min="44" max="44" width="8.6640625" bestFit="1" customWidth="1"/>
    <col min="45" max="45" width="23.44140625" customWidth="1"/>
    <col min="46" max="46" width="10.33203125" customWidth="1"/>
    <col min="47" max="47" width="12.5546875" customWidth="1"/>
    <col min="48" max="48" width="24.109375" customWidth="1"/>
  </cols>
  <sheetData>
    <row r="1" spans="1:48" x14ac:dyDescent="0.25">
      <c r="AJ1" t="s">
        <v>672</v>
      </c>
    </row>
    <row r="2" spans="1:48" ht="14.4" x14ac:dyDescent="0.3">
      <c r="O2" s="1121" t="s">
        <v>566</v>
      </c>
      <c r="P2" s="1122"/>
      <c r="Q2" s="1122"/>
      <c r="R2" s="1122"/>
      <c r="S2" s="1122"/>
      <c r="T2" s="1122"/>
      <c r="U2" s="1122"/>
      <c r="V2" s="1123"/>
      <c r="AF2" t="s">
        <v>576</v>
      </c>
      <c r="AG2" t="s">
        <v>671</v>
      </c>
      <c r="AH2" s="5">
        <v>25925</v>
      </c>
      <c r="AJ2" s="4">
        <f>+AH2/4</f>
        <v>6481.25</v>
      </c>
      <c r="AL2" s="4">
        <f>1/0.25</f>
        <v>4</v>
      </c>
      <c r="AP2" s="1125" t="s">
        <v>674</v>
      </c>
      <c r="AQ2" s="1126"/>
      <c r="AR2" s="1127"/>
      <c r="AS2" s="605"/>
      <c r="AT2" s="1128" t="s">
        <v>675</v>
      </c>
      <c r="AU2" s="1126"/>
      <c r="AV2" s="1127"/>
    </row>
    <row r="3" spans="1:48" ht="14.4" x14ac:dyDescent="0.3">
      <c r="A3" t="s">
        <v>567</v>
      </c>
      <c r="O3" s="1119" t="s">
        <v>568</v>
      </c>
      <c r="P3" s="1124"/>
      <c r="Q3" s="1120"/>
      <c r="R3" s="1119" t="s">
        <v>50</v>
      </c>
      <c r="S3" s="1124"/>
      <c r="T3" s="1120"/>
      <c r="U3" s="1119" t="s">
        <v>528</v>
      </c>
      <c r="V3" s="1120"/>
      <c r="AF3" t="s">
        <v>673</v>
      </c>
      <c r="AJ3" s="4">
        <v>10430</v>
      </c>
      <c r="AP3" s="570" t="s">
        <v>676</v>
      </c>
      <c r="AQ3" s="570" t="s">
        <v>677</v>
      </c>
      <c r="AR3" s="570" t="s">
        <v>52</v>
      </c>
      <c r="AS3" s="571" t="s">
        <v>679</v>
      </c>
      <c r="AT3" s="570" t="s">
        <v>678</v>
      </c>
      <c r="AU3" s="570" t="s">
        <v>302</v>
      </c>
      <c r="AV3" s="572" t="s">
        <v>679</v>
      </c>
    </row>
    <row r="4" spans="1:48" ht="14.4" x14ac:dyDescent="0.3">
      <c r="C4" s="511" t="s">
        <v>38</v>
      </c>
      <c r="D4" s="511" t="s">
        <v>569</v>
      </c>
      <c r="E4" s="511" t="s">
        <v>403</v>
      </c>
      <c r="F4" s="511" t="s">
        <v>570</v>
      </c>
      <c r="G4" s="511" t="s">
        <v>571</v>
      </c>
      <c r="H4" s="511" t="s">
        <v>572</v>
      </c>
      <c r="J4" s="512" t="s">
        <v>573</v>
      </c>
      <c r="K4" s="512" t="s">
        <v>574</v>
      </c>
      <c r="L4" s="512" t="s">
        <v>575</v>
      </c>
      <c r="M4" s="512" t="s">
        <v>576</v>
      </c>
      <c r="N4" s="512" t="s">
        <v>577</v>
      </c>
      <c r="O4" s="1119" t="s">
        <v>578</v>
      </c>
      <c r="P4" s="1120"/>
      <c r="Q4" s="513" t="s">
        <v>38</v>
      </c>
      <c r="R4" s="1119" t="s">
        <v>578</v>
      </c>
      <c r="S4" s="1120"/>
      <c r="T4" s="513" t="s">
        <v>38</v>
      </c>
      <c r="U4" s="513" t="s">
        <v>38</v>
      </c>
      <c r="V4" s="513" t="s">
        <v>89</v>
      </c>
      <c r="X4" s="511" t="s">
        <v>582</v>
      </c>
      <c r="Y4" s="511" t="s">
        <v>583</v>
      </c>
      <c r="Z4" s="511" t="s">
        <v>584</v>
      </c>
      <c r="AA4" s="511" t="s">
        <v>585</v>
      </c>
      <c r="AP4" s="573" t="s">
        <v>294</v>
      </c>
      <c r="AQ4" s="574"/>
      <c r="AR4" s="575"/>
      <c r="AS4" s="576"/>
      <c r="AT4" s="575"/>
      <c r="AU4" s="575"/>
      <c r="AV4" s="576"/>
    </row>
    <row r="5" spans="1:48" ht="15" thickBot="1" x14ac:dyDescent="0.35">
      <c r="A5" t="s">
        <v>579</v>
      </c>
      <c r="B5" t="s">
        <v>643</v>
      </c>
      <c r="C5" s="523">
        <f>64*1.1/S16</f>
        <v>75.94390507011866</v>
      </c>
      <c r="D5" s="523">
        <v>0.5</v>
      </c>
      <c r="E5" s="523">
        <v>0.15</v>
      </c>
      <c r="F5" s="523">
        <v>0.3</v>
      </c>
      <c r="G5" s="523">
        <v>0.1</v>
      </c>
      <c r="H5" s="523">
        <v>0.05</v>
      </c>
      <c r="J5" s="514">
        <f>+C5*(D5+E5*2+1.5)</f>
        <v>174.67098166127292</v>
      </c>
      <c r="K5" s="514">
        <f>+C5*1.093</f>
        <v>83.006688241639694</v>
      </c>
      <c r="L5" s="515">
        <f>+(0.617+E5*2)*C5*H5</f>
        <v>3.482028047464941</v>
      </c>
      <c r="M5" s="515">
        <f>+C5*0.285</f>
        <v>21.644012944983817</v>
      </c>
      <c r="N5" s="515">
        <f>+C5*0.781*2</f>
        <v>118.62437971952535</v>
      </c>
      <c r="O5" s="529">
        <f>+(C5)/0.25+1</f>
        <v>304.77562028047464</v>
      </c>
      <c r="P5" s="518">
        <v>305</v>
      </c>
      <c r="Q5" s="519">
        <v>2.2469999999999999</v>
      </c>
      <c r="R5" s="529">
        <f>+Q5/0.25+1</f>
        <v>9.9879999999999995</v>
      </c>
      <c r="S5" s="518">
        <v>10</v>
      </c>
      <c r="T5" s="520">
        <f>+C5+C5/6*50*0.01</f>
        <v>82.272563825961882</v>
      </c>
      <c r="U5" s="521">
        <f>+Q5*P5+S5*T5</f>
        <v>1508.0606382596188</v>
      </c>
      <c r="V5" s="515">
        <f>(100/162)*U5</f>
        <v>930.90162855532026</v>
      </c>
      <c r="W5" t="s">
        <v>580</v>
      </c>
      <c r="X5" s="90">
        <f>3*C5/0.3*1</f>
        <v>759.4390507011866</v>
      </c>
      <c r="Y5" s="90">
        <f>0.141*0.466*C5</f>
        <v>4.989970226537217</v>
      </c>
      <c r="Z5" s="90">
        <f>0.781*C5</f>
        <v>59.312189859762675</v>
      </c>
      <c r="AA5" s="90">
        <f>2*C5/0.3*0.2</f>
        <v>101.25854009349155</v>
      </c>
      <c r="AJ5" s="606">
        <f>SUM(AJ2:AJ4)</f>
        <v>16911.25</v>
      </c>
      <c r="AP5" s="577"/>
      <c r="AQ5" s="578"/>
      <c r="AR5" s="579"/>
      <c r="AS5" s="580"/>
      <c r="AT5" s="579"/>
      <c r="AU5" s="579"/>
      <c r="AV5" s="580"/>
    </row>
    <row r="6" spans="1:48" ht="15.6" thickTop="1" x14ac:dyDescent="0.3">
      <c r="C6" s="4"/>
      <c r="D6" s="4"/>
      <c r="E6" s="4"/>
      <c r="F6" s="4"/>
      <c r="G6" s="4"/>
      <c r="H6" s="4"/>
      <c r="AP6" s="577" t="s">
        <v>295</v>
      </c>
      <c r="AQ6" s="578"/>
      <c r="AR6" s="579"/>
      <c r="AS6" s="580"/>
      <c r="AT6" s="579"/>
      <c r="AU6" s="579"/>
      <c r="AV6" s="580"/>
    </row>
    <row r="7" spans="1:48" ht="14.4" x14ac:dyDescent="0.3">
      <c r="B7" t="s">
        <v>581</v>
      </c>
      <c r="C7" s="4">
        <f>113.86*1.1</f>
        <v>125.24600000000001</v>
      </c>
      <c r="D7" s="4">
        <v>1</v>
      </c>
      <c r="E7" s="4">
        <v>0.15</v>
      </c>
      <c r="F7" s="4">
        <f>0.3-0.125</f>
        <v>0.17499999999999999</v>
      </c>
      <c r="G7" s="4">
        <v>0.125</v>
      </c>
      <c r="H7" s="4">
        <v>0.05</v>
      </c>
      <c r="J7" s="514">
        <f>+C7*(D7+1)</f>
        <v>250.49200000000002</v>
      </c>
      <c r="K7" s="514">
        <f>+C7*(D7)*(F7+G7+H7)</f>
        <v>43.836100000000002</v>
      </c>
      <c r="L7" s="515">
        <f>+(D7)*C7*H7</f>
        <v>6.2623000000000006</v>
      </c>
      <c r="M7" s="516">
        <f>+C7*((D7)*G7+(F7*E7))</f>
        <v>18.943457500000001</v>
      </c>
      <c r="N7" s="515">
        <f>+(F7+(F7+G7)+G7)*C7</f>
        <v>75.147599999999997</v>
      </c>
      <c r="O7" s="517">
        <f>+(C7)/0.25+1</f>
        <v>501.98400000000004</v>
      </c>
      <c r="P7" s="518">
        <v>502</v>
      </c>
      <c r="Q7" s="519">
        <f>+D7+F7</f>
        <v>1.175</v>
      </c>
      <c r="R7" s="517">
        <f>+Q7/0.25+1</f>
        <v>5.7</v>
      </c>
      <c r="S7" s="518">
        <v>6</v>
      </c>
      <c r="T7" s="520">
        <f>+C7+C7/6*50*0.01</f>
        <v>135.68316666666666</v>
      </c>
      <c r="U7" s="521">
        <f>+Q7*P7+S7*T7</f>
        <v>1403.9490000000001</v>
      </c>
      <c r="V7" s="515">
        <f>(100/162)*U7</f>
        <v>866.63518518518515</v>
      </c>
      <c r="W7" t="s">
        <v>580</v>
      </c>
      <c r="AP7" s="581" t="s">
        <v>208</v>
      </c>
      <c r="AQ7" s="578"/>
      <c r="AR7" s="579"/>
      <c r="AS7" s="580"/>
      <c r="AT7" s="579"/>
      <c r="AU7" s="579"/>
      <c r="AV7" s="580"/>
    </row>
    <row r="8" spans="1:48" ht="13.8" x14ac:dyDescent="0.3">
      <c r="C8" s="4"/>
      <c r="D8" s="4"/>
      <c r="E8" s="4"/>
      <c r="F8" s="4"/>
      <c r="G8" s="4"/>
      <c r="H8" s="4"/>
      <c r="AP8" s="577" t="s">
        <v>210</v>
      </c>
      <c r="AQ8" s="578" t="s">
        <v>209</v>
      </c>
      <c r="AR8" s="579">
        <v>4</v>
      </c>
      <c r="AS8" s="580" t="s">
        <v>680</v>
      </c>
      <c r="AT8" s="582">
        <v>2200</v>
      </c>
      <c r="AU8" s="583">
        <f>SUM(AT8*AR8)</f>
        <v>8800</v>
      </c>
      <c r="AV8" s="580" t="s">
        <v>681</v>
      </c>
    </row>
    <row r="9" spans="1:48" ht="14.4" x14ac:dyDescent="0.3">
      <c r="B9" t="s">
        <v>655</v>
      </c>
      <c r="C9">
        <f>57*1.1</f>
        <v>62.7</v>
      </c>
      <c r="D9">
        <v>0.45</v>
      </c>
      <c r="E9">
        <v>0.1</v>
      </c>
      <c r="F9">
        <v>0.45</v>
      </c>
      <c r="G9">
        <v>0.1</v>
      </c>
      <c r="H9">
        <v>0.05</v>
      </c>
      <c r="J9" s="514">
        <f>+C9*(D9+E9*2+1.5)</f>
        <v>134.80500000000001</v>
      </c>
      <c r="K9" s="514">
        <f>+C9*(D9+E9*2)*(F9+G9+H9)</f>
        <v>24.453000000000007</v>
      </c>
      <c r="L9" s="515">
        <f>+(D9+E9*2)*C9*H9</f>
        <v>2.0377500000000004</v>
      </c>
      <c r="M9" s="515">
        <f>+C9*((D9+E9*2)*G9+(F9*E9*2))</f>
        <v>9.7185000000000024</v>
      </c>
      <c r="N9" s="515">
        <f>+(F9+(F9+G9))*C9*2</f>
        <v>125.4</v>
      </c>
      <c r="O9" s="529">
        <f>+(C9)/0.2+1</f>
        <v>314.5</v>
      </c>
      <c r="P9" s="518">
        <v>262</v>
      </c>
      <c r="Q9" s="519">
        <f>+(F9+G9-0.08)*2+(D9+E9*2-0.08)</f>
        <v>1.5100000000000002</v>
      </c>
      <c r="R9" s="529">
        <f>+Q9/0.25+1</f>
        <v>7.0400000000000009</v>
      </c>
      <c r="S9" s="518">
        <v>8</v>
      </c>
      <c r="T9" s="520">
        <f>+C9+C9/6*50*0.01</f>
        <v>67.924999999999997</v>
      </c>
      <c r="U9" s="521">
        <f>+Q9*P9+S9*T9</f>
        <v>939.02</v>
      </c>
      <c r="V9" s="515">
        <f>(100/162)*U9</f>
        <v>579.64197530864192</v>
      </c>
      <c r="W9" t="s">
        <v>580</v>
      </c>
      <c r="AP9" s="577" t="s">
        <v>682</v>
      </c>
      <c r="AQ9" s="578" t="s">
        <v>209</v>
      </c>
      <c r="AR9" s="579">
        <v>4</v>
      </c>
      <c r="AS9" s="580" t="s">
        <v>683</v>
      </c>
      <c r="AT9" s="582">
        <v>1650</v>
      </c>
      <c r="AU9" s="583">
        <f>SUM(AT9*AR9)</f>
        <v>6600</v>
      </c>
      <c r="AV9" s="580" t="s">
        <v>684</v>
      </c>
    </row>
    <row r="10" spans="1:48" ht="13.8" x14ac:dyDescent="0.3">
      <c r="AP10" s="581" t="s">
        <v>216</v>
      </c>
      <c r="AQ10" s="578"/>
      <c r="AR10" s="579"/>
      <c r="AS10" s="580"/>
      <c r="AT10" s="583"/>
      <c r="AU10" s="583"/>
      <c r="AV10" s="580"/>
    </row>
    <row r="11" spans="1:48" ht="25.5" customHeight="1" x14ac:dyDescent="0.3">
      <c r="AP11" s="584" t="s">
        <v>685</v>
      </c>
      <c r="AQ11" s="585" t="s">
        <v>299</v>
      </c>
      <c r="AR11" s="586">
        <f>70*1.1</f>
        <v>77</v>
      </c>
      <c r="AS11" s="1129" t="s">
        <v>686</v>
      </c>
      <c r="AT11" s="1131">
        <f>35*183</f>
        <v>6405</v>
      </c>
      <c r="AU11" s="583">
        <f>SUM(AT11*AR11)</f>
        <v>493185</v>
      </c>
      <c r="AV11" s="1129" t="s">
        <v>687</v>
      </c>
    </row>
    <row r="12" spans="1:48" ht="13.8" x14ac:dyDescent="0.3">
      <c r="A12" t="s">
        <v>586</v>
      </c>
      <c r="C12">
        <v>40</v>
      </c>
      <c r="D12">
        <v>4</v>
      </c>
      <c r="E12" s="515">
        <f>D12*C12</f>
        <v>160</v>
      </c>
      <c r="AP12" s="584" t="s">
        <v>688</v>
      </c>
      <c r="AQ12" s="585" t="s">
        <v>299</v>
      </c>
      <c r="AR12" s="586">
        <f>70*1.1</f>
        <v>77</v>
      </c>
      <c r="AS12" s="1130"/>
      <c r="AT12" s="1132"/>
      <c r="AU12" s="587"/>
      <c r="AV12" s="1130"/>
    </row>
    <row r="13" spans="1:48" ht="27.6" x14ac:dyDescent="0.3">
      <c r="C13">
        <v>30</v>
      </c>
      <c r="D13">
        <v>2</v>
      </c>
      <c r="E13" s="515">
        <f>D13*C13</f>
        <v>60</v>
      </c>
      <c r="AP13" s="584" t="s">
        <v>689</v>
      </c>
      <c r="AQ13" s="585" t="s">
        <v>10</v>
      </c>
      <c r="AR13" s="586">
        <f>70*1.5</f>
        <v>105</v>
      </c>
      <c r="AS13" s="588" t="s">
        <v>690</v>
      </c>
      <c r="AT13" s="589"/>
      <c r="AU13" s="583">
        <f>AT13*AR13</f>
        <v>0</v>
      </c>
      <c r="AV13" s="588" t="s">
        <v>691</v>
      </c>
    </row>
    <row r="14" spans="1:48" ht="13.8" x14ac:dyDescent="0.3">
      <c r="AP14" s="581" t="s">
        <v>232</v>
      </c>
      <c r="AQ14" s="578"/>
      <c r="AR14" s="579"/>
      <c r="AS14" s="580"/>
      <c r="AT14" s="579"/>
      <c r="AU14" s="579"/>
      <c r="AV14" s="580"/>
    </row>
    <row r="15" spans="1:48" ht="13.8" x14ac:dyDescent="0.3">
      <c r="F15" s="515"/>
      <c r="J15" s="515"/>
      <c r="AP15" s="577" t="s">
        <v>692</v>
      </c>
      <c r="AQ15" s="578" t="s">
        <v>234</v>
      </c>
      <c r="AR15" s="590">
        <v>0.02</v>
      </c>
      <c r="AS15" s="591">
        <v>0.02</v>
      </c>
      <c r="AT15" s="579">
        <f>SUM(AU8:AU9)</f>
        <v>15400</v>
      </c>
      <c r="AU15" s="579">
        <f>SUM(AT15*AS15)</f>
        <v>308</v>
      </c>
      <c r="AV15" s="580"/>
    </row>
    <row r="16" spans="1:48" ht="13.8" x14ac:dyDescent="0.3">
      <c r="B16" s="545"/>
      <c r="F16" s="515"/>
      <c r="J16" s="515"/>
      <c r="R16" t="s">
        <v>602</v>
      </c>
      <c r="S16">
        <v>0.92700000000000005</v>
      </c>
      <c r="AP16" s="577" t="s">
        <v>693</v>
      </c>
      <c r="AQ16" s="578" t="s">
        <v>234</v>
      </c>
      <c r="AR16" s="590">
        <v>0.08</v>
      </c>
      <c r="AS16" s="591">
        <v>0.08</v>
      </c>
      <c r="AT16" s="579">
        <f>SUM(AU11:AU12)</f>
        <v>493185</v>
      </c>
      <c r="AU16" s="579">
        <f>AT16*AS16</f>
        <v>39454.800000000003</v>
      </c>
      <c r="AV16" s="580"/>
    </row>
    <row r="17" spans="1:48" ht="55.2" x14ac:dyDescent="0.3">
      <c r="B17" s="545"/>
      <c r="F17" s="515"/>
      <c r="J17" s="515"/>
      <c r="R17" t="s">
        <v>636</v>
      </c>
      <c r="S17">
        <v>0.93899999999999995</v>
      </c>
      <c r="AP17" s="592" t="s">
        <v>694</v>
      </c>
      <c r="AQ17" s="578" t="s">
        <v>234</v>
      </c>
      <c r="AR17" s="590"/>
      <c r="AS17" s="594" t="s">
        <v>695</v>
      </c>
      <c r="AT17" s="593">
        <v>0.09</v>
      </c>
      <c r="AU17" s="579">
        <f>SUM(AU11:AU12)*AT17</f>
        <v>44386.65</v>
      </c>
      <c r="AV17" s="594" t="s">
        <v>696</v>
      </c>
    </row>
    <row r="18" spans="1:48" ht="13.8" x14ac:dyDescent="0.3">
      <c r="AP18" s="577" t="s">
        <v>235</v>
      </c>
      <c r="AQ18" s="578"/>
      <c r="AR18" s="579"/>
      <c r="AS18" s="580"/>
      <c r="AT18" s="593">
        <v>0.25</v>
      </c>
      <c r="AU18" s="579">
        <f>SUM(AU8:AU16)*AT18</f>
        <v>137086.95000000001</v>
      </c>
      <c r="AV18" s="580"/>
    </row>
    <row r="19" spans="1:48" ht="14.4" x14ac:dyDescent="0.3">
      <c r="O19" s="1119" t="s">
        <v>568</v>
      </c>
      <c r="P19" s="1124"/>
      <c r="Q19" s="1120"/>
      <c r="R19" s="1119" t="s">
        <v>50</v>
      </c>
      <c r="S19" s="1124"/>
      <c r="T19" s="1120"/>
      <c r="U19" s="1119" t="s">
        <v>528</v>
      </c>
      <c r="V19" s="1120"/>
      <c r="AP19" s="577" t="s">
        <v>302</v>
      </c>
      <c r="AQ19" s="578"/>
      <c r="AR19" s="579"/>
      <c r="AS19" s="596"/>
      <c r="AT19" s="579"/>
      <c r="AU19" s="595">
        <f>SUM(AU7:AU18)</f>
        <v>729821.40000000014</v>
      </c>
      <c r="AV19" s="580"/>
    </row>
    <row r="20" spans="1:48" ht="14.4" x14ac:dyDescent="0.3">
      <c r="D20" t="s">
        <v>573</v>
      </c>
      <c r="E20" t="s">
        <v>574</v>
      </c>
      <c r="F20" t="s">
        <v>575</v>
      </c>
      <c r="G20" t="s">
        <v>576</v>
      </c>
      <c r="H20" t="s">
        <v>577</v>
      </c>
      <c r="J20" s="512" t="s">
        <v>573</v>
      </c>
      <c r="K20" s="512" t="s">
        <v>574</v>
      </c>
      <c r="L20" s="512" t="s">
        <v>575</v>
      </c>
      <c r="M20" s="512" t="s">
        <v>576</v>
      </c>
      <c r="N20" s="512" t="s">
        <v>577</v>
      </c>
      <c r="O20" s="1119" t="s">
        <v>578</v>
      </c>
      <c r="P20" s="1120"/>
      <c r="Q20" s="513" t="s">
        <v>38</v>
      </c>
      <c r="R20" s="1119" t="s">
        <v>578</v>
      </c>
      <c r="S20" s="1120"/>
      <c r="T20" s="513" t="s">
        <v>38</v>
      </c>
      <c r="U20" s="513" t="s">
        <v>38</v>
      </c>
      <c r="V20" s="513" t="s">
        <v>89</v>
      </c>
      <c r="X20" s="512" t="s">
        <v>669</v>
      </c>
      <c r="Y20" s="512" t="s">
        <v>584</v>
      </c>
      <c r="Z20" s="512" t="s">
        <v>668</v>
      </c>
      <c r="AA20" s="512" t="s">
        <v>195</v>
      </c>
      <c r="AP20" s="597" t="s">
        <v>303</v>
      </c>
      <c r="AQ20" s="578" t="s">
        <v>299</v>
      </c>
      <c r="AR20" s="598">
        <v>1</v>
      </c>
      <c r="AS20" s="599"/>
      <c r="AT20" s="598"/>
      <c r="AU20" s="598">
        <f>AU19/70</f>
        <v>10426.020000000002</v>
      </c>
      <c r="AV20" s="596"/>
    </row>
    <row r="21" spans="1:48" ht="14.4" x14ac:dyDescent="0.3">
      <c r="A21" t="s">
        <v>426</v>
      </c>
      <c r="C21">
        <v>12.045</v>
      </c>
      <c r="D21">
        <f>10.062+1</f>
        <v>11.061999999999999</v>
      </c>
      <c r="E21">
        <v>3.073</v>
      </c>
      <c r="F21">
        <f>2.15*0.05</f>
        <v>0.1075</v>
      </c>
      <c r="G21">
        <v>0.25</v>
      </c>
      <c r="H21">
        <v>2.5</v>
      </c>
      <c r="J21" s="515">
        <f>+C21*D21</f>
        <v>133.24178999999998</v>
      </c>
      <c r="K21" s="515">
        <f>+C21*E21</f>
        <v>37.014285000000001</v>
      </c>
      <c r="L21" s="515">
        <f>+C21*F21</f>
        <v>1.2948374999999999</v>
      </c>
      <c r="M21" s="515">
        <f>+C21*G21*G22</f>
        <v>6.4741874999999993</v>
      </c>
      <c r="N21" s="515">
        <f>+C21*H21*2+F22*2</f>
        <v>65.655000000000001</v>
      </c>
      <c r="O21" s="529">
        <f>+C21/0.25+1</f>
        <v>49.18</v>
      </c>
      <c r="P21" s="518">
        <v>50</v>
      </c>
      <c r="Q21" s="519">
        <f>2.15+0.25*2-0.05*2</f>
        <v>2.5499999999999998</v>
      </c>
      <c r="R21" s="529">
        <f>+Q21/0.25+1</f>
        <v>11.2</v>
      </c>
      <c r="S21" s="518">
        <v>12</v>
      </c>
      <c r="T21" s="520">
        <f>+C21</f>
        <v>12.045</v>
      </c>
      <c r="U21" s="521">
        <f>+Q21*P21+S21*T21</f>
        <v>272.03999999999996</v>
      </c>
      <c r="V21" s="515">
        <f>(144/162)*U21</f>
        <v>241.81333333333328</v>
      </c>
      <c r="X21" s="515">
        <f>0.69*C21</f>
        <v>8.3110499999999998</v>
      </c>
      <c r="Y21" s="515">
        <f>+C21*1.962</f>
        <v>23.632290000000001</v>
      </c>
      <c r="Z21" s="515">
        <f>10*(0.6+1.154)</f>
        <v>17.54</v>
      </c>
      <c r="AA21" s="515">
        <f>+AA23*C21</f>
        <v>56.888534999999997</v>
      </c>
      <c r="AP21" s="600" t="s">
        <v>238</v>
      </c>
      <c r="AQ21" s="601" t="s">
        <v>299</v>
      </c>
      <c r="AR21" s="602">
        <v>1</v>
      </c>
      <c r="AS21" s="603"/>
      <c r="AT21" s="602"/>
      <c r="AU21" s="602">
        <f>ROUNDUP(AU20,-1)</f>
        <v>10430</v>
      </c>
      <c r="AV21" s="604"/>
    </row>
    <row r="22" spans="1:48" x14ac:dyDescent="0.25">
      <c r="F22">
        <v>2.7149999999999999</v>
      </c>
      <c r="G22">
        <v>2.15</v>
      </c>
      <c r="L22" s="515">
        <f>+C21*F22</f>
        <v>32.702174999999997</v>
      </c>
    </row>
    <row r="23" spans="1:48" x14ac:dyDescent="0.25">
      <c r="Z23">
        <f>+C21/1.5+1</f>
        <v>9.0299999999999994</v>
      </c>
      <c r="AA23">
        <v>4.7229999999999999</v>
      </c>
    </row>
    <row r="25" spans="1:48" x14ac:dyDescent="0.25">
      <c r="D25" t="s">
        <v>666</v>
      </c>
      <c r="E25" s="511" t="s">
        <v>280</v>
      </c>
    </row>
    <row r="26" spans="1:48" x14ac:dyDescent="0.25">
      <c r="A26" t="s">
        <v>664</v>
      </c>
      <c r="C26" t="s">
        <v>665</v>
      </c>
      <c r="D26">
        <v>1.736</v>
      </c>
      <c r="E26">
        <f>56*1.1</f>
        <v>61.600000000000009</v>
      </c>
      <c r="H26" s="515">
        <f>+D26*E26</f>
        <v>106.93760000000002</v>
      </c>
    </row>
    <row r="27" spans="1:48" x14ac:dyDescent="0.25">
      <c r="C27" t="s">
        <v>667</v>
      </c>
      <c r="D27">
        <v>0.93500000000000005</v>
      </c>
      <c r="E27">
        <f>+E26</f>
        <v>61.600000000000009</v>
      </c>
      <c r="H27" s="515">
        <f>+D27*E27</f>
        <v>57.596000000000011</v>
      </c>
    </row>
    <row r="28" spans="1:48" x14ac:dyDescent="0.25">
      <c r="C28" t="s">
        <v>584</v>
      </c>
      <c r="D28">
        <v>5.0350000000000001</v>
      </c>
      <c r="E28">
        <f>+E27</f>
        <v>61.600000000000009</v>
      </c>
      <c r="H28" s="515">
        <f>+D28*E28</f>
        <v>310.15600000000006</v>
      </c>
    </row>
    <row r="29" spans="1:48" x14ac:dyDescent="0.25">
      <c r="C29" t="s">
        <v>574</v>
      </c>
      <c r="D29">
        <v>1.9219999999999999</v>
      </c>
      <c r="E29">
        <f>+E28</f>
        <v>61.600000000000009</v>
      </c>
      <c r="H29" s="515">
        <f>+D29*E29</f>
        <v>118.39520000000002</v>
      </c>
    </row>
    <row r="30" spans="1:48" x14ac:dyDescent="0.25">
      <c r="C30" t="s">
        <v>573</v>
      </c>
      <c r="D30">
        <v>7</v>
      </c>
      <c r="E30">
        <f>+E29</f>
        <v>61.600000000000009</v>
      </c>
      <c r="H30" s="515">
        <f>+D30*E30</f>
        <v>431.20000000000005</v>
      </c>
    </row>
    <row r="31" spans="1:48" x14ac:dyDescent="0.25">
      <c r="C31" t="s">
        <v>668</v>
      </c>
      <c r="E31" s="4">
        <f>+E26/1.5*3</f>
        <v>123.20000000000002</v>
      </c>
      <c r="H31" s="515">
        <f>+E31*0.45</f>
        <v>55.440000000000012</v>
      </c>
    </row>
    <row r="33" spans="1:13" x14ac:dyDescent="0.25">
      <c r="C33" t="s">
        <v>670</v>
      </c>
      <c r="M33" s="512" t="s">
        <v>576</v>
      </c>
    </row>
    <row r="34" spans="1:13" x14ac:dyDescent="0.25">
      <c r="A34" t="s">
        <v>620</v>
      </c>
      <c r="C34">
        <f>18.875*1.1</f>
        <v>20.762500000000003</v>
      </c>
      <c r="M34" s="515">
        <f>+C34*0.25</f>
        <v>5.1906250000000007</v>
      </c>
    </row>
    <row r="39" spans="1:13" x14ac:dyDescent="0.25">
      <c r="J39" s="569">
        <f>SUM(J5:J19)+H30+J21</f>
        <v>1124.409771661273</v>
      </c>
    </row>
  </sheetData>
  <mergeCells count="16">
    <mergeCell ref="AP2:AR2"/>
    <mergeCell ref="AT2:AV2"/>
    <mergeCell ref="AS11:AS12"/>
    <mergeCell ref="AT11:AT12"/>
    <mergeCell ref="AV11:AV12"/>
    <mergeCell ref="O2:V2"/>
    <mergeCell ref="O3:Q3"/>
    <mergeCell ref="R3:T3"/>
    <mergeCell ref="U3:V3"/>
    <mergeCell ref="O4:P4"/>
    <mergeCell ref="R4:S4"/>
    <mergeCell ref="O19:Q19"/>
    <mergeCell ref="R19:T19"/>
    <mergeCell ref="U19:V19"/>
    <mergeCell ref="O20:P20"/>
    <mergeCell ref="R20:S2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>
    <tabColor rgb="FFFF3399"/>
  </sheetPr>
  <dimension ref="A1:AI333"/>
  <sheetViews>
    <sheetView zoomScale="90" zoomScaleNormal="90" zoomScaleSheetLayoutView="100" workbookViewId="0">
      <pane ySplit="2" topLeftCell="A42" activePane="bottomLeft" state="frozen"/>
      <selection activeCell="P55" sqref="P55"/>
      <selection pane="bottomLeft" activeCell="P55" sqref="P55"/>
    </sheetView>
  </sheetViews>
  <sheetFormatPr defaultRowHeight="13.2" x14ac:dyDescent="0.25"/>
  <cols>
    <col min="1" max="1" width="26.5546875" customWidth="1"/>
    <col min="2" max="5" width="10.6640625" hidden="1" customWidth="1"/>
    <col min="6" max="7" width="12.6640625" hidden="1" customWidth="1"/>
    <col min="8" max="8" width="4.5546875" hidden="1" customWidth="1"/>
    <col min="9" max="10" width="12.6640625" hidden="1" customWidth="1"/>
    <col min="11" max="11" width="5.109375" style="240" customWidth="1"/>
    <col min="12" max="15" width="10.6640625" customWidth="1"/>
    <col min="16" max="16" width="12.6640625" customWidth="1"/>
    <col min="17" max="17" width="13.88671875" customWidth="1"/>
    <col min="18" max="18" width="4.5546875" bestFit="1" customWidth="1"/>
    <col min="19" max="20" width="12.6640625" customWidth="1"/>
    <col min="21" max="21" width="19.5546875" customWidth="1"/>
    <col min="22" max="22" width="11.44140625" customWidth="1"/>
    <col min="23" max="23" width="15" bestFit="1" customWidth="1"/>
    <col min="24" max="24" width="12.5546875" customWidth="1"/>
    <col min="25" max="25" width="12.6640625" customWidth="1"/>
    <col min="26" max="26" width="9.109375" style="497"/>
    <col min="27" max="27" width="11.88671875" style="498" customWidth="1"/>
    <col min="28" max="28" width="11.109375" customWidth="1"/>
    <col min="29" max="29" width="13.5546875" customWidth="1"/>
    <col min="30" max="30" width="9.6640625" customWidth="1"/>
    <col min="31" max="31" width="8.33203125" customWidth="1"/>
    <col min="32" max="32" width="9.88671875" customWidth="1"/>
    <col min="34" max="34" width="9.5546875" bestFit="1" customWidth="1"/>
    <col min="35" max="35" width="10.33203125" customWidth="1"/>
  </cols>
  <sheetData>
    <row r="1" spans="1:27" ht="20.100000000000001" customHeight="1" x14ac:dyDescent="0.25">
      <c r="A1" s="1135" t="s">
        <v>351</v>
      </c>
      <c r="B1" s="1136"/>
      <c r="C1" s="1136"/>
      <c r="D1" s="1136"/>
      <c r="E1" s="1136"/>
      <c r="F1" s="1136"/>
      <c r="G1" s="1136"/>
      <c r="H1" s="1136"/>
      <c r="I1" s="1136"/>
      <c r="J1" s="1137"/>
      <c r="K1" s="552"/>
      <c r="L1" s="546"/>
      <c r="M1" s="546"/>
      <c r="N1" s="546"/>
      <c r="O1" s="546"/>
      <c r="P1" s="546"/>
      <c r="Q1" s="546"/>
      <c r="R1" s="546"/>
      <c r="S1" s="546"/>
      <c r="T1" s="546"/>
    </row>
    <row r="2" spans="1:27" s="26" customFormat="1" ht="30" customHeight="1" x14ac:dyDescent="0.25">
      <c r="A2" s="537"/>
      <c r="B2" s="538" t="s">
        <v>48</v>
      </c>
      <c r="C2" s="538" t="s">
        <v>49</v>
      </c>
      <c r="D2" s="538" t="s">
        <v>50</v>
      </c>
      <c r="E2" s="538" t="s">
        <v>51</v>
      </c>
      <c r="F2" s="538" t="s">
        <v>52</v>
      </c>
      <c r="G2" s="538" t="s">
        <v>53</v>
      </c>
      <c r="H2" s="538" t="s">
        <v>54</v>
      </c>
      <c r="I2" s="538"/>
      <c r="J2" s="538" t="s">
        <v>56</v>
      </c>
      <c r="K2" s="553"/>
      <c r="L2" s="538" t="s">
        <v>48</v>
      </c>
      <c r="M2" s="538" t="s">
        <v>49</v>
      </c>
      <c r="N2" s="538" t="s">
        <v>50</v>
      </c>
      <c r="O2" s="538" t="s">
        <v>51</v>
      </c>
      <c r="P2" s="538" t="s">
        <v>52</v>
      </c>
      <c r="Q2" s="538" t="s">
        <v>53</v>
      </c>
      <c r="R2" s="538" t="s">
        <v>54</v>
      </c>
      <c r="S2" s="538"/>
      <c r="T2" s="538" t="s">
        <v>56</v>
      </c>
      <c r="Z2" s="499"/>
      <c r="AA2" s="500"/>
    </row>
    <row r="3" spans="1:27" ht="24.9" customHeight="1" x14ac:dyDescent="0.25">
      <c r="A3" s="1138" t="s">
        <v>57</v>
      </c>
      <c r="B3" s="1139"/>
      <c r="C3" s="1139"/>
      <c r="D3" s="1139"/>
      <c r="E3" s="1139"/>
      <c r="F3" s="1139"/>
      <c r="G3" s="1139"/>
      <c r="H3" s="1139"/>
      <c r="I3" s="1139"/>
      <c r="J3" s="1140"/>
      <c r="K3" s="554"/>
      <c r="L3" s="547"/>
      <c r="M3" s="547"/>
      <c r="N3" s="547"/>
      <c r="O3" s="547"/>
      <c r="P3" s="547"/>
      <c r="Q3" s="547"/>
      <c r="R3" s="547"/>
      <c r="S3" s="547"/>
      <c r="T3" s="547"/>
      <c r="Z3" s="497" t="s">
        <v>662</v>
      </c>
      <c r="AA3" s="498">
        <v>0.88290000000000002</v>
      </c>
    </row>
    <row r="4" spans="1:27" ht="15" x14ac:dyDescent="0.35">
      <c r="A4" s="1107" t="s">
        <v>58</v>
      </c>
      <c r="B4" s="1108"/>
      <c r="C4" s="1108"/>
      <c r="D4" s="1108"/>
      <c r="E4" s="1108"/>
      <c r="F4" s="1109"/>
      <c r="G4" s="27">
        <f>SUM(F5:F18)+J317</f>
        <v>17793.532861855765</v>
      </c>
      <c r="H4" s="28" t="s">
        <v>59</v>
      </c>
      <c r="I4" s="27"/>
      <c r="J4" s="540">
        <f>ROUND(G4,0)</f>
        <v>17794</v>
      </c>
      <c r="K4" s="555"/>
      <c r="L4" s="548"/>
      <c r="M4" s="548"/>
      <c r="N4" s="548"/>
      <c r="O4" s="548"/>
      <c r="P4" s="548"/>
      <c r="Q4" s="27">
        <f>SUM(P5:P16)+T317</f>
        <v>10111.837885364874</v>
      </c>
      <c r="R4" s="28" t="s">
        <v>59</v>
      </c>
      <c r="S4" s="27"/>
      <c r="T4" s="540">
        <f>ROUND(Q4,0)</f>
        <v>10112</v>
      </c>
      <c r="U4" t="s">
        <v>131</v>
      </c>
      <c r="V4" s="90">
        <f>F5+F6+F7</f>
        <v>9105.1215527666154</v>
      </c>
      <c r="W4" s="90">
        <f>V4*1.15</f>
        <v>10470.889785681607</v>
      </c>
      <c r="Z4" s="497" t="s">
        <v>637</v>
      </c>
      <c r="AA4" s="498">
        <v>0.5</v>
      </c>
    </row>
    <row r="5" spans="1:27" ht="15" x14ac:dyDescent="0.35">
      <c r="A5" s="30" t="s">
        <v>352</v>
      </c>
      <c r="B5" s="510">
        <f>206.08*1.1/0.866</f>
        <v>261.76443418013861</v>
      </c>
      <c r="C5" s="32"/>
      <c r="D5" s="33"/>
      <c r="E5" s="32"/>
      <c r="F5" s="31">
        <f>PRODUCT(B5:E5)</f>
        <v>261.76443418013861</v>
      </c>
      <c r="G5" s="32"/>
      <c r="H5" s="32" t="s">
        <v>59</v>
      </c>
      <c r="I5" s="32"/>
      <c r="J5" s="34"/>
      <c r="K5" s="556"/>
      <c r="L5" s="510">
        <f>208.08*1.1/AA3</f>
        <v>259.24566768603466</v>
      </c>
      <c r="M5" s="32"/>
      <c r="N5" s="33"/>
      <c r="O5" s="32"/>
      <c r="P5" s="31">
        <f>PRODUCT(L5:O5)</f>
        <v>259.24566768603466</v>
      </c>
      <c r="Q5" s="32"/>
      <c r="R5" s="32" t="s">
        <v>59</v>
      </c>
      <c r="S5" s="32"/>
      <c r="T5" s="34"/>
      <c r="V5" s="90">
        <f>G4-V4</f>
        <v>8688.4113090891497</v>
      </c>
      <c r="Z5" s="497" t="s">
        <v>537</v>
      </c>
      <c r="AA5" s="498">
        <v>0.70709999999999995</v>
      </c>
    </row>
    <row r="6" spans="1:27" ht="15" x14ac:dyDescent="0.35">
      <c r="A6" s="35"/>
      <c r="B6" s="36"/>
      <c r="C6" s="37"/>
      <c r="D6" s="38"/>
      <c r="E6" s="37"/>
      <c r="F6" s="36"/>
      <c r="G6" s="37"/>
      <c r="H6" s="37" t="s">
        <v>59</v>
      </c>
      <c r="I6" s="37"/>
      <c r="J6" s="39"/>
      <c r="K6" s="557"/>
      <c r="L6" s="36"/>
      <c r="M6" s="37"/>
      <c r="N6" s="38"/>
      <c r="O6" s="37"/>
      <c r="P6" s="36"/>
      <c r="Q6" s="37"/>
      <c r="R6" s="37" t="s">
        <v>59</v>
      </c>
      <c r="S6" s="37"/>
      <c r="T6" s="39"/>
      <c r="V6" s="90">
        <f>W4+V5</f>
        <v>19159.301094770759</v>
      </c>
      <c r="Z6" s="497" t="s">
        <v>633</v>
      </c>
      <c r="AA6" s="498">
        <v>0.80900000000000005</v>
      </c>
    </row>
    <row r="7" spans="1:27" ht="15" x14ac:dyDescent="0.35">
      <c r="A7" s="35" t="s">
        <v>557</v>
      </c>
      <c r="B7" s="36">
        <f>7098/AA7*1.1</f>
        <v>8843.3571185864766</v>
      </c>
      <c r="C7" s="37"/>
      <c r="D7" s="38"/>
      <c r="E7" s="37"/>
      <c r="F7" s="36">
        <f>PRODUCT(B7:E7)</f>
        <v>8843.3571185864766</v>
      </c>
      <c r="G7" s="37"/>
      <c r="H7" s="37" t="s">
        <v>59</v>
      </c>
      <c r="I7" s="37"/>
      <c r="J7" s="39"/>
      <c r="K7" s="557"/>
      <c r="L7" s="36">
        <f>94.403*69.42*1.1</f>
        <v>7208.8018860000011</v>
      </c>
      <c r="M7" s="37"/>
      <c r="N7" s="38"/>
      <c r="O7" s="37"/>
      <c r="P7" s="36">
        <f>PRODUCT(L7:O7)</f>
        <v>7208.8018860000011</v>
      </c>
      <c r="Q7" s="37"/>
      <c r="R7" s="37" t="s">
        <v>59</v>
      </c>
      <c r="S7" s="37"/>
      <c r="T7" s="39"/>
      <c r="Z7" s="497" t="s">
        <v>639</v>
      </c>
      <c r="AA7" s="498">
        <v>0.88290000000000002</v>
      </c>
    </row>
    <row r="8" spans="1:27" ht="15" x14ac:dyDescent="0.35">
      <c r="A8" s="35" t="s">
        <v>558</v>
      </c>
      <c r="B8" s="36">
        <f>(41.76+35.78+19.76+33.3+39.19+25.25)*1.1</f>
        <v>214.54400000000001</v>
      </c>
      <c r="C8" s="36">
        <f>0.65+0.5</f>
        <v>1.1499999999999999</v>
      </c>
      <c r="D8" s="38"/>
      <c r="E8" s="37"/>
      <c r="F8" s="36">
        <f>PRODUCT(B8:E8)</f>
        <v>246.72559999999999</v>
      </c>
      <c r="G8" s="37"/>
      <c r="H8" s="37" t="s">
        <v>59</v>
      </c>
      <c r="I8" s="37"/>
      <c r="J8" s="39"/>
      <c r="K8" s="557"/>
      <c r="L8" s="567">
        <f>(24.41+27.23+11.19+53+34.21+40.87)*1.1</f>
        <v>210.001</v>
      </c>
      <c r="M8" s="36">
        <f>0.3+0.2+0.5</f>
        <v>1</v>
      </c>
      <c r="N8" s="38"/>
      <c r="O8" s="37"/>
      <c r="P8" s="36">
        <f>PRODUCT(L8:O8)</f>
        <v>210.001</v>
      </c>
      <c r="Q8" s="37"/>
      <c r="R8" s="37" t="s">
        <v>59</v>
      </c>
      <c r="S8" s="37"/>
      <c r="T8" s="39"/>
      <c r="V8">
        <f>0.65/2</f>
        <v>0.32500000000000001</v>
      </c>
      <c r="Y8">
        <f>2*3.23</f>
        <v>6.46</v>
      </c>
    </row>
    <row r="9" spans="1:27" ht="15" x14ac:dyDescent="0.35">
      <c r="A9" s="566" t="s">
        <v>709</v>
      </c>
      <c r="B9" s="36">
        <f>+((40.77+42.76)/AA6+(23.69+21.93)/AA5+132/AA7)*1.1</f>
        <v>349.00280137571241</v>
      </c>
      <c r="C9" s="36">
        <f>0.65+0.5</f>
        <v>1.1499999999999999</v>
      </c>
      <c r="D9" s="38"/>
      <c r="E9" s="37"/>
      <c r="F9" s="36">
        <f>PRODUCT(B9:E9)</f>
        <v>401.35322158206924</v>
      </c>
      <c r="G9" s="37"/>
      <c r="H9" s="37" t="s">
        <v>59</v>
      </c>
      <c r="I9" s="37"/>
      <c r="J9" s="39"/>
      <c r="K9" s="557"/>
      <c r="L9" s="567">
        <f>((21.06+22.05)/AA4)+41.22/AA6+39.22/AA6+95.75/AA7</f>
        <v>294.10082480744921</v>
      </c>
      <c r="M9" s="36">
        <f>0.6+0.2+0.5</f>
        <v>1.3</v>
      </c>
      <c r="N9" s="38"/>
      <c r="O9" s="37"/>
      <c r="P9" s="36">
        <f>PRODUCT(L9:O9)</f>
        <v>382.33107224968398</v>
      </c>
      <c r="Q9" s="37"/>
      <c r="R9" s="37" t="s">
        <v>59</v>
      </c>
      <c r="S9" s="37"/>
      <c r="T9" s="39"/>
      <c r="V9">
        <v>1</v>
      </c>
    </row>
    <row r="10" spans="1:27" ht="15" x14ac:dyDescent="0.35">
      <c r="A10" s="35" t="s">
        <v>560</v>
      </c>
      <c r="B10" s="36">
        <f>+(6.5+14.74+3.855)*1.1/AA10</f>
        <v>55.20900000000001</v>
      </c>
      <c r="C10" s="36">
        <f>0.45+0.125*2+0.5</f>
        <v>1.2</v>
      </c>
      <c r="D10" s="38"/>
      <c r="E10" s="37"/>
      <c r="F10" s="36">
        <f>PRODUCT(B10:E10)</f>
        <v>66.250800000000012</v>
      </c>
      <c r="G10" s="37"/>
      <c r="H10" s="37" t="s">
        <v>59</v>
      </c>
      <c r="I10" s="37"/>
      <c r="J10" s="39"/>
      <c r="K10" s="557"/>
      <c r="L10" s="567">
        <f>+(9.5+17.74+6.86)*1.1/AA10</f>
        <v>75.02000000000001</v>
      </c>
      <c r="M10" s="36">
        <f>0.45+0.125*2+0.5</f>
        <v>1.2</v>
      </c>
      <c r="N10" s="38"/>
      <c r="O10" s="37"/>
      <c r="P10" s="36">
        <f>PRODUCT(L10:O10)</f>
        <v>90.024000000000015</v>
      </c>
      <c r="Q10" s="37"/>
      <c r="R10" s="37" t="s">
        <v>59</v>
      </c>
      <c r="S10" s="37"/>
      <c r="T10" s="39"/>
      <c r="V10" s="4">
        <f>V9-V8</f>
        <v>0.67500000000000004</v>
      </c>
      <c r="Z10" s="497" t="s">
        <v>646</v>
      </c>
      <c r="AA10" s="498">
        <v>0.5</v>
      </c>
    </row>
    <row r="11" spans="1:27" ht="15" x14ac:dyDescent="0.35">
      <c r="A11" s="35"/>
      <c r="B11" s="36"/>
      <c r="C11" s="36"/>
      <c r="D11" s="38"/>
      <c r="E11" s="37"/>
      <c r="F11" s="36"/>
      <c r="G11" s="37"/>
      <c r="H11" s="37"/>
      <c r="I11" s="37"/>
      <c r="J11" s="39"/>
      <c r="K11" s="557"/>
      <c r="L11" s="36"/>
      <c r="M11" s="36"/>
      <c r="N11" s="38"/>
      <c r="O11" s="37"/>
      <c r="P11" s="36"/>
      <c r="Q11" s="37"/>
      <c r="R11" s="37"/>
      <c r="S11" s="37"/>
      <c r="T11" s="39"/>
      <c r="V11" s="4"/>
    </row>
    <row r="12" spans="1:27" ht="15" x14ac:dyDescent="0.35">
      <c r="A12" s="35" t="s">
        <v>640</v>
      </c>
      <c r="B12" s="36">
        <f>+(106+137)*1.1</f>
        <v>267.3</v>
      </c>
      <c r="C12" s="36">
        <f>1+0.15+0.5</f>
        <v>1.65</v>
      </c>
      <c r="D12" s="38"/>
      <c r="E12" s="37"/>
      <c r="F12" s="36">
        <f t="shared" ref="F12:F18" si="0">PRODUCT(B12:E12)</f>
        <v>441.04500000000002</v>
      </c>
      <c r="G12" s="37"/>
      <c r="H12" s="37" t="s">
        <v>59</v>
      </c>
      <c r="I12" s="37"/>
      <c r="J12" s="39"/>
      <c r="K12" s="557"/>
      <c r="L12" s="36">
        <f>+(106+137)*1.1</f>
        <v>267.3</v>
      </c>
      <c r="M12" s="36">
        <f>1+0.15+0.5</f>
        <v>1.65</v>
      </c>
      <c r="N12" s="38"/>
      <c r="O12" s="37"/>
      <c r="P12" s="36">
        <f>PRODUCT(L12:O12)</f>
        <v>441.04500000000002</v>
      </c>
      <c r="Q12" s="37"/>
      <c r="R12" s="37" t="s">
        <v>59</v>
      </c>
      <c r="S12" s="37"/>
      <c r="T12" s="39"/>
    </row>
    <row r="13" spans="1:27" ht="15" x14ac:dyDescent="0.35">
      <c r="A13" s="35" t="s">
        <v>64</v>
      </c>
      <c r="B13" s="36">
        <f>110.431/AA7*1.1</f>
        <v>137.58534375353949</v>
      </c>
      <c r="C13" s="36">
        <v>2</v>
      </c>
      <c r="D13" s="38"/>
      <c r="E13" s="37"/>
      <c r="F13" s="36">
        <f t="shared" si="0"/>
        <v>275.17068750707898</v>
      </c>
      <c r="G13" s="37"/>
      <c r="H13" s="37" t="s">
        <v>59</v>
      </c>
      <c r="I13" s="37"/>
      <c r="J13" s="39"/>
      <c r="K13" s="557"/>
      <c r="L13" s="36">
        <f>102.15/AA7*1.1</f>
        <v>127.26809378185526</v>
      </c>
      <c r="M13" s="36">
        <f>1+0.1*2+0.5</f>
        <v>1.7</v>
      </c>
      <c r="N13" s="38"/>
      <c r="O13" s="37"/>
      <c r="P13" s="36">
        <f>PRODUCT(L13:O13)</f>
        <v>216.35575942915392</v>
      </c>
      <c r="Q13" s="37"/>
      <c r="R13" s="37" t="s">
        <v>59</v>
      </c>
      <c r="S13" s="37"/>
      <c r="T13" s="39"/>
    </row>
    <row r="14" spans="1:27" ht="15" x14ac:dyDescent="0.35">
      <c r="A14" s="35" t="s">
        <v>559</v>
      </c>
      <c r="B14" s="36">
        <f>+(84.31+75.03+56.89)*1.1</f>
        <v>237.85300000000004</v>
      </c>
      <c r="C14" s="36">
        <v>2</v>
      </c>
      <c r="D14" s="38"/>
      <c r="E14" s="37"/>
      <c r="F14" s="36">
        <f t="shared" si="0"/>
        <v>475.70600000000007</v>
      </c>
      <c r="G14" s="37"/>
      <c r="H14" s="37" t="s">
        <v>59</v>
      </c>
      <c r="I14" s="37"/>
      <c r="J14" s="39"/>
      <c r="K14" s="557"/>
      <c r="L14" s="36">
        <f>+(86.13+78.26+69.42+71.55)*1.1</f>
        <v>335.89600000000002</v>
      </c>
      <c r="M14" s="36">
        <f>0.3+0.1*2+1.5</f>
        <v>2</v>
      </c>
      <c r="N14" s="38"/>
      <c r="O14" s="37"/>
      <c r="P14" s="36">
        <f>PRODUCT(L14:O14)</f>
        <v>671.79200000000003</v>
      </c>
      <c r="Q14" s="37"/>
      <c r="R14" s="37" t="s">
        <v>59</v>
      </c>
      <c r="S14" s="37"/>
      <c r="T14" s="39"/>
    </row>
    <row r="15" spans="1:27" ht="15" x14ac:dyDescent="0.35">
      <c r="A15" s="35" t="s">
        <v>663</v>
      </c>
      <c r="B15" s="36">
        <f>+(28.52+28.24+42.48+43.41)*1.1</f>
        <v>156.91499999999999</v>
      </c>
      <c r="C15" s="36">
        <v>1</v>
      </c>
      <c r="D15" s="38"/>
      <c r="E15" s="37">
        <v>40</v>
      </c>
      <c r="F15" s="36">
        <f t="shared" si="0"/>
        <v>6276.5999999999995</v>
      </c>
      <c r="G15" s="37"/>
      <c r="H15" s="37" t="s">
        <v>59</v>
      </c>
      <c r="I15" s="37"/>
      <c r="J15" s="39"/>
      <c r="K15" s="557"/>
      <c r="L15" s="36">
        <f>+(28.52+28.24+42.48+43.41)*1.1</f>
        <v>156.91499999999999</v>
      </c>
      <c r="M15" s="36">
        <f>1+0.1*2+0.5</f>
        <v>1.7</v>
      </c>
      <c r="N15" s="38"/>
      <c r="O15" s="37"/>
      <c r="P15" s="36">
        <f>PRODUCT(L15:O15)</f>
        <v>266.75549999999998</v>
      </c>
      <c r="Q15" s="37"/>
      <c r="R15" s="37" t="s">
        <v>59</v>
      </c>
      <c r="S15" s="37"/>
      <c r="T15" s="39"/>
    </row>
    <row r="16" spans="1:27" ht="15" x14ac:dyDescent="0.35">
      <c r="A16" s="41" t="s">
        <v>355</v>
      </c>
      <c r="B16" s="42">
        <f>89.8*1.1</f>
        <v>98.78</v>
      </c>
      <c r="C16" s="42">
        <v>4.2</v>
      </c>
      <c r="D16" s="43"/>
      <c r="E16" s="44"/>
      <c r="F16" s="36">
        <f t="shared" si="0"/>
        <v>414.87600000000003</v>
      </c>
      <c r="G16" s="44"/>
      <c r="H16" s="37" t="s">
        <v>59</v>
      </c>
      <c r="I16" s="44"/>
      <c r="J16" s="45"/>
      <c r="K16" s="558"/>
      <c r="L16" s="42">
        <f>89.8*1.1</f>
        <v>98.78</v>
      </c>
      <c r="M16" s="42">
        <f>3.2+0.5</f>
        <v>3.7</v>
      </c>
      <c r="N16" s="43"/>
      <c r="O16" s="44"/>
      <c r="P16" s="36">
        <f>PRODUCT(L16:O16)</f>
        <v>365.48600000000005</v>
      </c>
      <c r="Q16" s="44"/>
      <c r="R16" s="37" t="s">
        <v>59</v>
      </c>
      <c r="S16" s="44"/>
      <c r="T16" s="45"/>
      <c r="V16">
        <v>28.51</v>
      </c>
    </row>
    <row r="17" spans="1:27" ht="15" x14ac:dyDescent="0.35">
      <c r="A17" s="41"/>
      <c r="B17" s="42">
        <f>+C314</f>
        <v>0</v>
      </c>
      <c r="C17" s="42">
        <v>3.9569999999999999</v>
      </c>
      <c r="D17" s="43"/>
      <c r="E17" s="44"/>
      <c r="F17" s="36">
        <f t="shared" si="0"/>
        <v>0</v>
      </c>
      <c r="G17" s="44"/>
      <c r="H17" s="37" t="s">
        <v>59</v>
      </c>
      <c r="I17" s="44"/>
      <c r="J17" s="45"/>
      <c r="K17" s="558"/>
      <c r="L17" s="42"/>
      <c r="M17" s="42"/>
      <c r="N17" s="43"/>
      <c r="O17" s="44"/>
      <c r="P17" s="36"/>
      <c r="Q17" s="44"/>
      <c r="R17" s="37"/>
      <c r="S17" s="44"/>
      <c r="T17" s="45"/>
      <c r="V17" s="219">
        <f>SUM(V16:V16)</f>
        <v>28.51</v>
      </c>
    </row>
    <row r="18" spans="1:27" ht="15" x14ac:dyDescent="0.35">
      <c r="A18" s="41"/>
      <c r="B18" s="42">
        <f>41.22*1.1</f>
        <v>45.342000000000006</v>
      </c>
      <c r="C18" s="42">
        <v>2</v>
      </c>
      <c r="D18" s="43"/>
      <c r="E18" s="44"/>
      <c r="F18" s="36">
        <f t="shared" si="0"/>
        <v>90.684000000000012</v>
      </c>
      <c r="G18" s="44"/>
      <c r="H18" s="37" t="s">
        <v>68</v>
      </c>
      <c r="I18" s="44"/>
      <c r="J18" s="45"/>
      <c r="K18" s="558"/>
      <c r="L18" s="42"/>
      <c r="M18" s="42"/>
      <c r="N18" s="43"/>
      <c r="O18" s="44"/>
      <c r="P18" s="36"/>
      <c r="Q18" s="44"/>
      <c r="R18" s="37" t="s">
        <v>68</v>
      </c>
      <c r="S18" s="44"/>
      <c r="T18" s="45"/>
      <c r="V18" s="219"/>
    </row>
    <row r="19" spans="1:27" ht="15" x14ac:dyDescent="0.35">
      <c r="A19" s="41"/>
      <c r="B19" s="42"/>
      <c r="C19" s="44"/>
      <c r="D19" s="43"/>
      <c r="E19" s="44"/>
      <c r="F19" s="42"/>
      <c r="G19" s="44"/>
      <c r="H19" s="44"/>
      <c r="I19" s="44"/>
      <c r="J19" s="45"/>
      <c r="K19" s="558"/>
      <c r="L19" s="42"/>
      <c r="M19" s="44"/>
      <c r="N19" s="43"/>
      <c r="O19" s="44"/>
      <c r="P19" s="42"/>
      <c r="Q19" s="44"/>
      <c r="R19" s="44"/>
      <c r="S19" s="44"/>
      <c r="T19" s="45"/>
    </row>
    <row r="20" spans="1:27" ht="24.9" customHeight="1" x14ac:dyDescent="0.25">
      <c r="A20" s="1138" t="s">
        <v>66</v>
      </c>
      <c r="B20" s="1139"/>
      <c r="C20" s="1139"/>
      <c r="D20" s="1139"/>
      <c r="E20" s="1139"/>
      <c r="F20" s="1139"/>
      <c r="G20" s="1139"/>
      <c r="H20" s="1139"/>
      <c r="I20" s="1139"/>
      <c r="J20" s="1140"/>
      <c r="K20" s="554"/>
      <c r="L20" s="547"/>
      <c r="M20" s="547"/>
      <c r="N20" s="547"/>
      <c r="O20" s="547"/>
      <c r="P20" s="547"/>
      <c r="Q20" s="547"/>
      <c r="R20" s="547"/>
      <c r="S20" s="547"/>
      <c r="T20" s="547"/>
    </row>
    <row r="21" spans="1:27" ht="15" x14ac:dyDescent="0.35">
      <c r="A21" s="1116" t="s">
        <v>70</v>
      </c>
      <c r="B21" s="1117"/>
      <c r="C21" s="1117"/>
      <c r="D21" s="1117"/>
      <c r="E21" s="1117"/>
      <c r="F21" s="1118"/>
      <c r="G21" s="46">
        <f>SUM(F22)</f>
        <v>4237.9144751886579</v>
      </c>
      <c r="H21" s="47" t="s">
        <v>68</v>
      </c>
      <c r="I21" s="541">
        <f>G21*1.15</f>
        <v>4873.6016464669565</v>
      </c>
      <c r="J21" s="46">
        <f>ROUND(I21,0)</f>
        <v>4874</v>
      </c>
      <c r="K21" s="559"/>
      <c r="L21" s="549"/>
      <c r="M21" s="549"/>
      <c r="N21" s="549"/>
      <c r="O21" s="549"/>
      <c r="P21" s="549"/>
      <c r="Q21" s="46">
        <f>SUM(P22)*1.3</f>
        <v>4910.2143999999998</v>
      </c>
      <c r="R21" s="47" t="s">
        <v>68</v>
      </c>
      <c r="S21" s="541"/>
      <c r="T21" s="46">
        <f>ROUND(S21,0)</f>
        <v>0</v>
      </c>
    </row>
    <row r="22" spans="1:27" ht="15" x14ac:dyDescent="0.35">
      <c r="A22" s="568" t="s">
        <v>710</v>
      </c>
      <c r="B22" s="36">
        <f>1732/AA22</f>
        <v>1980.3338669105876</v>
      </c>
      <c r="C22" s="38">
        <v>2.14</v>
      </c>
      <c r="D22" s="37"/>
      <c r="E22" s="37"/>
      <c r="F22" s="36">
        <f>+B22*C22</f>
        <v>4237.9144751886579</v>
      </c>
      <c r="G22" s="39"/>
      <c r="H22" s="37"/>
      <c r="I22" s="39"/>
      <c r="J22" s="39"/>
      <c r="K22" s="557"/>
      <c r="L22" s="36">
        <f>84.31*44.8</f>
        <v>3777.0879999999997</v>
      </c>
      <c r="M22" s="37"/>
      <c r="N22" s="37"/>
      <c r="O22" s="37"/>
      <c r="P22" s="36">
        <f>+L22</f>
        <v>3777.0879999999997</v>
      </c>
      <c r="Q22" s="39"/>
      <c r="R22" s="37"/>
      <c r="S22" s="39"/>
      <c r="T22" s="39"/>
      <c r="Z22" s="497" t="s">
        <v>641</v>
      </c>
      <c r="AA22" s="498">
        <v>0.87460000000000004</v>
      </c>
    </row>
    <row r="23" spans="1:27" ht="15" x14ac:dyDescent="0.35">
      <c r="A23" s="55"/>
      <c r="B23" s="49"/>
      <c r="C23" s="38"/>
      <c r="D23" s="37"/>
      <c r="E23" s="37"/>
      <c r="F23" s="36"/>
      <c r="G23" s="39"/>
      <c r="H23" s="37"/>
      <c r="I23" s="39"/>
      <c r="J23" s="39"/>
      <c r="K23" s="557"/>
      <c r="L23" s="36"/>
      <c r="M23" s="38"/>
      <c r="N23" s="37"/>
      <c r="O23" s="37"/>
      <c r="P23" s="36"/>
      <c r="Q23" s="39"/>
      <c r="R23" s="37"/>
      <c r="S23" s="39"/>
      <c r="T23" s="39"/>
    </row>
    <row r="24" spans="1:27" ht="15" x14ac:dyDescent="0.35">
      <c r="A24" s="221"/>
      <c r="B24" s="222"/>
      <c r="C24" s="223"/>
      <c r="D24" s="224"/>
      <c r="E24" s="224"/>
      <c r="F24" s="225"/>
      <c r="G24" s="226"/>
      <c r="H24" s="224"/>
      <c r="I24" s="226"/>
      <c r="J24" s="226"/>
      <c r="K24" s="560"/>
      <c r="L24" s="222"/>
      <c r="M24" s="223"/>
      <c r="N24" s="224"/>
      <c r="O24" s="224"/>
      <c r="P24" s="225"/>
      <c r="Q24" s="226"/>
      <c r="R24" s="224"/>
      <c r="S24" s="226"/>
      <c r="T24" s="226"/>
    </row>
    <row r="25" spans="1:27" ht="29.25" customHeight="1" x14ac:dyDescent="0.35">
      <c r="A25" s="227" t="s">
        <v>350</v>
      </c>
      <c r="B25" s="228"/>
      <c r="C25" s="229"/>
      <c r="D25" s="230"/>
      <c r="E25" s="230"/>
      <c r="F25" s="231"/>
      <c r="G25" s="232"/>
      <c r="H25" s="230"/>
      <c r="I25" s="232"/>
      <c r="J25" s="232"/>
      <c r="K25" s="561"/>
      <c r="L25" s="228"/>
      <c r="M25" s="229"/>
      <c r="N25" s="230"/>
      <c r="O25" s="230"/>
      <c r="P25" s="231"/>
      <c r="Q25" s="232"/>
      <c r="R25" s="230"/>
      <c r="S25" s="232"/>
      <c r="T25" s="232"/>
    </row>
    <row r="26" spans="1:27" ht="15" x14ac:dyDescent="0.35">
      <c r="A26" s="51"/>
      <c r="B26" s="220"/>
      <c r="C26" s="43"/>
      <c r="D26" s="44"/>
      <c r="E26" s="44"/>
      <c r="F26" s="42"/>
      <c r="G26" s="45"/>
      <c r="H26" s="44"/>
      <c r="I26" s="45"/>
      <c r="J26" s="45"/>
      <c r="K26" s="558"/>
      <c r="L26" s="220"/>
      <c r="M26" s="43"/>
      <c r="N26" s="44"/>
      <c r="O26" s="44"/>
      <c r="P26" s="42"/>
      <c r="Q26" s="45"/>
      <c r="R26" s="44"/>
      <c r="S26" s="45"/>
      <c r="T26" s="45"/>
    </row>
    <row r="27" spans="1:27" ht="15" x14ac:dyDescent="0.35">
      <c r="A27" s="51"/>
      <c r="B27" s="220"/>
      <c r="C27" s="43"/>
      <c r="D27" s="44"/>
      <c r="E27" s="44"/>
      <c r="F27" s="42"/>
      <c r="G27" s="45"/>
      <c r="H27" s="44"/>
      <c r="I27" s="45"/>
      <c r="J27" s="45"/>
      <c r="K27" s="558"/>
      <c r="L27" s="220"/>
      <c r="M27" s="43"/>
      <c r="N27" s="44"/>
      <c r="O27" s="44"/>
      <c r="P27" s="42"/>
      <c r="Q27" s="45"/>
      <c r="R27" s="44"/>
      <c r="S27" s="45"/>
      <c r="T27" s="45"/>
    </row>
    <row r="28" spans="1:27" ht="15" x14ac:dyDescent="0.35">
      <c r="A28" s="51"/>
      <c r="B28" s="52"/>
      <c r="C28" s="43"/>
      <c r="D28" s="44"/>
      <c r="E28" s="44"/>
      <c r="F28" s="42"/>
      <c r="G28" s="45"/>
      <c r="H28" s="44"/>
      <c r="I28" s="45"/>
      <c r="J28" s="45"/>
      <c r="K28" s="558"/>
      <c r="L28" s="52"/>
      <c r="M28" s="43"/>
      <c r="N28" s="44"/>
      <c r="O28" s="44"/>
      <c r="P28" s="42"/>
      <c r="Q28" s="45"/>
      <c r="R28" s="44"/>
      <c r="S28" s="45"/>
      <c r="T28" s="45"/>
    </row>
    <row r="29" spans="1:27" ht="15" x14ac:dyDescent="0.35">
      <c r="A29" s="1107"/>
      <c r="B29" s="1108"/>
      <c r="C29" s="1108"/>
      <c r="D29" s="1108"/>
      <c r="E29" s="1108"/>
      <c r="F29" s="1109"/>
      <c r="G29" s="27"/>
      <c r="H29" s="28"/>
      <c r="I29" s="27"/>
      <c r="J29" s="27"/>
      <c r="K29" s="555"/>
      <c r="L29" s="550"/>
      <c r="M29" s="550"/>
      <c r="N29" s="550"/>
      <c r="O29" s="550"/>
      <c r="P29" s="550"/>
      <c r="Q29" s="27"/>
      <c r="R29" s="28"/>
      <c r="S29" s="27"/>
      <c r="T29" s="27"/>
    </row>
    <row r="30" spans="1:27" ht="15" x14ac:dyDescent="0.35">
      <c r="A30" s="35"/>
      <c r="B30" s="36"/>
      <c r="C30" s="38"/>
      <c r="D30" s="37"/>
      <c r="E30" s="37"/>
      <c r="F30" s="36"/>
      <c r="G30" s="39"/>
      <c r="H30" s="37"/>
      <c r="I30" s="39"/>
      <c r="J30" s="39"/>
      <c r="K30" s="557"/>
      <c r="L30" s="36"/>
      <c r="M30" s="38"/>
      <c r="N30" s="37"/>
      <c r="O30" s="37"/>
      <c r="P30" s="36"/>
      <c r="Q30" s="39"/>
      <c r="R30" s="37"/>
      <c r="S30" s="39"/>
      <c r="T30" s="39"/>
    </row>
    <row r="31" spans="1:27" ht="15" x14ac:dyDescent="0.35">
      <c r="A31" s="48"/>
      <c r="B31" s="50"/>
      <c r="C31" s="38"/>
      <c r="D31" s="37"/>
      <c r="E31" s="37"/>
      <c r="F31" s="36"/>
      <c r="G31" s="39"/>
      <c r="H31" s="37"/>
      <c r="I31" s="39"/>
      <c r="J31" s="39"/>
      <c r="K31" s="557"/>
      <c r="L31" s="50"/>
      <c r="M31" s="38"/>
      <c r="N31" s="37"/>
      <c r="O31" s="37"/>
      <c r="P31" s="36"/>
      <c r="Q31" s="39"/>
      <c r="R31" s="37"/>
      <c r="S31" s="39"/>
      <c r="T31" s="39"/>
    </row>
    <row r="32" spans="1:27" ht="15" x14ac:dyDescent="0.35">
      <c r="A32" s="35"/>
      <c r="B32" s="50"/>
      <c r="C32" s="38"/>
      <c r="D32" s="37"/>
      <c r="E32" s="37"/>
      <c r="F32" s="36"/>
      <c r="G32" s="39"/>
      <c r="H32" s="37"/>
      <c r="I32" s="39"/>
      <c r="J32" s="39"/>
      <c r="K32" s="557"/>
      <c r="L32" s="50"/>
      <c r="M32" s="38"/>
      <c r="N32" s="37"/>
      <c r="O32" s="37"/>
      <c r="P32" s="36"/>
      <c r="Q32" s="39"/>
      <c r="R32" s="37"/>
      <c r="S32" s="39"/>
      <c r="T32" s="39"/>
    </row>
    <row r="33" spans="1:25" ht="15" x14ac:dyDescent="0.35">
      <c r="A33" s="48"/>
      <c r="B33" s="53"/>
      <c r="C33" s="38"/>
      <c r="D33" s="37"/>
      <c r="E33" s="37"/>
      <c r="F33" s="36"/>
      <c r="G33" s="39"/>
      <c r="H33" s="37"/>
      <c r="I33" s="39"/>
      <c r="J33" s="39"/>
      <c r="K33" s="557"/>
      <c r="L33" s="53"/>
      <c r="M33" s="38"/>
      <c r="N33" s="37"/>
      <c r="O33" s="37"/>
      <c r="P33" s="36"/>
      <c r="Q33" s="39"/>
      <c r="R33" s="37"/>
      <c r="S33" s="39"/>
      <c r="T33" s="39"/>
    </row>
    <row r="34" spans="1:25" ht="15" x14ac:dyDescent="0.35">
      <c r="A34" s="48"/>
      <c r="B34" s="53"/>
      <c r="C34" s="38"/>
      <c r="D34" s="37"/>
      <c r="E34" s="37"/>
      <c r="F34" s="36"/>
      <c r="G34" s="39"/>
      <c r="H34" s="37"/>
      <c r="I34" s="39"/>
      <c r="J34" s="39"/>
      <c r="K34" s="557"/>
      <c r="L34" s="53"/>
      <c r="M34" s="38"/>
      <c r="N34" s="37"/>
      <c r="O34" s="37"/>
      <c r="P34" s="36"/>
      <c r="Q34" s="39"/>
      <c r="R34" s="37"/>
      <c r="S34" s="39"/>
      <c r="T34" s="39"/>
    </row>
    <row r="35" spans="1:25" ht="15" x14ac:dyDescent="0.35">
      <c r="A35" s="1107" t="s">
        <v>72</v>
      </c>
      <c r="B35" s="1108"/>
      <c r="C35" s="1108"/>
      <c r="D35" s="1108"/>
      <c r="E35" s="1108"/>
      <c r="F35" s="1109"/>
      <c r="G35" s="54"/>
      <c r="H35" s="28" t="s">
        <v>68</v>
      </c>
      <c r="I35" s="27"/>
      <c r="J35" s="27">
        <f>J37-J36</f>
        <v>1340</v>
      </c>
      <c r="K35" s="555"/>
      <c r="L35" s="550"/>
      <c r="M35" s="550"/>
      <c r="N35" s="550"/>
      <c r="O35" s="550"/>
      <c r="P35" s="550"/>
      <c r="Q35" s="54"/>
      <c r="R35" s="28" t="s">
        <v>68</v>
      </c>
      <c r="S35" s="27"/>
      <c r="T35" s="27">
        <f>T37-T36</f>
        <v>1353</v>
      </c>
      <c r="U35" t="s">
        <v>131</v>
      </c>
    </row>
    <row r="36" spans="1:25" ht="15" x14ac:dyDescent="0.35">
      <c r="A36" s="1107" t="s">
        <v>73</v>
      </c>
      <c r="B36" s="1108"/>
      <c r="C36" s="1108"/>
      <c r="D36" s="1108"/>
      <c r="E36" s="1108"/>
      <c r="F36" s="1109"/>
      <c r="G36" s="54"/>
      <c r="H36" s="28" t="s">
        <v>68</v>
      </c>
      <c r="I36" s="27"/>
      <c r="J36" s="27">
        <f>ROUND((J37*0.4),0)</f>
        <v>893</v>
      </c>
      <c r="K36" s="555"/>
      <c r="L36" s="550"/>
      <c r="M36" s="550"/>
      <c r="N36" s="550"/>
      <c r="O36" s="550"/>
      <c r="P36" s="550"/>
      <c r="Q36" s="54"/>
      <c r="R36" s="28" t="s">
        <v>68</v>
      </c>
      <c r="S36" s="27"/>
      <c r="T36" s="27">
        <f>ROUND((T37*0.4),0)</f>
        <v>902</v>
      </c>
      <c r="U36" t="s">
        <v>131</v>
      </c>
    </row>
    <row r="37" spans="1:25" ht="15" x14ac:dyDescent="0.35">
      <c r="A37" s="1116" t="s">
        <v>74</v>
      </c>
      <c r="B37" s="1117"/>
      <c r="C37" s="1117"/>
      <c r="D37" s="1117"/>
      <c r="E37" s="1117"/>
      <c r="F37" s="1118"/>
      <c r="G37" s="46">
        <f>SUM(F38:F56)</f>
        <v>2233.1684744147137</v>
      </c>
      <c r="H37" s="47" t="s">
        <v>68</v>
      </c>
      <c r="I37" s="46"/>
      <c r="J37" s="46">
        <f>ROUND(G37,0)</f>
        <v>2233</v>
      </c>
      <c r="K37" s="559"/>
      <c r="L37" s="549"/>
      <c r="M37" s="549"/>
      <c r="N37" s="549"/>
      <c r="O37" s="549"/>
      <c r="P37" s="549"/>
      <c r="Q37" s="46">
        <f>SUM(P38:P56)</f>
        <v>2255.1930713343513</v>
      </c>
      <c r="R37" s="47" t="s">
        <v>68</v>
      </c>
      <c r="S37" s="46"/>
      <c r="T37" s="46">
        <f>ROUND(Q37,0)</f>
        <v>2255</v>
      </c>
    </row>
    <row r="38" spans="1:25" ht="15" x14ac:dyDescent="0.35">
      <c r="A38" s="41" t="s">
        <v>355</v>
      </c>
      <c r="B38" s="233"/>
      <c r="C38" s="38"/>
      <c r="D38" s="38"/>
      <c r="E38" s="37"/>
      <c r="F38" s="36"/>
      <c r="G38" s="37"/>
      <c r="H38" s="37"/>
      <c r="I38" s="39"/>
      <c r="J38" s="39"/>
      <c r="K38" s="557"/>
      <c r="L38" s="233"/>
      <c r="M38" s="38"/>
      <c r="N38" s="38"/>
      <c r="O38" s="37"/>
      <c r="P38" s="36"/>
      <c r="Q38" s="37"/>
      <c r="R38" s="37"/>
      <c r="S38" s="39"/>
      <c r="T38" s="39"/>
    </row>
    <row r="39" spans="1:25" ht="15" x14ac:dyDescent="0.35">
      <c r="A39" s="48" t="s">
        <v>359</v>
      </c>
      <c r="B39" s="501">
        <f>+B16</f>
        <v>98.78</v>
      </c>
      <c r="C39" s="38">
        <v>5.0250000000000004</v>
      </c>
      <c r="D39" s="38">
        <v>3.2</v>
      </c>
      <c r="E39" s="37"/>
      <c r="F39" s="218">
        <f>PRODUCT(B39,C39,D39,E39)</f>
        <v>1588.3824000000002</v>
      </c>
      <c r="G39" s="37"/>
      <c r="H39" s="37" t="s">
        <v>68</v>
      </c>
      <c r="I39" s="39"/>
      <c r="J39" s="39"/>
      <c r="K39" s="557"/>
      <c r="L39" s="501">
        <f>+L16</f>
        <v>98.78</v>
      </c>
      <c r="M39" s="38">
        <v>3.2</v>
      </c>
      <c r="N39" s="38">
        <v>5.49</v>
      </c>
      <c r="O39" s="37"/>
      <c r="P39" s="218">
        <f>PRODUCT(L39,M39,N39,O39)</f>
        <v>1735.3670400000001</v>
      </c>
      <c r="Q39" s="37"/>
      <c r="R39" s="37" t="s">
        <v>68</v>
      </c>
      <c r="S39" s="39"/>
      <c r="T39" s="39"/>
    </row>
    <row r="40" spans="1:25" ht="15" x14ac:dyDescent="0.35">
      <c r="A40" s="48"/>
      <c r="B40" s="233"/>
      <c r="C40" s="38"/>
      <c r="D40" s="38"/>
      <c r="E40" s="37"/>
      <c r="F40" s="36"/>
      <c r="G40" s="37"/>
      <c r="H40" s="37"/>
      <c r="I40" s="39"/>
      <c r="J40" s="39"/>
      <c r="K40" s="557"/>
      <c r="L40" s="233"/>
      <c r="M40" s="38"/>
      <c r="N40" s="38"/>
      <c r="O40" s="37"/>
      <c r="P40" s="36"/>
      <c r="Q40" s="37"/>
      <c r="R40" s="37"/>
      <c r="S40" s="39"/>
      <c r="T40" s="39"/>
    </row>
    <row r="41" spans="1:25" ht="15" x14ac:dyDescent="0.35">
      <c r="A41" s="55"/>
      <c r="B41" s="501"/>
      <c r="C41" s="38"/>
      <c r="D41" s="38"/>
      <c r="E41" s="37"/>
      <c r="F41" s="36"/>
      <c r="G41" s="542"/>
      <c r="H41" s="37"/>
      <c r="I41" s="39"/>
      <c r="J41" s="39"/>
      <c r="K41" s="557"/>
      <c r="L41" s="501"/>
      <c r="M41" s="38"/>
      <c r="N41" s="38"/>
      <c r="O41" s="37"/>
      <c r="P41" s="36"/>
      <c r="Q41" s="542"/>
      <c r="R41" s="37" t="s">
        <v>68</v>
      </c>
      <c r="S41" s="39"/>
      <c r="T41" s="39"/>
    </row>
    <row r="42" spans="1:25" ht="15" x14ac:dyDescent="0.35">
      <c r="A42" s="48"/>
      <c r="B42" s="233"/>
      <c r="C42" s="38"/>
      <c r="D42" s="38"/>
      <c r="E42" s="37"/>
      <c r="F42" s="36"/>
      <c r="G42" s="37"/>
      <c r="H42" s="37"/>
      <c r="I42" s="39"/>
      <c r="J42" s="39"/>
      <c r="K42" s="557"/>
      <c r="L42" s="233"/>
      <c r="M42" s="38"/>
      <c r="N42" s="38"/>
      <c r="O42" s="37"/>
      <c r="P42" s="36"/>
      <c r="Q42" s="37"/>
      <c r="R42" s="37"/>
      <c r="S42" s="39"/>
      <c r="T42" s="39"/>
    </row>
    <row r="43" spans="1:25" ht="15" x14ac:dyDescent="0.35">
      <c r="A43" s="35" t="str">
        <f>+A8</f>
        <v>DS(M)- A Drain I</v>
      </c>
      <c r="B43" s="36">
        <f>B8</f>
        <v>214.54400000000001</v>
      </c>
      <c r="C43" s="38">
        <v>0.65</v>
      </c>
      <c r="D43" s="38">
        <v>0.6</v>
      </c>
      <c r="E43" s="37"/>
      <c r="F43" s="36">
        <f t="shared" ref="F43:F54" si="1">PRODUCT(B43,C43,D43,E43)</f>
        <v>83.672160000000005</v>
      </c>
      <c r="G43" s="542">
        <f>SUM(F43:F54)</f>
        <v>563.62389441471339</v>
      </c>
      <c r="H43" s="37" t="s">
        <v>68</v>
      </c>
      <c r="I43" s="39"/>
      <c r="J43" s="39"/>
      <c r="K43" s="557"/>
      <c r="L43" s="36">
        <f>L8</f>
        <v>210.001</v>
      </c>
      <c r="M43" s="38">
        <f>0.3+0.2</f>
        <v>0.5</v>
      </c>
      <c r="N43" s="38">
        <f>0.3+0.1+0.05</f>
        <v>0.45</v>
      </c>
      <c r="O43" s="37"/>
      <c r="P43" s="36">
        <f>PRODUCT(L43,M43,N43,O43)</f>
        <v>47.250225</v>
      </c>
      <c r="Q43" s="542">
        <f>SUM(P43:P54)</f>
        <v>519.82603133435146</v>
      </c>
      <c r="R43" s="37" t="s">
        <v>68</v>
      </c>
      <c r="S43" s="39"/>
      <c r="T43" s="39"/>
      <c r="X43" t="s">
        <v>60</v>
      </c>
      <c r="Y43">
        <v>214.54400000000001</v>
      </c>
    </row>
    <row r="44" spans="1:25" ht="15" x14ac:dyDescent="0.35">
      <c r="A44" s="35" t="str">
        <f>+A9</f>
        <v xml:space="preserve"> DS-C- C</v>
      </c>
      <c r="B44" s="36">
        <f>B9</f>
        <v>349.00280137571241</v>
      </c>
      <c r="C44" s="38">
        <v>0.65</v>
      </c>
      <c r="D44" s="38">
        <v>0.6</v>
      </c>
      <c r="E44" s="37"/>
      <c r="F44" s="36">
        <f t="shared" si="1"/>
        <v>136.11109253652782</v>
      </c>
      <c r="G44" s="37"/>
      <c r="H44" s="37" t="s">
        <v>68</v>
      </c>
      <c r="I44" s="39"/>
      <c r="J44" s="39"/>
      <c r="K44" s="557"/>
      <c r="L44" s="36">
        <f>L9</f>
        <v>294.10082480744921</v>
      </c>
      <c r="M44" s="38">
        <f>0.6+0.2</f>
        <v>0.8</v>
      </c>
      <c r="N44" s="38">
        <f>0.3+0.1+0.05</f>
        <v>0.45</v>
      </c>
      <c r="O44" s="37"/>
      <c r="P44" s="36">
        <f>PRODUCT(L44,M44,N44,O44)</f>
        <v>105.87629693068172</v>
      </c>
      <c r="Q44" s="37"/>
      <c r="R44" s="37" t="s">
        <v>68</v>
      </c>
      <c r="S44" s="39"/>
      <c r="T44" s="39"/>
      <c r="X44" t="s">
        <v>353</v>
      </c>
      <c r="Y44">
        <v>355.56121727265037</v>
      </c>
    </row>
    <row r="45" spans="1:25" ht="15" x14ac:dyDescent="0.35">
      <c r="A45" s="35" t="str">
        <f>+A10</f>
        <v>Cascade Drain - DS-C-B</v>
      </c>
      <c r="B45" s="36">
        <f>B10</f>
        <v>55.20900000000001</v>
      </c>
      <c r="C45" s="38">
        <v>0.7</v>
      </c>
      <c r="D45" s="38">
        <f>0.6+0.125+0.05</f>
        <v>0.77500000000000002</v>
      </c>
      <c r="E45" s="37"/>
      <c r="F45" s="36">
        <f>PRODUCT(B45,C45,D45,E45)</f>
        <v>29.950882500000002</v>
      </c>
      <c r="G45" s="37"/>
      <c r="H45" s="37" t="s">
        <v>68</v>
      </c>
      <c r="I45" s="39"/>
      <c r="J45" s="39"/>
      <c r="K45" s="557"/>
      <c r="L45" s="36">
        <f>L10</f>
        <v>75.02000000000001</v>
      </c>
      <c r="M45" s="38">
        <f>0.45+0.125*2</f>
        <v>0.7</v>
      </c>
      <c r="N45" s="38">
        <f>0.6+0.125+0.05</f>
        <v>0.77500000000000002</v>
      </c>
      <c r="O45" s="37"/>
      <c r="P45" s="36">
        <f>PRODUCT(L45,M45,N45,O45)</f>
        <v>40.698350000000005</v>
      </c>
      <c r="Q45" s="37"/>
      <c r="R45" s="37" t="s">
        <v>68</v>
      </c>
      <c r="S45" s="39"/>
      <c r="T45" s="39"/>
      <c r="X45" t="s">
        <v>538</v>
      </c>
      <c r="Y45">
        <v>27.604500000000005</v>
      </c>
    </row>
    <row r="46" spans="1:25" ht="15" x14ac:dyDescent="0.35">
      <c r="A46" s="35"/>
      <c r="B46" s="36"/>
      <c r="C46" s="38"/>
      <c r="D46" s="38"/>
      <c r="E46" s="37"/>
      <c r="F46" s="36"/>
      <c r="G46" s="37"/>
      <c r="H46" s="37"/>
      <c r="I46" s="39"/>
      <c r="J46" s="39"/>
      <c r="K46" s="557"/>
      <c r="L46" s="36"/>
      <c r="M46" s="38"/>
      <c r="N46" s="38"/>
      <c r="O46" s="37"/>
      <c r="P46" s="36"/>
      <c r="Q46" s="37"/>
      <c r="R46" s="37"/>
      <c r="S46" s="39"/>
      <c r="T46" s="39"/>
    </row>
    <row r="47" spans="1:25" ht="15" x14ac:dyDescent="0.35">
      <c r="A47" s="35" t="s">
        <v>640</v>
      </c>
      <c r="B47" s="36">
        <f>B12</f>
        <v>267.3</v>
      </c>
      <c r="C47" s="38">
        <v>1.5</v>
      </c>
      <c r="D47" s="38">
        <v>0.125</v>
      </c>
      <c r="E47" s="37"/>
      <c r="F47" s="36">
        <f t="shared" si="1"/>
        <v>50.118750000000006</v>
      </c>
      <c r="G47" s="37"/>
      <c r="H47" s="37" t="s">
        <v>68</v>
      </c>
      <c r="I47" s="39"/>
      <c r="J47" s="39"/>
      <c r="K47" s="557"/>
      <c r="L47" s="36">
        <f>L12</f>
        <v>267.3</v>
      </c>
      <c r="M47" s="38">
        <f>1+0.15</f>
        <v>1.1499999999999999</v>
      </c>
      <c r="N47" s="38">
        <v>0.125</v>
      </c>
      <c r="O47" s="37"/>
      <c r="P47" s="36">
        <f>PRODUCT(L47,M47,N47,O47)</f>
        <v>38.424374999999998</v>
      </c>
      <c r="Q47" s="37"/>
      <c r="R47" s="37" t="s">
        <v>68</v>
      </c>
      <c r="S47" s="39"/>
      <c r="T47" s="39"/>
      <c r="X47" t="s">
        <v>539</v>
      </c>
      <c r="Y47">
        <v>96.591000000000008</v>
      </c>
    </row>
    <row r="48" spans="1:25" ht="15" x14ac:dyDescent="0.35">
      <c r="A48" s="35" t="s">
        <v>647</v>
      </c>
      <c r="B48" s="36">
        <f>B13</f>
        <v>137.58534375353949</v>
      </c>
      <c r="C48" s="56">
        <v>1.2</v>
      </c>
      <c r="D48" s="38">
        <v>0.75</v>
      </c>
      <c r="E48" s="37"/>
      <c r="F48" s="36">
        <f t="shared" si="1"/>
        <v>123.82680937818554</v>
      </c>
      <c r="G48" s="37"/>
      <c r="H48" s="37" t="s">
        <v>68</v>
      </c>
      <c r="I48" s="39"/>
      <c r="J48" s="39"/>
      <c r="K48" s="557"/>
      <c r="L48" s="36">
        <f>L13</f>
        <v>127.26809378185526</v>
      </c>
      <c r="M48" s="56">
        <f>1+0.1*2</f>
        <v>1.2</v>
      </c>
      <c r="N48" s="38">
        <f>0.6+0.1+0.05</f>
        <v>0.75</v>
      </c>
      <c r="O48" s="37"/>
      <c r="P48" s="36">
        <f>PRODUCT(L48,M48,N48,O48)</f>
        <v>114.54128440366974</v>
      </c>
      <c r="Q48" s="37"/>
      <c r="R48" s="37" t="s">
        <v>68</v>
      </c>
      <c r="S48" s="39"/>
      <c r="T48" s="39"/>
      <c r="X48" t="s">
        <v>63</v>
      </c>
      <c r="Y48">
        <v>267.3</v>
      </c>
    </row>
    <row r="49" spans="1:25" ht="15" x14ac:dyDescent="0.35">
      <c r="A49" s="35" t="str">
        <f>+A14</f>
        <v>DS(B)- A Drain I</v>
      </c>
      <c r="B49" s="36"/>
      <c r="C49" s="56"/>
      <c r="D49" s="56"/>
      <c r="E49" s="37"/>
      <c r="F49" s="36"/>
      <c r="G49" s="37"/>
      <c r="H49" s="37"/>
      <c r="I49" s="39"/>
      <c r="J49" s="39"/>
      <c r="K49" s="557"/>
      <c r="L49" s="36"/>
      <c r="M49" s="56"/>
      <c r="N49" s="56"/>
      <c r="O49" s="37"/>
      <c r="P49" s="36"/>
      <c r="Q49" s="37"/>
      <c r="R49" s="37"/>
      <c r="S49" s="39"/>
      <c r="T49" s="39"/>
      <c r="X49" t="s">
        <v>64</v>
      </c>
      <c r="Y49">
        <v>120.88779419813902</v>
      </c>
    </row>
    <row r="50" spans="1:25" ht="15" x14ac:dyDescent="0.35">
      <c r="A50" s="48" t="s">
        <v>75</v>
      </c>
      <c r="B50" s="36">
        <f>+B14</f>
        <v>237.85300000000004</v>
      </c>
      <c r="C50" s="56">
        <v>0.5</v>
      </c>
      <c r="D50" s="56">
        <v>0.45</v>
      </c>
      <c r="E50" s="37"/>
      <c r="F50" s="36">
        <f t="shared" si="1"/>
        <v>53.516925000000008</v>
      </c>
      <c r="G50" s="37"/>
      <c r="H50" s="37" t="s">
        <v>68</v>
      </c>
      <c r="I50" s="39"/>
      <c r="J50" s="39"/>
      <c r="K50" s="557"/>
      <c r="L50" s="36">
        <f>+L14</f>
        <v>335.89600000000002</v>
      </c>
      <c r="M50" s="56">
        <v>0.5</v>
      </c>
      <c r="N50" s="56">
        <v>0.45</v>
      </c>
      <c r="O50" s="37"/>
      <c r="P50" s="36">
        <f>PRODUCT(L50,M50,N50,O50)</f>
        <v>75.576599999999999</v>
      </c>
      <c r="Q50" s="37"/>
      <c r="R50" s="37" t="s">
        <v>68</v>
      </c>
      <c r="S50" s="39"/>
      <c r="T50" s="39"/>
      <c r="X50" t="s">
        <v>129</v>
      </c>
      <c r="Y50">
        <v>237.85300000000004</v>
      </c>
    </row>
    <row r="51" spans="1:25" ht="15" x14ac:dyDescent="0.35">
      <c r="A51" s="48" t="s">
        <v>76</v>
      </c>
      <c r="B51" s="36">
        <f>+B50</f>
        <v>237.85300000000004</v>
      </c>
      <c r="C51" s="56">
        <v>0.5</v>
      </c>
      <c r="D51" s="56">
        <v>0.1</v>
      </c>
      <c r="E51" s="37"/>
      <c r="F51" s="36">
        <f t="shared" si="1"/>
        <v>11.892650000000003</v>
      </c>
      <c r="G51" s="37"/>
      <c r="H51" s="37" t="s">
        <v>68</v>
      </c>
      <c r="I51" s="39"/>
      <c r="J51" s="39"/>
      <c r="K51" s="557"/>
      <c r="L51" s="36">
        <f>+L50</f>
        <v>335.89600000000002</v>
      </c>
      <c r="M51" s="56">
        <v>1.5</v>
      </c>
      <c r="N51" s="56">
        <v>0.1</v>
      </c>
      <c r="O51" s="37"/>
      <c r="P51" s="36">
        <f>PRODUCT(L51,M51,N51,O51)</f>
        <v>50.384400000000007</v>
      </c>
      <c r="Q51" s="37"/>
      <c r="R51" s="37" t="s">
        <v>68</v>
      </c>
      <c r="S51" s="39"/>
      <c r="T51" s="39"/>
      <c r="X51" t="s">
        <v>354</v>
      </c>
      <c r="Y51">
        <v>156.91499999999999</v>
      </c>
    </row>
    <row r="52" spans="1:25" ht="15" x14ac:dyDescent="0.35">
      <c r="A52" s="35" t="str">
        <f>+A15</f>
        <v>DS(B)- C Drain II</v>
      </c>
      <c r="B52" s="36"/>
      <c r="C52" s="56"/>
      <c r="D52" s="56"/>
      <c r="E52" s="37"/>
      <c r="F52" s="36"/>
      <c r="G52" s="37"/>
      <c r="H52" s="37"/>
      <c r="I52" s="39"/>
      <c r="J52" s="39"/>
      <c r="K52" s="557"/>
      <c r="L52" s="36"/>
      <c r="M52" s="56"/>
      <c r="N52" s="56"/>
      <c r="O52" s="37"/>
      <c r="P52" s="36"/>
      <c r="Q52" s="37"/>
      <c r="R52" s="37"/>
      <c r="S52" s="39"/>
      <c r="T52" s="39"/>
      <c r="X52" t="s">
        <v>65</v>
      </c>
      <c r="Y52">
        <v>2</v>
      </c>
    </row>
    <row r="53" spans="1:25" ht="15" x14ac:dyDescent="0.35">
      <c r="A53" s="48"/>
      <c r="B53" s="36">
        <f>+B15</f>
        <v>156.91499999999999</v>
      </c>
      <c r="C53" s="56">
        <v>0.5</v>
      </c>
      <c r="D53" s="56">
        <v>0.45</v>
      </c>
      <c r="E53" s="37"/>
      <c r="F53" s="36">
        <f>PRODUCT(B53,C53,D53,E53)</f>
        <v>35.305875</v>
      </c>
      <c r="G53" s="37"/>
      <c r="H53" s="37"/>
      <c r="I53" s="39"/>
      <c r="J53" s="39"/>
      <c r="K53" s="557"/>
      <c r="L53" s="36">
        <f>+L15</f>
        <v>156.91499999999999</v>
      </c>
      <c r="M53" s="56">
        <f>1+0.2</f>
        <v>1.2</v>
      </c>
      <c r="N53" s="56">
        <f>0.15+0.1</f>
        <v>0.25</v>
      </c>
      <c r="O53" s="37"/>
      <c r="P53" s="36">
        <f>PRODUCT(L53,M53,N53,O53)</f>
        <v>47.074499999999993</v>
      </c>
      <c r="Q53" s="37"/>
      <c r="R53" s="37"/>
      <c r="S53" s="39"/>
      <c r="T53" s="39"/>
      <c r="X53" t="s">
        <v>355</v>
      </c>
      <c r="Y53">
        <v>357.50000000000006</v>
      </c>
    </row>
    <row r="54" spans="1:25" ht="15" x14ac:dyDescent="0.35">
      <c r="A54" s="48" t="s">
        <v>76</v>
      </c>
      <c r="B54" s="36">
        <f>+B15</f>
        <v>156.91499999999999</v>
      </c>
      <c r="C54" s="56">
        <v>1</v>
      </c>
      <c r="D54" s="56">
        <v>0.25</v>
      </c>
      <c r="E54" s="37"/>
      <c r="F54" s="36">
        <f t="shared" si="1"/>
        <v>39.228749999999998</v>
      </c>
      <c r="G54" s="37"/>
      <c r="H54" s="37" t="s">
        <v>68</v>
      </c>
      <c r="I54" s="39"/>
      <c r="J54" s="39"/>
      <c r="K54" s="557"/>
      <c r="L54" s="36"/>
      <c r="M54" s="56"/>
      <c r="N54" s="56"/>
      <c r="O54" s="37"/>
      <c r="P54" s="36"/>
      <c r="Q54" s="37"/>
      <c r="R54" s="37" t="s">
        <v>68</v>
      </c>
      <c r="S54" s="39"/>
      <c r="T54" s="39"/>
      <c r="X54" t="s">
        <v>356</v>
      </c>
      <c r="Y54">
        <v>262.90000000000003</v>
      </c>
    </row>
    <row r="55" spans="1:25" ht="15" x14ac:dyDescent="0.35">
      <c r="A55" s="35"/>
      <c r="B55" s="36"/>
      <c r="C55" s="56"/>
      <c r="D55" s="56"/>
      <c r="E55" s="37"/>
      <c r="F55" s="36"/>
      <c r="G55" s="37"/>
      <c r="H55" s="37"/>
      <c r="I55" s="39"/>
      <c r="J55" s="39"/>
      <c r="K55" s="557"/>
      <c r="L55" s="36"/>
      <c r="M55" s="56"/>
      <c r="N55" s="56"/>
      <c r="O55" s="37"/>
      <c r="P55" s="36"/>
      <c r="Q55" s="37"/>
      <c r="R55" s="37"/>
      <c r="S55" s="39"/>
      <c r="T55" s="39"/>
    </row>
    <row r="56" spans="1:25" ht="15" x14ac:dyDescent="0.35">
      <c r="A56" s="234" t="s">
        <v>638</v>
      </c>
      <c r="B56" s="36">
        <f>+B18</f>
        <v>45.342000000000006</v>
      </c>
      <c r="C56" s="56">
        <v>1</v>
      </c>
      <c r="D56" s="56">
        <v>1.79</v>
      </c>
      <c r="E56" s="37"/>
      <c r="F56" s="36">
        <f>PRODUCT(B56,C56,D56,E56)</f>
        <v>81.162180000000006</v>
      </c>
      <c r="G56" s="37"/>
      <c r="H56" s="37" t="s">
        <v>68</v>
      </c>
      <c r="I56" s="39"/>
      <c r="J56" s="39"/>
      <c r="K56" s="557"/>
      <c r="L56" s="36">
        <f>+L18</f>
        <v>0</v>
      </c>
      <c r="M56" s="56">
        <v>1</v>
      </c>
      <c r="N56" s="56">
        <v>1.8</v>
      </c>
      <c r="O56" s="37"/>
      <c r="P56" s="36">
        <f>PRODUCT(L56,M56,N56,O56)</f>
        <v>0</v>
      </c>
      <c r="Q56" s="37"/>
      <c r="R56" s="37" t="s">
        <v>68</v>
      </c>
      <c r="S56" s="39"/>
      <c r="T56" s="39"/>
    </row>
    <row r="57" spans="1:25" ht="15" x14ac:dyDescent="0.35">
      <c r="A57" s="41"/>
      <c r="B57" s="58"/>
      <c r="C57" s="59"/>
      <c r="D57" s="59"/>
      <c r="E57" s="44"/>
      <c r="F57" s="42"/>
      <c r="G57" s="44"/>
      <c r="H57" s="44"/>
      <c r="I57" s="45"/>
      <c r="J57" s="45"/>
      <c r="K57" s="558"/>
      <c r="L57" s="58"/>
      <c r="M57" s="59"/>
      <c r="N57" s="59"/>
      <c r="O57" s="44"/>
      <c r="P57" s="42"/>
      <c r="Q57" s="44"/>
      <c r="R57" s="44"/>
      <c r="S57" s="45"/>
      <c r="T57" s="45"/>
    </row>
    <row r="58" spans="1:25" ht="15" x14ac:dyDescent="0.35">
      <c r="A58" s="1101" t="s">
        <v>77</v>
      </c>
      <c r="B58" s="1102"/>
      <c r="C58" s="1102"/>
      <c r="D58" s="1102"/>
      <c r="E58" s="1102"/>
      <c r="F58" s="1103"/>
      <c r="G58" s="27">
        <f>SUM(F59:F59)</f>
        <v>1256.4124540000003</v>
      </c>
      <c r="H58" s="28" t="s">
        <v>68</v>
      </c>
      <c r="I58" s="27"/>
      <c r="J58" s="27">
        <f>ROUND(G58,0)</f>
        <v>1256</v>
      </c>
      <c r="K58" s="555"/>
      <c r="L58" s="550"/>
      <c r="M58" s="550"/>
      <c r="N58" s="550"/>
      <c r="O58" s="550"/>
      <c r="P58" s="550"/>
      <c r="Q58" s="27">
        <f>SUM(P59:P60)</f>
        <v>1253.0243</v>
      </c>
      <c r="R58" s="28" t="s">
        <v>68</v>
      </c>
      <c r="S58" s="27"/>
      <c r="T58" s="27">
        <f>ROUND(Q58,0)</f>
        <v>1253</v>
      </c>
      <c r="U58" t="s">
        <v>131</v>
      </c>
    </row>
    <row r="59" spans="1:25" ht="15" x14ac:dyDescent="0.35">
      <c r="A59" s="41" t="s">
        <v>355</v>
      </c>
      <c r="B59" s="42">
        <f>+B39</f>
        <v>98.78</v>
      </c>
      <c r="C59" s="42">
        <v>11.563000000000001</v>
      </c>
      <c r="D59" s="37"/>
      <c r="E59" s="37"/>
      <c r="F59" s="218">
        <f>PRODUCT(B59:E59)*1.1</f>
        <v>1256.4124540000003</v>
      </c>
      <c r="G59" s="39"/>
      <c r="H59" s="37" t="s">
        <v>68</v>
      </c>
      <c r="I59" s="39"/>
      <c r="J59" s="39"/>
      <c r="K59" s="558"/>
      <c r="L59" s="42">
        <f>+L39</f>
        <v>98.78</v>
      </c>
      <c r="M59" s="42">
        <v>12.685</v>
      </c>
      <c r="N59" s="37"/>
      <c r="O59" s="37"/>
      <c r="P59" s="218">
        <f>PRODUCT(L59:O59)</f>
        <v>1253.0243</v>
      </c>
      <c r="Q59" s="39"/>
      <c r="R59" s="37" t="s">
        <v>68</v>
      </c>
      <c r="S59" s="39"/>
      <c r="T59" s="39"/>
    </row>
    <row r="60" spans="1:25" ht="15" x14ac:dyDescent="0.35">
      <c r="A60" s="41" t="s">
        <v>632</v>
      </c>
      <c r="B60" s="50"/>
      <c r="C60" s="37"/>
      <c r="D60" s="37"/>
      <c r="E60" s="37"/>
      <c r="F60" s="218">
        <f>+X314</f>
        <v>0</v>
      </c>
      <c r="G60" s="39"/>
      <c r="H60" s="37"/>
      <c r="I60" s="39"/>
      <c r="J60" s="39"/>
      <c r="K60" s="557"/>
      <c r="L60" s="36">
        <f>+L17</f>
        <v>0</v>
      </c>
      <c r="M60" s="37">
        <v>2</v>
      </c>
      <c r="N60" s="37"/>
      <c r="O60" s="37"/>
      <c r="P60" s="218">
        <f>+L60*M60</f>
        <v>0</v>
      </c>
      <c r="Q60" s="39"/>
      <c r="R60" s="37"/>
      <c r="S60" s="39"/>
      <c r="T60" s="39"/>
    </row>
    <row r="61" spans="1:25" ht="15" x14ac:dyDescent="0.35">
      <c r="A61" s="502"/>
      <c r="B61" s="534"/>
      <c r="C61" s="506"/>
      <c r="D61" s="506"/>
      <c r="E61" s="506"/>
      <c r="F61" s="543">
        <f>+C314*87.97</f>
        <v>0</v>
      </c>
      <c r="G61" s="232"/>
      <c r="H61" s="230"/>
      <c r="I61" s="232"/>
      <c r="J61" s="232"/>
      <c r="K61" s="556"/>
      <c r="L61" s="534"/>
      <c r="M61" s="506"/>
      <c r="N61" s="506"/>
      <c r="O61" s="506"/>
      <c r="P61" s="543"/>
      <c r="Q61" s="232"/>
      <c r="R61" s="230"/>
      <c r="S61" s="232"/>
      <c r="T61" s="232"/>
    </row>
    <row r="62" spans="1:25" ht="15" x14ac:dyDescent="0.35">
      <c r="A62" s="502"/>
      <c r="B62" s="534"/>
      <c r="C62" s="506"/>
      <c r="D62" s="506"/>
      <c r="E62" s="506"/>
      <c r="F62" s="535"/>
      <c r="G62" s="232"/>
      <c r="H62" s="230"/>
      <c r="I62" s="232"/>
      <c r="J62" s="232"/>
      <c r="K62" s="556"/>
      <c r="L62" s="534"/>
      <c r="M62" s="506"/>
      <c r="N62" s="506"/>
      <c r="O62" s="506"/>
      <c r="P62" s="535"/>
      <c r="Q62" s="232"/>
      <c r="R62" s="230"/>
      <c r="S62" s="232"/>
      <c r="T62" s="232"/>
    </row>
    <row r="63" spans="1:25" ht="15" x14ac:dyDescent="0.35">
      <c r="A63" s="1101"/>
      <c r="B63" s="1102"/>
      <c r="C63" s="1102"/>
      <c r="D63" s="1102"/>
      <c r="E63" s="1102"/>
      <c r="F63" s="1103"/>
      <c r="G63" s="27"/>
      <c r="H63" s="28"/>
      <c r="I63" s="27"/>
      <c r="J63" s="27"/>
      <c r="K63" s="555"/>
      <c r="L63" s="550"/>
      <c r="M63" s="550"/>
      <c r="N63" s="550"/>
      <c r="O63" s="550"/>
      <c r="P63" s="550"/>
      <c r="Q63" s="27"/>
      <c r="R63" s="28"/>
      <c r="S63" s="27"/>
      <c r="T63" s="27"/>
    </row>
    <row r="64" spans="1:25" ht="17.25" customHeight="1" x14ac:dyDescent="0.35">
      <c r="A64" s="41"/>
      <c r="B64" s="42"/>
      <c r="C64" s="42"/>
      <c r="D64" s="37"/>
      <c r="E64" s="37"/>
      <c r="F64" s="36"/>
      <c r="G64" s="39"/>
      <c r="H64" s="37"/>
      <c r="I64" s="39"/>
      <c r="J64" s="39"/>
      <c r="K64" s="558"/>
      <c r="L64" s="42"/>
      <c r="M64" s="42"/>
      <c r="N64" s="37"/>
      <c r="O64" s="37"/>
      <c r="P64" s="36"/>
      <c r="Q64" s="39"/>
      <c r="R64" s="37"/>
      <c r="S64" s="39"/>
      <c r="T64" s="39"/>
    </row>
    <row r="65" spans="1:23" ht="15" x14ac:dyDescent="0.35">
      <c r="A65" s="60"/>
      <c r="B65" s="52"/>
      <c r="C65" s="44"/>
      <c r="D65" s="44"/>
      <c r="E65" s="44"/>
      <c r="F65" s="42"/>
      <c r="G65" s="45"/>
      <c r="H65" s="44"/>
      <c r="I65" s="45"/>
      <c r="J65" s="45"/>
      <c r="K65" s="558"/>
      <c r="L65" s="52"/>
      <c r="M65" s="44"/>
      <c r="N65" s="44"/>
      <c r="O65" s="44"/>
      <c r="P65" s="42"/>
      <c r="Q65" s="45"/>
      <c r="R65" s="44"/>
      <c r="S65" s="45"/>
      <c r="T65" s="45"/>
    </row>
    <row r="66" spans="1:23" ht="15" x14ac:dyDescent="0.35">
      <c r="A66" s="1101" t="s">
        <v>78</v>
      </c>
      <c r="B66" s="1102"/>
      <c r="C66" s="1102"/>
      <c r="D66" s="1102"/>
      <c r="E66" s="1102"/>
      <c r="F66" s="1103"/>
      <c r="G66" s="540">
        <f>SUM(F67:F70)</f>
        <v>5467.8025248896647</v>
      </c>
      <c r="H66" s="28" t="s">
        <v>68</v>
      </c>
      <c r="I66" s="27"/>
      <c r="J66" s="27">
        <f>ROUND(G66,0)</f>
        <v>5468</v>
      </c>
      <c r="K66" s="555"/>
      <c r="L66" s="550"/>
      <c r="M66" s="550"/>
      <c r="N66" s="550"/>
      <c r="O66" s="550"/>
      <c r="P66" s="550"/>
      <c r="Q66" s="540">
        <f>SUM(P68)</f>
        <v>4140.0497369000004</v>
      </c>
      <c r="R66" s="28" t="s">
        <v>68</v>
      </c>
      <c r="S66" s="27"/>
      <c r="T66" s="27">
        <f>ROUND(Q66,0)</f>
        <v>4140</v>
      </c>
      <c r="U66" t="s">
        <v>131</v>
      </c>
    </row>
    <row r="67" spans="1:23" ht="15" x14ac:dyDescent="0.35">
      <c r="A67" s="41"/>
      <c r="B67" s="42"/>
      <c r="C67" s="42"/>
      <c r="D67" s="32"/>
      <c r="E67" s="32"/>
      <c r="F67" s="31"/>
      <c r="G67" s="34"/>
      <c r="H67" s="32" t="s">
        <v>68</v>
      </c>
      <c r="I67" s="34"/>
      <c r="J67" s="34"/>
      <c r="K67" s="561"/>
      <c r="L67" s="42"/>
      <c r="M67" s="42"/>
      <c r="N67" s="32"/>
      <c r="O67" s="32"/>
      <c r="P67" s="31"/>
      <c r="Q67" s="34"/>
      <c r="R67" s="32" t="s">
        <v>68</v>
      </c>
      <c r="S67" s="34"/>
      <c r="T67" s="34"/>
    </row>
    <row r="68" spans="1:23" ht="15" x14ac:dyDescent="0.35">
      <c r="A68" s="41" t="s">
        <v>554</v>
      </c>
      <c r="B68" s="42">
        <v>1319</v>
      </c>
      <c r="C68" s="42"/>
      <c r="D68" s="37">
        <v>1</v>
      </c>
      <c r="E68" s="37"/>
      <c r="F68" s="36">
        <f>+B68/W68</f>
        <v>1353.7924663861234</v>
      </c>
      <c r="G68" s="39"/>
      <c r="H68" s="37" t="s">
        <v>68</v>
      </c>
      <c r="I68" s="39"/>
      <c r="J68" s="39"/>
      <c r="K68" s="558"/>
      <c r="L68" s="42">
        <f>62.981*1.1</f>
        <v>69.279100000000014</v>
      </c>
      <c r="M68" s="42">
        <v>59.759</v>
      </c>
      <c r="N68" s="37">
        <v>1</v>
      </c>
      <c r="O68" s="37"/>
      <c r="P68" s="36">
        <f>+L68*M68</f>
        <v>4140.0497369000004</v>
      </c>
      <c r="Q68" s="39"/>
      <c r="R68" s="37" t="s">
        <v>68</v>
      </c>
      <c r="S68" s="39"/>
      <c r="T68" s="39"/>
      <c r="V68" t="s">
        <v>642</v>
      </c>
      <c r="W68">
        <v>0.97430000000000005</v>
      </c>
    </row>
    <row r="69" spans="1:23" ht="15" x14ac:dyDescent="0.35">
      <c r="A69" s="41"/>
      <c r="B69" s="42">
        <v>957.92</v>
      </c>
      <c r="C69" s="42"/>
      <c r="D69" s="37">
        <v>1</v>
      </c>
      <c r="E69" s="44"/>
      <c r="F69" s="36">
        <f>+B69/W68</f>
        <v>983.18792979575073</v>
      </c>
      <c r="G69" s="45"/>
      <c r="H69" s="44"/>
      <c r="I69" s="45"/>
      <c r="J69" s="45"/>
      <c r="K69" s="558"/>
      <c r="L69" s="42"/>
      <c r="M69" s="42"/>
      <c r="N69" s="37"/>
      <c r="O69" s="44"/>
      <c r="P69" s="36"/>
      <c r="Q69" s="45"/>
      <c r="R69" s="44"/>
      <c r="S69" s="45"/>
      <c r="T69" s="45"/>
    </row>
    <row r="70" spans="1:23" ht="15" x14ac:dyDescent="0.35">
      <c r="A70" s="41"/>
      <c r="B70" s="42">
        <v>3050.36</v>
      </c>
      <c r="C70" s="42"/>
      <c r="D70" s="37">
        <v>1</v>
      </c>
      <c r="E70" s="44"/>
      <c r="F70" s="36">
        <f>+B70/W68</f>
        <v>3130.8221287077899</v>
      </c>
      <c r="G70" s="45"/>
      <c r="H70" s="44"/>
      <c r="I70" s="45"/>
      <c r="J70" s="45"/>
      <c r="K70" s="558"/>
      <c r="L70" s="42"/>
      <c r="M70" s="42"/>
      <c r="N70" s="37"/>
      <c r="O70" s="44"/>
      <c r="P70" s="36"/>
      <c r="Q70" s="45"/>
      <c r="R70" s="44"/>
      <c r="S70" s="45"/>
      <c r="T70" s="45"/>
    </row>
    <row r="71" spans="1:23" ht="15" x14ac:dyDescent="0.35">
      <c r="A71" s="41"/>
      <c r="B71" s="42"/>
      <c r="C71" s="42"/>
      <c r="D71" s="44"/>
      <c r="E71" s="44"/>
      <c r="F71" s="42"/>
      <c r="G71" s="45"/>
      <c r="H71" s="44"/>
      <c r="I71" s="45"/>
      <c r="J71" s="45"/>
      <c r="K71" s="558"/>
      <c r="L71" s="42"/>
      <c r="M71" s="42"/>
      <c r="N71" s="44"/>
      <c r="O71" s="44"/>
      <c r="P71" s="42"/>
      <c r="Q71" s="45"/>
      <c r="R71" s="44"/>
      <c r="S71" s="45"/>
      <c r="T71" s="45"/>
    </row>
    <row r="72" spans="1:23" ht="15" x14ac:dyDescent="0.35">
      <c r="A72" s="41"/>
      <c r="B72" s="42"/>
      <c r="C72" s="42"/>
      <c r="D72" s="44"/>
      <c r="E72" s="44"/>
      <c r="F72" s="42"/>
      <c r="G72" s="45"/>
      <c r="H72" s="44"/>
      <c r="I72" s="45"/>
      <c r="J72" s="45"/>
      <c r="K72" s="558"/>
      <c r="L72" s="42"/>
      <c r="M72" s="42"/>
      <c r="N72" s="44"/>
      <c r="O72" s="44"/>
      <c r="P72" s="42"/>
      <c r="Q72" s="45"/>
      <c r="R72" s="44"/>
      <c r="S72" s="45"/>
      <c r="T72" s="45"/>
    </row>
    <row r="73" spans="1:23" ht="15" x14ac:dyDescent="0.35">
      <c r="A73" s="41"/>
      <c r="B73" s="42"/>
      <c r="C73" s="42"/>
      <c r="D73" s="44"/>
      <c r="E73" s="44"/>
      <c r="F73" s="42"/>
      <c r="G73" s="45"/>
      <c r="H73" s="44"/>
      <c r="I73" s="45"/>
      <c r="J73" s="45"/>
      <c r="K73" s="558"/>
      <c r="L73" s="42"/>
      <c r="M73" s="42"/>
      <c r="N73" s="44"/>
      <c r="O73" s="44"/>
      <c r="P73" s="42"/>
      <c r="Q73" s="45"/>
      <c r="R73" s="44"/>
      <c r="S73" s="45"/>
      <c r="T73" s="45"/>
    </row>
    <row r="74" spans="1:23" ht="15" x14ac:dyDescent="0.35">
      <c r="A74" s="60"/>
      <c r="B74" s="52"/>
      <c r="C74" s="44"/>
      <c r="D74" s="44"/>
      <c r="E74" s="44"/>
      <c r="F74" s="42"/>
      <c r="G74" s="45"/>
      <c r="H74" s="44"/>
      <c r="I74" s="45"/>
      <c r="J74" s="45"/>
      <c r="K74" s="558"/>
      <c r="L74" s="52"/>
      <c r="M74" s="44"/>
      <c r="N74" s="44"/>
      <c r="O74" s="44"/>
      <c r="P74" s="42"/>
      <c r="Q74" s="45"/>
      <c r="R74" s="44"/>
      <c r="S74" s="45"/>
      <c r="T74" s="45"/>
    </row>
    <row r="75" spans="1:23" ht="24.9" customHeight="1" x14ac:dyDescent="0.25">
      <c r="A75" s="1141" t="s">
        <v>79</v>
      </c>
      <c r="B75" s="1142"/>
      <c r="C75" s="1142"/>
      <c r="D75" s="1142"/>
      <c r="E75" s="1142"/>
      <c r="F75" s="1142"/>
      <c r="G75" s="1142"/>
      <c r="H75" s="1142"/>
      <c r="I75" s="1142"/>
      <c r="J75" s="1143"/>
      <c r="K75" s="562"/>
      <c r="L75" s="551"/>
      <c r="M75" s="551"/>
      <c r="N75" s="551"/>
      <c r="O75" s="551"/>
      <c r="P75" s="551"/>
      <c r="Q75" s="551"/>
      <c r="R75" s="551"/>
      <c r="S75" s="551"/>
      <c r="T75" s="551"/>
    </row>
    <row r="76" spans="1:23" ht="15" x14ac:dyDescent="0.35">
      <c r="A76" s="235"/>
      <c r="B76" s="31"/>
      <c r="C76" s="236"/>
      <c r="D76" s="236"/>
      <c r="E76" s="32"/>
      <c r="F76" s="31"/>
      <c r="G76" s="34"/>
      <c r="H76" s="32"/>
      <c r="I76" s="34"/>
      <c r="J76" s="34"/>
      <c r="K76" s="563"/>
      <c r="L76" s="31"/>
      <c r="M76" s="236"/>
      <c r="N76" s="236"/>
      <c r="O76" s="32"/>
      <c r="P76" s="31"/>
      <c r="Q76" s="34"/>
      <c r="R76" s="32"/>
      <c r="S76" s="34"/>
      <c r="T76" s="34"/>
    </row>
    <row r="77" spans="1:23" ht="15" x14ac:dyDescent="0.35">
      <c r="A77" s="1101" t="s">
        <v>360</v>
      </c>
      <c r="B77" s="1102"/>
      <c r="C77" s="1102"/>
      <c r="D77" s="1102"/>
      <c r="E77" s="1102"/>
      <c r="F77" s="1103"/>
      <c r="G77" s="540">
        <f>SUM(F78:F78)</f>
        <v>118.30139750000001</v>
      </c>
      <c r="H77" s="28" t="s">
        <v>68</v>
      </c>
      <c r="I77" s="27"/>
      <c r="J77" s="27">
        <f>ROUND(I77,0)</f>
        <v>0</v>
      </c>
      <c r="K77" s="555"/>
      <c r="L77" s="550"/>
      <c r="M77" s="550"/>
      <c r="N77" s="550"/>
      <c r="O77" s="550"/>
      <c r="P77" s="550"/>
      <c r="Q77" s="540">
        <f>SUM(P78:P78)</f>
        <v>115.7909038</v>
      </c>
      <c r="R77" s="28" t="s">
        <v>68</v>
      </c>
      <c r="S77" s="27"/>
      <c r="T77" s="27">
        <f>ROUND(S77,0)</f>
        <v>0</v>
      </c>
      <c r="U77" t="s">
        <v>131</v>
      </c>
    </row>
    <row r="78" spans="1:23" ht="15" x14ac:dyDescent="0.35">
      <c r="A78" s="41" t="s">
        <v>355</v>
      </c>
      <c r="B78" s="42">
        <f>B16</f>
        <v>98.78</v>
      </c>
      <c r="C78" s="56">
        <f>(0.3+0.415)/2</f>
        <v>0.35749999999999998</v>
      </c>
      <c r="D78" s="56">
        <v>3.35</v>
      </c>
      <c r="E78" s="37"/>
      <c r="F78" s="36">
        <f>PRODUCT(B78:E78)</f>
        <v>118.30139750000001</v>
      </c>
      <c r="G78" s="39"/>
      <c r="H78" s="37" t="s">
        <v>68</v>
      </c>
      <c r="I78" s="39"/>
      <c r="J78" s="39"/>
      <c r="K78" s="558"/>
      <c r="L78" s="42">
        <f>L16</f>
        <v>98.78</v>
      </c>
      <c r="M78" s="56">
        <f>(0.3+0.41)/2</f>
        <v>0.35499999999999998</v>
      </c>
      <c r="N78" s="56">
        <v>3.302</v>
      </c>
      <c r="O78" s="37"/>
      <c r="P78" s="36">
        <f>PRODUCT(L78:O78)</f>
        <v>115.7909038</v>
      </c>
      <c r="Q78" s="39"/>
      <c r="R78" s="37" t="s">
        <v>68</v>
      </c>
      <c r="S78" s="39"/>
      <c r="T78" s="39"/>
    </row>
    <row r="79" spans="1:23" ht="15" x14ac:dyDescent="0.35">
      <c r="A79" s="35"/>
      <c r="B79" s="40"/>
      <c r="C79" s="56"/>
      <c r="D79" s="56"/>
      <c r="E79" s="37"/>
      <c r="F79" s="36"/>
      <c r="G79" s="37"/>
      <c r="H79" s="37"/>
      <c r="I79" s="39"/>
      <c r="J79" s="39"/>
      <c r="K79" s="557"/>
      <c r="L79" s="40"/>
      <c r="M79" s="56"/>
      <c r="N79" s="56"/>
      <c r="O79" s="37"/>
      <c r="P79" s="36"/>
      <c r="Q79" s="37"/>
      <c r="R79" s="37"/>
      <c r="S79" s="39"/>
      <c r="T79" s="39"/>
    </row>
    <row r="80" spans="1:23" ht="15" x14ac:dyDescent="0.35">
      <c r="A80" s="1101" t="s">
        <v>540</v>
      </c>
      <c r="B80" s="1102">
        <v>95.41</v>
      </c>
      <c r="C80" s="1102">
        <v>1.71</v>
      </c>
      <c r="D80" s="1102"/>
      <c r="E80" s="1102"/>
      <c r="F80" s="1103">
        <f>PRODUCT(B80,C80,D80,E80)</f>
        <v>163.15109999999999</v>
      </c>
      <c r="G80" s="540">
        <f>SUM(F81:F81)</f>
        <v>371.4128</v>
      </c>
      <c r="H80" s="28" t="s">
        <v>59</v>
      </c>
      <c r="I80" s="27"/>
      <c r="J80" s="27">
        <f>ROUND(G80,0)</f>
        <v>371</v>
      </c>
      <c r="K80" s="555"/>
      <c r="L80" s="550"/>
      <c r="M80" s="550"/>
      <c r="N80" s="550"/>
      <c r="O80" s="550"/>
      <c r="P80" s="550"/>
      <c r="Q80" s="540">
        <f>SUM(P81:P81)</f>
        <v>371.4128</v>
      </c>
      <c r="R80" s="28" t="s">
        <v>59</v>
      </c>
      <c r="S80" s="27"/>
      <c r="T80" s="27">
        <f>ROUND(Q80,0)</f>
        <v>371</v>
      </c>
      <c r="U80" t="s">
        <v>131</v>
      </c>
    </row>
    <row r="81" spans="1:22" ht="15" x14ac:dyDescent="0.35">
      <c r="A81" s="41" t="s">
        <v>355</v>
      </c>
      <c r="B81" s="42">
        <f>B16</f>
        <v>98.78</v>
      </c>
      <c r="C81" s="56">
        <v>3.76</v>
      </c>
      <c r="D81" s="56"/>
      <c r="E81" s="37"/>
      <c r="F81" s="36">
        <f>PRODUCT(B81:E81)</f>
        <v>371.4128</v>
      </c>
      <c r="G81" s="39"/>
      <c r="H81" s="37" t="s">
        <v>59</v>
      </c>
      <c r="I81" s="39"/>
      <c r="J81" s="39"/>
      <c r="K81" s="558"/>
      <c r="L81" s="42">
        <f>L16</f>
        <v>98.78</v>
      </c>
      <c r="M81" s="56">
        <v>3.76</v>
      </c>
      <c r="N81" s="56"/>
      <c r="O81" s="37"/>
      <c r="P81" s="36">
        <f>PRODUCT(L81:O81)</f>
        <v>371.4128</v>
      </c>
      <c r="Q81" s="39"/>
      <c r="R81" s="37" t="s">
        <v>59</v>
      </c>
      <c r="S81" s="39"/>
      <c r="T81" s="39"/>
    </row>
    <row r="82" spans="1:22" ht="15" x14ac:dyDescent="0.35">
      <c r="A82" s="35"/>
      <c r="B82" s="40"/>
      <c r="C82" s="56"/>
      <c r="D82" s="56"/>
      <c r="E82" s="37"/>
      <c r="F82" s="36"/>
      <c r="G82" s="37"/>
      <c r="H82" s="37"/>
      <c r="I82" s="39"/>
      <c r="J82" s="39"/>
      <c r="K82" s="557"/>
      <c r="L82" s="40"/>
      <c r="M82" s="56"/>
      <c r="N82" s="56"/>
      <c r="O82" s="37"/>
      <c r="P82" s="36"/>
      <c r="Q82" s="37"/>
      <c r="R82" s="37"/>
      <c r="S82" s="39"/>
      <c r="T82" s="39"/>
    </row>
    <row r="83" spans="1:22" ht="15" x14ac:dyDescent="0.35">
      <c r="A83" s="1101" t="s">
        <v>80</v>
      </c>
      <c r="B83" s="1102"/>
      <c r="C83" s="1102"/>
      <c r="D83" s="1102"/>
      <c r="E83" s="1102"/>
      <c r="F83" s="1103"/>
      <c r="G83" s="540">
        <f>SUM(F84:F84)</f>
        <v>85.14</v>
      </c>
      <c r="H83" s="28" t="s">
        <v>10</v>
      </c>
      <c r="I83" s="27"/>
      <c r="J83" s="27">
        <f>ROUND(G83,0)</f>
        <v>85</v>
      </c>
      <c r="K83" s="555"/>
      <c r="L83" s="550"/>
      <c r="M83" s="550"/>
      <c r="N83" s="550"/>
      <c r="O83" s="550"/>
      <c r="P83" s="550"/>
      <c r="Q83" s="540">
        <f>SUM(P84:P84)</f>
        <v>85.14</v>
      </c>
      <c r="R83" s="28" t="s">
        <v>10</v>
      </c>
      <c r="S83" s="27"/>
      <c r="T83" s="27">
        <f>ROUND(Q83,0)</f>
        <v>85</v>
      </c>
      <c r="U83" t="s">
        <v>131</v>
      </c>
      <c r="V83" s="4">
        <v>0.4</v>
      </c>
    </row>
    <row r="84" spans="1:22" ht="15" x14ac:dyDescent="0.35">
      <c r="A84" s="41" t="s">
        <v>355</v>
      </c>
      <c r="B84" s="38">
        <f>0.375+0.34+0.305+0.27</f>
        <v>1.29</v>
      </c>
      <c r="C84" s="56"/>
      <c r="D84" s="56"/>
      <c r="E84" s="61">
        <f>ROUND(B81/1.5,0)</f>
        <v>66</v>
      </c>
      <c r="F84" s="36">
        <f>PRODUCT(B84:E84)</f>
        <v>85.14</v>
      </c>
      <c r="G84" s="62"/>
      <c r="H84" s="37" t="s">
        <v>10</v>
      </c>
      <c r="I84" s="39"/>
      <c r="J84" s="39"/>
      <c r="K84" s="557"/>
      <c r="L84" s="38">
        <f>0.375+0.34+0.305+0.27</f>
        <v>1.29</v>
      </c>
      <c r="M84" s="56"/>
      <c r="N84" s="56"/>
      <c r="O84" s="61">
        <f>ROUND(L81/1.5,0)</f>
        <v>66</v>
      </c>
      <c r="P84" s="36">
        <f>PRODUCT(L84:O84)</f>
        <v>85.14</v>
      </c>
      <c r="Q84" s="62"/>
      <c r="R84" s="37" t="s">
        <v>10</v>
      </c>
      <c r="S84" s="39"/>
      <c r="T84" s="39"/>
      <c r="V84" s="4">
        <v>0.33</v>
      </c>
    </row>
    <row r="85" spans="1:22" ht="15" x14ac:dyDescent="0.35">
      <c r="A85" s="35"/>
      <c r="B85" s="38"/>
      <c r="C85" s="56"/>
      <c r="D85" s="56"/>
      <c r="E85" s="61"/>
      <c r="F85" s="36"/>
      <c r="G85" s="62"/>
      <c r="H85" s="37"/>
      <c r="I85" s="39"/>
      <c r="J85" s="39"/>
      <c r="K85" s="557"/>
      <c r="L85" s="38"/>
      <c r="M85" s="56"/>
      <c r="N85" s="56"/>
      <c r="O85" s="61"/>
      <c r="P85" s="36"/>
      <c r="Q85" s="62"/>
      <c r="R85" s="37"/>
      <c r="S85" s="39"/>
      <c r="T85" s="39"/>
      <c r="V85" s="4">
        <v>0.3</v>
      </c>
    </row>
    <row r="86" spans="1:22" ht="15" x14ac:dyDescent="0.35">
      <c r="A86" s="1101" t="s">
        <v>361</v>
      </c>
      <c r="B86" s="1102"/>
      <c r="C86" s="1102"/>
      <c r="D86" s="1102"/>
      <c r="E86" s="1102"/>
      <c r="F86" s="1103"/>
      <c r="G86" s="540">
        <f>SUM(F87:F87)</f>
        <v>17.63223</v>
      </c>
      <c r="H86" s="28" t="s">
        <v>68</v>
      </c>
      <c r="I86" s="27"/>
      <c r="J86" s="27">
        <f>ROUND(G86,0)</f>
        <v>18</v>
      </c>
      <c r="K86" s="555"/>
      <c r="L86" s="550"/>
      <c r="M86" s="550"/>
      <c r="N86" s="550"/>
      <c r="O86" s="550"/>
      <c r="P86" s="550"/>
      <c r="Q86" s="540">
        <f>SUM(P87:P87)</f>
        <v>17.63223</v>
      </c>
      <c r="R86" s="28" t="s">
        <v>68</v>
      </c>
      <c r="S86" s="27"/>
      <c r="T86" s="27">
        <f>ROUND(Q86,0)</f>
        <v>18</v>
      </c>
      <c r="U86" t="s">
        <v>131</v>
      </c>
      <c r="V86" s="237">
        <f>SUM(V83:V85)</f>
        <v>1.03</v>
      </c>
    </row>
    <row r="87" spans="1:22" ht="15" x14ac:dyDescent="0.35">
      <c r="A87" s="41" t="s">
        <v>355</v>
      </c>
      <c r="B87" s="42">
        <f>B16</f>
        <v>98.78</v>
      </c>
      <c r="C87" s="38">
        <v>3.57</v>
      </c>
      <c r="D87" s="56">
        <v>0.05</v>
      </c>
      <c r="E87" s="37"/>
      <c r="F87" s="36">
        <f>PRODUCT(B87,C87,D87,E87)</f>
        <v>17.63223</v>
      </c>
      <c r="G87" s="37"/>
      <c r="H87" s="37" t="s">
        <v>68</v>
      </c>
      <c r="I87" s="39"/>
      <c r="J87" s="39"/>
      <c r="K87" s="558"/>
      <c r="L87" s="42">
        <f>L16</f>
        <v>98.78</v>
      </c>
      <c r="M87" s="38">
        <v>3.57</v>
      </c>
      <c r="N87" s="56">
        <v>0.05</v>
      </c>
      <c r="O87" s="37"/>
      <c r="P87" s="36">
        <f>PRODUCT(L87,M87,N87,O87)</f>
        <v>17.63223</v>
      </c>
      <c r="Q87" s="37"/>
      <c r="R87" s="37" t="s">
        <v>68</v>
      </c>
      <c r="S87" s="39"/>
      <c r="T87" s="39"/>
    </row>
    <row r="88" spans="1:22" ht="15" x14ac:dyDescent="0.35">
      <c r="A88" s="35"/>
      <c r="B88" s="38"/>
      <c r="C88" s="56"/>
      <c r="D88" s="56"/>
      <c r="E88" s="61"/>
      <c r="F88" s="36"/>
      <c r="G88" s="62"/>
      <c r="H88" s="37"/>
      <c r="I88" s="39"/>
      <c r="J88" s="39"/>
      <c r="K88" s="557"/>
      <c r="L88" s="38"/>
      <c r="M88" s="56"/>
      <c r="N88" s="56"/>
      <c r="O88" s="61"/>
      <c r="P88" s="36"/>
      <c r="Q88" s="62"/>
      <c r="R88" s="37"/>
      <c r="S88" s="39"/>
      <c r="T88" s="39"/>
    </row>
    <row r="89" spans="1:22" ht="15" x14ac:dyDescent="0.35">
      <c r="A89" s="1101" t="s">
        <v>81</v>
      </c>
      <c r="B89" s="1102"/>
      <c r="C89" s="1102"/>
      <c r="D89" s="1102"/>
      <c r="E89" s="1102"/>
      <c r="F89" s="1103"/>
      <c r="G89" s="540">
        <f>SUM(F90:F94)</f>
        <v>323.0723375</v>
      </c>
      <c r="H89" s="28" t="s">
        <v>68</v>
      </c>
      <c r="I89" s="27"/>
      <c r="J89" s="27">
        <f>ROUND(G89,0)</f>
        <v>323</v>
      </c>
      <c r="K89" s="555"/>
      <c r="L89" s="550"/>
      <c r="M89" s="550"/>
      <c r="N89" s="550"/>
      <c r="O89" s="550"/>
      <c r="P89" s="550"/>
      <c r="Q89" s="540">
        <f>SUM(P90:P94)</f>
        <v>323.0723375</v>
      </c>
      <c r="R89" s="28" t="s">
        <v>68</v>
      </c>
      <c r="S89" s="27"/>
      <c r="T89" s="27">
        <f>ROUND(Q89,0)</f>
        <v>323</v>
      </c>
      <c r="U89" t="s">
        <v>131</v>
      </c>
    </row>
    <row r="90" spans="1:22" ht="15" x14ac:dyDescent="0.35">
      <c r="A90" s="35" t="s">
        <v>364</v>
      </c>
      <c r="B90" s="50"/>
      <c r="C90" s="38"/>
      <c r="D90" s="38"/>
      <c r="E90" s="37"/>
      <c r="F90" s="63"/>
      <c r="G90" s="37"/>
      <c r="H90" s="37"/>
      <c r="I90" s="39"/>
      <c r="J90" s="39"/>
      <c r="K90" s="557"/>
      <c r="L90" s="50"/>
      <c r="M90" s="38"/>
      <c r="N90" s="38"/>
      <c r="O90" s="37"/>
      <c r="P90" s="63"/>
      <c r="Q90" s="37"/>
      <c r="R90" s="37"/>
      <c r="S90" s="39"/>
      <c r="T90" s="39"/>
    </row>
    <row r="91" spans="1:22" ht="15" x14ac:dyDescent="0.35">
      <c r="A91" s="48" t="s">
        <v>82</v>
      </c>
      <c r="B91" s="42">
        <f>B16</f>
        <v>98.78</v>
      </c>
      <c r="C91" s="38">
        <f>(0.25+0.4)/2</f>
        <v>0.32500000000000001</v>
      </c>
      <c r="D91" s="38">
        <v>4.625</v>
      </c>
      <c r="E91" s="37"/>
      <c r="F91" s="63">
        <f>PRODUCT(B91,C91,D91,E91)</f>
        <v>148.47868750000001</v>
      </c>
      <c r="G91" s="37"/>
      <c r="H91" s="37" t="s">
        <v>68</v>
      </c>
      <c r="I91" s="39"/>
      <c r="J91" s="39"/>
      <c r="K91" s="558"/>
      <c r="L91" s="42">
        <f>L16</f>
        <v>98.78</v>
      </c>
      <c r="M91" s="38">
        <f>(0.25+0.4)/2</f>
        <v>0.32500000000000001</v>
      </c>
      <c r="N91" s="38">
        <f>0.325+4+0.3</f>
        <v>4.625</v>
      </c>
      <c r="O91" s="37"/>
      <c r="P91" s="63">
        <f>PRODUCT(L91,M91,N91,O91)</f>
        <v>148.47868750000001</v>
      </c>
      <c r="Q91" s="37"/>
      <c r="R91" s="37" t="s">
        <v>68</v>
      </c>
      <c r="S91" s="39"/>
      <c r="T91" s="39"/>
      <c r="U91" s="4">
        <f>C91*D91</f>
        <v>1.503125</v>
      </c>
    </row>
    <row r="92" spans="1:22" ht="15" x14ac:dyDescent="0.35">
      <c r="A92" s="48" t="s">
        <v>83</v>
      </c>
      <c r="B92" s="42">
        <f>B16</f>
        <v>98.78</v>
      </c>
      <c r="C92" s="38">
        <v>3.2</v>
      </c>
      <c r="D92" s="38">
        <v>0.4</v>
      </c>
      <c r="E92" s="37"/>
      <c r="F92" s="63">
        <f>PRODUCT(B92,C92,D92,E92)</f>
        <v>126.4384</v>
      </c>
      <c r="G92" s="37"/>
      <c r="H92" s="37" t="s">
        <v>68</v>
      </c>
      <c r="I92" s="39"/>
      <c r="J92" s="39"/>
      <c r="K92" s="558"/>
      <c r="L92" s="42">
        <f>L16</f>
        <v>98.78</v>
      </c>
      <c r="M92" s="38">
        <v>3.2</v>
      </c>
      <c r="N92" s="38">
        <v>0.4</v>
      </c>
      <c r="O92" s="37"/>
      <c r="P92" s="63">
        <f>PRODUCT(L92,M92,N92,O92)</f>
        <v>126.4384</v>
      </c>
      <c r="Q92" s="37"/>
      <c r="R92" s="37" t="s">
        <v>68</v>
      </c>
      <c r="S92" s="39"/>
      <c r="T92" s="39"/>
      <c r="U92" s="4">
        <f>C92*D92</f>
        <v>1.2800000000000002</v>
      </c>
    </row>
    <row r="93" spans="1:22" ht="15" x14ac:dyDescent="0.35">
      <c r="A93" s="48" t="s">
        <v>362</v>
      </c>
      <c r="B93" s="42">
        <f>B16</f>
        <v>98.78</v>
      </c>
      <c r="C93" s="38">
        <f>(0.45+0.6)/2</f>
        <v>0.52500000000000002</v>
      </c>
      <c r="D93" s="38">
        <v>0.5</v>
      </c>
      <c r="E93" s="37"/>
      <c r="F93" s="63">
        <f>PRODUCT(B93,C93,D93,E93)</f>
        <v>25.929750000000002</v>
      </c>
      <c r="G93" s="37"/>
      <c r="H93" s="37" t="s">
        <v>68</v>
      </c>
      <c r="I93" s="39"/>
      <c r="J93" s="39"/>
      <c r="K93" s="558"/>
      <c r="L93" s="42">
        <f>L16</f>
        <v>98.78</v>
      </c>
      <c r="M93" s="38">
        <f>(0.45+0.6)/2</f>
        <v>0.52500000000000002</v>
      </c>
      <c r="N93" s="38">
        <v>0.5</v>
      </c>
      <c r="O93" s="37"/>
      <c r="P93" s="63">
        <f>PRODUCT(L93,M93,N93,O93)</f>
        <v>25.929750000000002</v>
      </c>
      <c r="Q93" s="37"/>
      <c r="R93" s="37" t="s">
        <v>68</v>
      </c>
      <c r="S93" s="39"/>
      <c r="T93" s="39"/>
      <c r="U93" s="4">
        <f>C93*D93</f>
        <v>0.26250000000000001</v>
      </c>
    </row>
    <row r="94" spans="1:22" ht="15" x14ac:dyDescent="0.35">
      <c r="A94" s="48" t="s">
        <v>363</v>
      </c>
      <c r="B94" s="42">
        <f>B16</f>
        <v>98.78</v>
      </c>
      <c r="C94" s="38">
        <v>1.5</v>
      </c>
      <c r="D94" s="38">
        <v>0.15</v>
      </c>
      <c r="E94" s="37"/>
      <c r="F94" s="63">
        <f>PRODUCT(B94,C94,D94,E94)</f>
        <v>22.2255</v>
      </c>
      <c r="G94" s="37"/>
      <c r="H94" s="37" t="s">
        <v>68</v>
      </c>
      <c r="I94" s="39"/>
      <c r="J94" s="39"/>
      <c r="K94" s="558"/>
      <c r="L94" s="42">
        <f>L16</f>
        <v>98.78</v>
      </c>
      <c r="M94" s="38">
        <v>1.5</v>
      </c>
      <c r="N94" s="38">
        <v>0.15</v>
      </c>
      <c r="O94" s="37"/>
      <c r="P94" s="63">
        <f>PRODUCT(L94,M94,N94,O94)</f>
        <v>22.2255</v>
      </c>
      <c r="Q94" s="37"/>
      <c r="R94" s="37" t="s">
        <v>68</v>
      </c>
      <c r="S94" s="39"/>
      <c r="T94" s="39"/>
      <c r="U94" s="4">
        <f>C94*D94</f>
        <v>0.22499999999999998</v>
      </c>
    </row>
    <row r="95" spans="1:22" ht="15" x14ac:dyDescent="0.35">
      <c r="A95" s="35"/>
      <c r="B95" s="38"/>
      <c r="C95" s="56"/>
      <c r="D95" s="56"/>
      <c r="E95" s="61"/>
      <c r="F95" s="36"/>
      <c r="G95" s="62"/>
      <c r="H95" s="37"/>
      <c r="I95" s="39"/>
      <c r="J95" s="39"/>
      <c r="K95" s="557"/>
      <c r="L95" s="38"/>
      <c r="M95" s="56"/>
      <c r="N95" s="56"/>
      <c r="O95" s="61"/>
      <c r="P95" s="36"/>
      <c r="Q95" s="62"/>
      <c r="R95" s="37"/>
      <c r="S95" s="39"/>
      <c r="T95" s="39"/>
    </row>
    <row r="96" spans="1:22" ht="15" x14ac:dyDescent="0.35">
      <c r="A96" s="1101" t="s">
        <v>42</v>
      </c>
      <c r="B96" s="1102"/>
      <c r="C96" s="1102"/>
      <c r="D96" s="1102"/>
      <c r="E96" s="1102"/>
      <c r="F96" s="1103"/>
      <c r="G96" s="540">
        <f>SUM(F97:F100)</f>
        <v>1058.347</v>
      </c>
      <c r="H96" s="28" t="s">
        <v>59</v>
      </c>
      <c r="I96" s="27"/>
      <c r="J96" s="27">
        <f>ROUND(G96,0)</f>
        <v>1058</v>
      </c>
      <c r="K96" s="555"/>
      <c r="L96" s="550"/>
      <c r="M96" s="550"/>
      <c r="N96" s="550"/>
      <c r="O96" s="550"/>
      <c r="P96" s="550"/>
      <c r="Q96" s="540">
        <f>SUM(P97:P100)</f>
        <v>1058.347</v>
      </c>
      <c r="R96" s="28" t="s">
        <v>59</v>
      </c>
      <c r="S96" s="27"/>
      <c r="T96" s="27">
        <f>ROUND(Q96,0)</f>
        <v>1058</v>
      </c>
      <c r="U96" t="s">
        <v>131</v>
      </c>
    </row>
    <row r="97" spans="1:21" ht="15" x14ac:dyDescent="0.35">
      <c r="A97" s="41" t="s">
        <v>355</v>
      </c>
      <c r="B97" s="50"/>
      <c r="C97" s="38"/>
      <c r="D97" s="38"/>
      <c r="E97" s="37"/>
      <c r="F97" s="63"/>
      <c r="G97" s="37"/>
      <c r="H97" s="37"/>
      <c r="I97" s="39"/>
      <c r="J97" s="39"/>
      <c r="K97" s="557"/>
      <c r="L97" s="50"/>
      <c r="M97" s="38"/>
      <c r="N97" s="38"/>
      <c r="O97" s="37"/>
      <c r="P97" s="63"/>
      <c r="Q97" s="37"/>
      <c r="R97" s="37"/>
      <c r="S97" s="39"/>
      <c r="T97" s="39"/>
    </row>
    <row r="98" spans="1:21" ht="15" x14ac:dyDescent="0.35">
      <c r="A98" s="48" t="s">
        <v>84</v>
      </c>
      <c r="B98" s="42">
        <f>B16</f>
        <v>98.78</v>
      </c>
      <c r="C98" s="38"/>
      <c r="D98" s="38">
        <f>0.325+4+0.3+0.9+0.05</f>
        <v>5.5750000000000002</v>
      </c>
      <c r="E98" s="37"/>
      <c r="F98" s="63">
        <f>PRODUCT(B98:E98)</f>
        <v>550.69849999999997</v>
      </c>
      <c r="G98" s="37"/>
      <c r="H98" s="37" t="s">
        <v>59</v>
      </c>
      <c r="I98" s="39"/>
      <c r="J98" s="39"/>
      <c r="K98" s="558"/>
      <c r="L98" s="42">
        <f>L16</f>
        <v>98.78</v>
      </c>
      <c r="M98" s="38"/>
      <c r="N98" s="38">
        <f>0.325+4+0.3+0.9+0.05</f>
        <v>5.5750000000000002</v>
      </c>
      <c r="O98" s="37"/>
      <c r="P98" s="63">
        <f>PRODUCT(L98:O98)</f>
        <v>550.69849999999997</v>
      </c>
      <c r="Q98" s="37"/>
      <c r="R98" s="37" t="s">
        <v>59</v>
      </c>
      <c r="S98" s="39"/>
      <c r="T98" s="39"/>
    </row>
    <row r="99" spans="1:21" ht="15" x14ac:dyDescent="0.35">
      <c r="A99" s="48" t="s">
        <v>85</v>
      </c>
      <c r="B99" s="42">
        <f>B16</f>
        <v>98.78</v>
      </c>
      <c r="C99" s="38"/>
      <c r="D99" s="38">
        <f>4+0.325+0.7+0.05</f>
        <v>5.0750000000000002</v>
      </c>
      <c r="E99" s="37"/>
      <c r="F99" s="63">
        <f>PRODUCT(B99:E99)</f>
        <v>501.30850000000004</v>
      </c>
      <c r="G99" s="37"/>
      <c r="H99" s="37" t="s">
        <v>59</v>
      </c>
      <c r="I99" s="39"/>
      <c r="J99" s="39"/>
      <c r="K99" s="558"/>
      <c r="L99" s="42">
        <f>L16</f>
        <v>98.78</v>
      </c>
      <c r="M99" s="38"/>
      <c r="N99" s="38">
        <f>4+0.325+0.7+0.05</f>
        <v>5.0750000000000002</v>
      </c>
      <c r="O99" s="37"/>
      <c r="P99" s="63">
        <f>PRODUCT(L99:O99)</f>
        <v>501.30850000000004</v>
      </c>
      <c r="Q99" s="37"/>
      <c r="R99" s="37" t="s">
        <v>59</v>
      </c>
      <c r="S99" s="39"/>
      <c r="T99" s="39"/>
    </row>
    <row r="100" spans="1:21" ht="15" x14ac:dyDescent="0.35">
      <c r="A100" s="48" t="s">
        <v>86</v>
      </c>
      <c r="B100" s="42"/>
      <c r="C100" s="38"/>
      <c r="D100" s="38">
        <v>3.17</v>
      </c>
      <c r="E100" s="37">
        <v>2</v>
      </c>
      <c r="F100" s="63">
        <f>PRODUCT(B100:E100)</f>
        <v>6.34</v>
      </c>
      <c r="G100" s="37"/>
      <c r="H100" s="37" t="s">
        <v>59</v>
      </c>
      <c r="I100" s="39"/>
      <c r="J100" s="39"/>
      <c r="K100" s="558"/>
      <c r="L100" s="42"/>
      <c r="M100" s="38"/>
      <c r="N100" s="38">
        <v>3.17</v>
      </c>
      <c r="O100" s="37">
        <v>2</v>
      </c>
      <c r="P100" s="63">
        <f>PRODUCT(L100:O100)</f>
        <v>6.34</v>
      </c>
      <c r="Q100" s="37"/>
      <c r="R100" s="37" t="s">
        <v>59</v>
      </c>
      <c r="S100" s="39"/>
      <c r="T100" s="39"/>
    </row>
    <row r="101" spans="1:21" ht="15" x14ac:dyDescent="0.35">
      <c r="A101" s="35"/>
      <c r="B101" s="50"/>
      <c r="C101" s="38"/>
      <c r="D101" s="38"/>
      <c r="E101" s="37"/>
      <c r="F101" s="63"/>
      <c r="G101" s="37"/>
      <c r="H101" s="37"/>
      <c r="I101" s="39"/>
      <c r="J101" s="39"/>
      <c r="K101" s="557"/>
      <c r="L101" s="50"/>
      <c r="M101" s="38"/>
      <c r="N101" s="38"/>
      <c r="O101" s="37"/>
      <c r="P101" s="63"/>
      <c r="Q101" s="37"/>
      <c r="R101" s="37"/>
      <c r="S101" s="39"/>
      <c r="T101" s="39"/>
    </row>
    <row r="102" spans="1:21" ht="30" x14ac:dyDescent="0.25">
      <c r="A102" s="537"/>
      <c r="B102" s="538" t="s">
        <v>87</v>
      </c>
      <c r="C102" s="538" t="s">
        <v>51</v>
      </c>
      <c r="D102" s="538" t="s">
        <v>38</v>
      </c>
      <c r="E102" s="539" t="s">
        <v>88</v>
      </c>
      <c r="F102" s="538" t="s">
        <v>89</v>
      </c>
      <c r="G102" s="538"/>
      <c r="H102" s="538"/>
      <c r="I102" s="538"/>
      <c r="J102" s="538"/>
      <c r="K102" s="553"/>
      <c r="L102" s="538" t="s">
        <v>87</v>
      </c>
      <c r="M102" s="538" t="s">
        <v>51</v>
      </c>
      <c r="N102" s="538" t="s">
        <v>38</v>
      </c>
      <c r="O102" s="539" t="s">
        <v>88</v>
      </c>
      <c r="P102" s="538" t="s">
        <v>89</v>
      </c>
      <c r="Q102" s="538"/>
      <c r="R102" s="538"/>
      <c r="S102" s="538"/>
      <c r="T102" s="538"/>
    </row>
    <row r="103" spans="1:21" ht="15" x14ac:dyDescent="0.35">
      <c r="A103" s="1101" t="s">
        <v>90</v>
      </c>
      <c r="B103" s="1102"/>
      <c r="C103" s="1102"/>
      <c r="D103" s="1102"/>
      <c r="E103" s="1102"/>
      <c r="F103" s="1103"/>
      <c r="G103" s="27">
        <f>SUM(F104:F116)</f>
        <v>28639.294532627864</v>
      </c>
      <c r="H103" s="28" t="s">
        <v>91</v>
      </c>
      <c r="I103" s="27"/>
      <c r="J103" s="27">
        <f>ROUND(G103,0)</f>
        <v>28639</v>
      </c>
      <c r="K103" s="555"/>
      <c r="L103" s="550"/>
      <c r="M103" s="550"/>
      <c r="N103" s="550"/>
      <c r="O103" s="550"/>
      <c r="P103" s="550"/>
      <c r="Q103" s="27">
        <f>SUM(P104:P116)</f>
        <v>30534.091817647371</v>
      </c>
      <c r="R103" s="28" t="s">
        <v>91</v>
      </c>
      <c r="S103" s="27"/>
      <c r="T103" s="27">
        <f>ROUND(Q103,0)</f>
        <v>30534</v>
      </c>
      <c r="U103" t="s">
        <v>131</v>
      </c>
    </row>
    <row r="104" spans="1:21" ht="15" x14ac:dyDescent="0.35">
      <c r="A104" s="41" t="s">
        <v>355</v>
      </c>
      <c r="B104" s="38"/>
      <c r="C104" s="37"/>
      <c r="D104" s="38"/>
      <c r="E104" s="37"/>
      <c r="F104" s="36"/>
      <c r="G104" s="56"/>
      <c r="H104" s="37"/>
      <c r="I104" s="39"/>
      <c r="J104" s="39"/>
      <c r="K104" s="557"/>
      <c r="L104" s="38"/>
      <c r="M104" s="37"/>
      <c r="N104" s="38"/>
      <c r="O104" s="37"/>
      <c r="P104" s="36"/>
      <c r="Q104" s="56"/>
      <c r="R104" s="37"/>
      <c r="S104" s="39"/>
      <c r="T104" s="39"/>
    </row>
    <row r="105" spans="1:21" ht="15" x14ac:dyDescent="0.35">
      <c r="A105" s="55" t="s">
        <v>82</v>
      </c>
      <c r="B105" s="38"/>
      <c r="C105" s="37"/>
      <c r="D105" s="38"/>
      <c r="E105" s="39"/>
      <c r="F105" s="36"/>
      <c r="G105" s="56"/>
      <c r="H105" s="37"/>
      <c r="I105" s="39"/>
      <c r="J105" s="39"/>
      <c r="K105" s="557"/>
      <c r="L105" s="38"/>
      <c r="M105" s="37"/>
      <c r="N105" s="38"/>
      <c r="O105" s="39"/>
      <c r="P105" s="36"/>
      <c r="Q105" s="56"/>
      <c r="R105" s="37"/>
      <c r="S105" s="39"/>
      <c r="T105" s="39"/>
    </row>
    <row r="106" spans="1:21" ht="15" x14ac:dyDescent="0.35">
      <c r="A106" s="238" t="s">
        <v>368</v>
      </c>
      <c r="B106" s="38">
        <v>20</v>
      </c>
      <c r="C106" s="37">
        <f>ROUND(D108/0.2,0)+1</f>
        <v>495</v>
      </c>
      <c r="D106" s="38">
        <f>0.17+4.585+0.338+0.45</f>
        <v>5.5430000000000001</v>
      </c>
      <c r="E106" s="56">
        <f>B106^2/162.162</f>
        <v>2.4666691333357997</v>
      </c>
      <c r="F106" s="36">
        <f>PRODUCT(C106:E106)</f>
        <v>6768.009768009767</v>
      </c>
      <c r="G106" s="56"/>
      <c r="H106" s="37" t="s">
        <v>91</v>
      </c>
      <c r="I106" s="39"/>
      <c r="J106" s="39"/>
      <c r="K106" s="557"/>
      <c r="L106" s="38">
        <v>20</v>
      </c>
      <c r="M106" s="565">
        <f>ROUND(L98/0.2,0)+1</f>
        <v>495</v>
      </c>
      <c r="N106" s="38">
        <f>0.17+4.585+0.338+0.45</f>
        <v>5.5430000000000001</v>
      </c>
      <c r="O106" s="56">
        <f>L106^2/162.162</f>
        <v>2.4666691333357997</v>
      </c>
      <c r="P106" s="36">
        <f>PRODUCT(M106:O106)</f>
        <v>6768.009768009767</v>
      </c>
      <c r="Q106" s="56"/>
      <c r="R106" s="37" t="s">
        <v>91</v>
      </c>
      <c r="S106" s="39"/>
      <c r="T106" s="39"/>
    </row>
    <row r="107" spans="1:21" ht="15" x14ac:dyDescent="0.35">
      <c r="A107" s="48" t="s">
        <v>369</v>
      </c>
      <c r="B107" s="38">
        <v>12</v>
      </c>
      <c r="C107" s="37">
        <f>ROUND(D108/0.2,0)+1</f>
        <v>495</v>
      </c>
      <c r="D107" s="38">
        <f>0.45+0.064+4.265+0.15</f>
        <v>4.9290000000000003</v>
      </c>
      <c r="E107" s="56">
        <f>B107^2/162.162</f>
        <v>0.88800088800088794</v>
      </c>
      <c r="F107" s="36">
        <f>PRODUCT(C107:E107)</f>
        <v>2166.5934065934066</v>
      </c>
      <c r="G107" s="56"/>
      <c r="H107" s="37" t="s">
        <v>91</v>
      </c>
      <c r="I107" s="39"/>
      <c r="J107" s="39"/>
      <c r="K107" s="557"/>
      <c r="L107" s="38">
        <v>12</v>
      </c>
      <c r="M107" s="39">
        <f>ROUND(L99/0.2,0)+1</f>
        <v>495</v>
      </c>
      <c r="N107" s="38">
        <f>0.45+0.064+4.265+0.15</f>
        <v>4.9290000000000003</v>
      </c>
      <c r="O107" s="56">
        <f>L107^2/162.162</f>
        <v>0.88800088800088794</v>
      </c>
      <c r="P107" s="36">
        <f>PRODUCT(M107:O107)</f>
        <v>2166.5934065934066</v>
      </c>
      <c r="Q107" s="56"/>
      <c r="R107" s="37" t="s">
        <v>91</v>
      </c>
      <c r="S107" s="39"/>
      <c r="T107" s="39"/>
    </row>
    <row r="108" spans="1:21" ht="15" x14ac:dyDescent="0.35">
      <c r="A108" s="238" t="s">
        <v>369</v>
      </c>
      <c r="B108" s="38">
        <v>12</v>
      </c>
      <c r="C108" s="37">
        <v>46</v>
      </c>
      <c r="D108" s="38">
        <f>B16</f>
        <v>98.78</v>
      </c>
      <c r="E108" s="56">
        <f>B108^2/162.162</f>
        <v>0.88800088800088794</v>
      </c>
      <c r="F108" s="36">
        <f>PRODUCT(C108:E108)</f>
        <v>4034.969474969475</v>
      </c>
      <c r="G108" s="56"/>
      <c r="H108" s="37" t="s">
        <v>91</v>
      </c>
      <c r="I108" s="39"/>
      <c r="J108" s="39"/>
      <c r="K108" s="557"/>
      <c r="L108" s="38">
        <v>12</v>
      </c>
      <c r="M108" s="37">
        <f>ROUND((N106/0.2+N107/0.2),0)+1</f>
        <v>53</v>
      </c>
      <c r="N108" s="38">
        <f>L16+L16/6*52*L111/1000</f>
        <v>107.34093333333334</v>
      </c>
      <c r="O108" s="56">
        <f>L108^2/162.162</f>
        <v>0.88800088800088794</v>
      </c>
      <c r="P108" s="36">
        <f>PRODUCT(M108:O108)</f>
        <v>5051.898738298738</v>
      </c>
      <c r="Q108" s="56"/>
      <c r="R108" s="37" t="s">
        <v>91</v>
      </c>
      <c r="S108" s="39"/>
      <c r="T108" s="39"/>
    </row>
    <row r="109" spans="1:21" ht="15" x14ac:dyDescent="0.35">
      <c r="A109" s="239" t="s">
        <v>366</v>
      </c>
      <c r="B109" s="38"/>
      <c r="C109" s="37"/>
      <c r="D109" s="38"/>
      <c r="E109" s="39"/>
      <c r="F109" s="36"/>
      <c r="G109" s="56"/>
      <c r="H109" s="37"/>
      <c r="I109" s="39"/>
      <c r="J109" s="39"/>
      <c r="K109" s="557"/>
      <c r="L109" s="38"/>
      <c r="M109" s="39"/>
      <c r="N109" s="38"/>
      <c r="O109" s="39"/>
      <c r="P109" s="36"/>
      <c r="Q109" s="56"/>
      <c r="R109" s="37"/>
      <c r="S109" s="39"/>
      <c r="T109" s="39"/>
    </row>
    <row r="110" spans="1:21" ht="15" x14ac:dyDescent="0.35">
      <c r="A110" s="48" t="s">
        <v>365</v>
      </c>
      <c r="B110" s="38">
        <v>12</v>
      </c>
      <c r="C110" s="37">
        <f>ROUND(D111/0.15,0)+1</f>
        <v>660</v>
      </c>
      <c r="D110" s="38">
        <f>0.3+0.16+1.25+0.09</f>
        <v>1.8</v>
      </c>
      <c r="E110" s="56">
        <f>B110^2/162.162</f>
        <v>0.88800088800088794</v>
      </c>
      <c r="F110" s="36">
        <f>PRODUCT(C110:E110)</f>
        <v>1054.9450549450548</v>
      </c>
      <c r="G110" s="56"/>
      <c r="H110" s="37" t="s">
        <v>91</v>
      </c>
      <c r="I110" s="39"/>
      <c r="J110" s="39"/>
      <c r="K110" s="557"/>
      <c r="L110" s="38">
        <v>12</v>
      </c>
      <c r="M110" s="37">
        <f>ROUND(N111/0.15,0)+1</f>
        <v>717</v>
      </c>
      <c r="N110" s="38">
        <f>0.3+0.16+1.25+0.09</f>
        <v>1.8</v>
      </c>
      <c r="O110" s="56">
        <f>L110^2/162.162</f>
        <v>0.88800088800088794</v>
      </c>
      <c r="P110" s="36">
        <f>PRODUCT(M110:O110)</f>
        <v>1146.053946053946</v>
      </c>
      <c r="Q110" s="56"/>
      <c r="R110" s="37" t="s">
        <v>91</v>
      </c>
      <c r="S110" s="39"/>
      <c r="T110" s="39"/>
    </row>
    <row r="111" spans="1:21" ht="15" x14ac:dyDescent="0.35">
      <c r="A111" s="238" t="s">
        <v>367</v>
      </c>
      <c r="B111" s="38">
        <v>10</v>
      </c>
      <c r="C111" s="37">
        <v>10</v>
      </c>
      <c r="D111" s="38">
        <f>B16</f>
        <v>98.78</v>
      </c>
      <c r="E111" s="56">
        <f>B111^2/162.162</f>
        <v>0.61666728333394993</v>
      </c>
      <c r="F111" s="36">
        <f>PRODUCT(C111:E111)</f>
        <v>609.14394247727569</v>
      </c>
      <c r="G111" s="56"/>
      <c r="H111" s="37" t="s">
        <v>91</v>
      </c>
      <c r="I111" s="39"/>
      <c r="J111" s="39"/>
      <c r="K111" s="557"/>
      <c r="L111" s="38">
        <v>10</v>
      </c>
      <c r="M111" s="37">
        <v>10</v>
      </c>
      <c r="N111" s="38">
        <f>L16+L16/6*52*L111/1000</f>
        <v>107.34093333333334</v>
      </c>
      <c r="O111" s="56">
        <f>L111^2/162.162</f>
        <v>0.61666728333394993</v>
      </c>
      <c r="P111" s="36">
        <f>PRODUCT(M111:O111)</f>
        <v>661.93641749197309</v>
      </c>
      <c r="Q111" s="56"/>
      <c r="R111" s="37" t="s">
        <v>91</v>
      </c>
      <c r="S111" s="39"/>
      <c r="T111" s="39"/>
    </row>
    <row r="112" spans="1:21" ht="15" x14ac:dyDescent="0.35">
      <c r="A112" s="239" t="s">
        <v>83</v>
      </c>
      <c r="B112" s="38"/>
      <c r="C112" s="37"/>
      <c r="D112" s="38"/>
      <c r="E112" s="56"/>
      <c r="F112" s="36"/>
      <c r="G112" s="56"/>
      <c r="H112" s="37"/>
      <c r="I112" s="39"/>
      <c r="J112" s="39"/>
      <c r="K112" s="557"/>
      <c r="L112" s="38"/>
      <c r="M112" s="37"/>
      <c r="N112" s="38"/>
      <c r="O112" s="56"/>
      <c r="P112" s="36"/>
      <c r="Q112" s="56"/>
      <c r="R112" s="37"/>
      <c r="S112" s="39"/>
      <c r="T112" s="39"/>
    </row>
    <row r="113" spans="1:21" ht="15" x14ac:dyDescent="0.35">
      <c r="A113" s="48" t="s">
        <v>368</v>
      </c>
      <c r="B113" s="38">
        <v>20</v>
      </c>
      <c r="C113" s="37">
        <f>ROUND(D116/0.15,0)+1</f>
        <v>660</v>
      </c>
      <c r="D113" s="38">
        <f>0.308+3.108+0.82+0.37</f>
        <v>4.6059999999999999</v>
      </c>
      <c r="E113" s="56">
        <f>B113^2/162.162</f>
        <v>2.4666691333357997</v>
      </c>
      <c r="F113" s="36">
        <f>PRODUCT(C113:E113)</f>
        <v>7498.5754985754975</v>
      </c>
      <c r="G113" s="56"/>
      <c r="H113" s="37" t="s">
        <v>91</v>
      </c>
      <c r="I113" s="39"/>
      <c r="J113" s="39"/>
      <c r="K113" s="557"/>
      <c r="L113" s="38">
        <v>20</v>
      </c>
      <c r="M113" s="37">
        <f>ROUND(N116/0.15,0)+1</f>
        <v>717</v>
      </c>
      <c r="N113" s="38">
        <f>0.308+3.108+0.82+0.37</f>
        <v>4.6059999999999999</v>
      </c>
      <c r="O113" s="56">
        <f>L113^2/162.162</f>
        <v>2.4666691333357997</v>
      </c>
      <c r="P113" s="36">
        <f>PRODUCT(M113:O113)</f>
        <v>8146.1797461797451</v>
      </c>
      <c r="Q113" s="56"/>
      <c r="R113" s="37" t="s">
        <v>91</v>
      </c>
      <c r="S113" s="39"/>
      <c r="T113" s="39"/>
    </row>
    <row r="114" spans="1:21" ht="15" x14ac:dyDescent="0.35">
      <c r="A114" s="48" t="s">
        <v>369</v>
      </c>
      <c r="B114" s="38">
        <v>12</v>
      </c>
      <c r="C114" s="37">
        <f>ROUND(D116/0.15,0)+1</f>
        <v>660</v>
      </c>
      <c r="D114" s="38">
        <f>0.45+3.12+0.37</f>
        <v>3.9400000000000004</v>
      </c>
      <c r="E114" s="56">
        <f>B114^2/162.162</f>
        <v>0.88800088800088794</v>
      </c>
      <c r="F114" s="36">
        <f>PRODUCT(C114:E114)</f>
        <v>2309.1575091575091</v>
      </c>
      <c r="G114" s="56"/>
      <c r="H114" s="37" t="s">
        <v>91</v>
      </c>
      <c r="I114" s="39"/>
      <c r="J114" s="39"/>
      <c r="K114" s="557"/>
      <c r="L114" s="38">
        <v>12</v>
      </c>
      <c r="M114" s="37">
        <f>ROUND(N116/0.15,0)+1</f>
        <v>717</v>
      </c>
      <c r="N114" s="38">
        <f>0.45+3.12+0.37</f>
        <v>3.9400000000000004</v>
      </c>
      <c r="O114" s="56">
        <f>L114^2/162.162</f>
        <v>0.88800088800088794</v>
      </c>
      <c r="P114" s="36">
        <f>PRODUCT(M114:O114)</f>
        <v>2508.5847485847489</v>
      </c>
      <c r="Q114" s="56"/>
      <c r="R114" s="37" t="s">
        <v>91</v>
      </c>
      <c r="S114" s="39"/>
      <c r="T114" s="39"/>
    </row>
    <row r="115" spans="1:21" ht="15" x14ac:dyDescent="0.35">
      <c r="A115" s="48" t="s">
        <v>369</v>
      </c>
      <c r="B115" s="38">
        <v>12</v>
      </c>
      <c r="C115" s="37">
        <f>ROUND(D116/0.15,0)+1</f>
        <v>660</v>
      </c>
      <c r="D115" s="38">
        <f>0.45+0.825+0.35</f>
        <v>1.625</v>
      </c>
      <c r="E115" s="56">
        <f>B115^2/162.162</f>
        <v>0.88800088800088794</v>
      </c>
      <c r="F115" s="36">
        <f>PRODUCT(C115:E115)</f>
        <v>952.38095238095229</v>
      </c>
      <c r="G115" s="56"/>
      <c r="H115" s="37" t="s">
        <v>91</v>
      </c>
      <c r="I115" s="39"/>
      <c r="J115" s="39"/>
      <c r="K115" s="557"/>
      <c r="L115" s="38">
        <v>12</v>
      </c>
      <c r="M115" s="37">
        <f>ROUND(N116/0.15,0)+1</f>
        <v>717</v>
      </c>
      <c r="N115" s="38">
        <f>0.45+0.825+0.35</f>
        <v>1.625</v>
      </c>
      <c r="O115" s="56">
        <f>L115^2/162.162</f>
        <v>0.88800088800088794</v>
      </c>
      <c r="P115" s="36">
        <f>PRODUCT(M115:O115)</f>
        <v>1034.6320346320347</v>
      </c>
      <c r="Q115" s="56"/>
      <c r="R115" s="37" t="s">
        <v>91</v>
      </c>
      <c r="S115" s="39"/>
      <c r="T115" s="39"/>
    </row>
    <row r="116" spans="1:21" ht="15" x14ac:dyDescent="0.35">
      <c r="A116" s="48" t="s">
        <v>369</v>
      </c>
      <c r="B116" s="38">
        <v>12</v>
      </c>
      <c r="C116" s="37">
        <v>37</v>
      </c>
      <c r="D116" s="38">
        <f>B16</f>
        <v>98.78</v>
      </c>
      <c r="E116" s="56">
        <f>B116^2/162.162</f>
        <v>0.88800088800088794</v>
      </c>
      <c r="F116" s="36">
        <f>PRODUCT(C116:E116)</f>
        <v>3245.5189255189252</v>
      </c>
      <c r="G116" s="56"/>
      <c r="H116" s="37" t="s">
        <v>91</v>
      </c>
      <c r="I116" s="39"/>
      <c r="J116" s="39"/>
      <c r="K116" s="557"/>
      <c r="L116" s="38">
        <v>12</v>
      </c>
      <c r="M116" s="37">
        <f>ROUND((N113/0.2+N115/0.2),0)+1</f>
        <v>32</v>
      </c>
      <c r="N116" s="38">
        <f>L16+L16/6*52*L111/1000</f>
        <v>107.34093333333334</v>
      </c>
      <c r="O116" s="56">
        <f>L116^2/162.162</f>
        <v>0.88800088800088794</v>
      </c>
      <c r="P116" s="36">
        <f>PRODUCT(M116:O116)</f>
        <v>3050.2030118030116</v>
      </c>
      <c r="Q116" s="56"/>
      <c r="R116" s="37" t="s">
        <v>91</v>
      </c>
      <c r="S116" s="39"/>
      <c r="T116" s="39"/>
    </row>
    <row r="117" spans="1:21" ht="15" x14ac:dyDescent="0.35">
      <c r="A117" s="48"/>
      <c r="B117" s="38"/>
      <c r="C117" s="37"/>
      <c r="D117" s="38"/>
      <c r="E117" s="37"/>
      <c r="F117" s="36"/>
      <c r="G117" s="56"/>
      <c r="H117" s="37"/>
      <c r="I117" s="39"/>
      <c r="J117" s="39"/>
      <c r="K117" s="557"/>
      <c r="L117" s="38"/>
      <c r="M117" s="37"/>
      <c r="N117" s="38"/>
      <c r="O117" s="37"/>
      <c r="P117" s="36"/>
      <c r="Q117" s="56"/>
      <c r="R117" s="37"/>
      <c r="S117" s="39"/>
      <c r="T117" s="39"/>
    </row>
    <row r="118" spans="1:21" ht="15" x14ac:dyDescent="0.35">
      <c r="A118" s="1101"/>
      <c r="B118" s="1102"/>
      <c r="C118" s="1102"/>
      <c r="D118" s="1102"/>
      <c r="E118" s="1102"/>
      <c r="F118" s="1103"/>
      <c r="G118" s="27"/>
      <c r="H118" s="28"/>
      <c r="I118" s="27"/>
      <c r="J118" s="27"/>
      <c r="K118" s="555"/>
      <c r="L118" s="550"/>
      <c r="M118" s="550"/>
      <c r="N118" s="550"/>
      <c r="O118" s="550"/>
      <c r="P118" s="550"/>
      <c r="Q118" s="27"/>
      <c r="R118" s="28"/>
      <c r="S118" s="27"/>
      <c r="T118" s="27"/>
      <c r="U118" t="s">
        <v>131</v>
      </c>
    </row>
    <row r="119" spans="1:21" ht="15" x14ac:dyDescent="0.35">
      <c r="A119" s="41"/>
      <c r="B119" s="42"/>
      <c r="C119" s="38"/>
      <c r="D119" s="38"/>
      <c r="E119" s="37"/>
      <c r="F119" s="63"/>
      <c r="G119" s="37"/>
      <c r="H119" s="37"/>
      <c r="I119" s="39"/>
      <c r="J119" s="39"/>
      <c r="K119" s="558"/>
      <c r="L119" s="42"/>
      <c r="M119" s="38"/>
      <c r="N119" s="38"/>
      <c r="O119" s="37"/>
      <c r="P119" s="63"/>
      <c r="Q119" s="37"/>
      <c r="R119" s="37"/>
      <c r="S119" s="39"/>
      <c r="T119" s="39"/>
    </row>
    <row r="120" spans="1:21" ht="15" x14ac:dyDescent="0.35">
      <c r="A120" s="51"/>
      <c r="B120" s="220"/>
      <c r="C120" s="38"/>
      <c r="D120" s="38"/>
      <c r="E120" s="39"/>
      <c r="F120" s="63"/>
      <c r="G120" s="37"/>
      <c r="H120" s="37"/>
      <c r="I120" s="39"/>
      <c r="J120" s="39"/>
      <c r="K120" s="558"/>
      <c r="L120" s="220"/>
      <c r="M120" s="38"/>
      <c r="N120" s="38"/>
      <c r="O120" s="39"/>
      <c r="P120" s="63"/>
      <c r="Q120" s="37"/>
      <c r="R120" s="37"/>
      <c r="S120" s="39"/>
      <c r="T120" s="39"/>
    </row>
    <row r="121" spans="1:21" ht="15" x14ac:dyDescent="0.35">
      <c r="A121" s="51"/>
      <c r="B121" s="220"/>
      <c r="C121" s="38"/>
      <c r="D121" s="38"/>
      <c r="E121" s="39"/>
      <c r="F121" s="63"/>
      <c r="G121" s="37"/>
      <c r="H121" s="37"/>
      <c r="I121" s="39"/>
      <c r="J121" s="39"/>
      <c r="K121" s="558"/>
      <c r="L121" s="220"/>
      <c r="M121" s="38"/>
      <c r="N121" s="38"/>
      <c r="O121" s="39"/>
      <c r="P121" s="63"/>
      <c r="Q121" s="37"/>
      <c r="R121" s="37"/>
      <c r="S121" s="39"/>
      <c r="T121" s="39"/>
    </row>
    <row r="122" spans="1:21" ht="15" x14ac:dyDescent="0.35">
      <c r="A122" s="41"/>
      <c r="B122" s="42"/>
      <c r="C122" s="38"/>
      <c r="D122" s="38"/>
      <c r="E122" s="37"/>
      <c r="F122" s="63"/>
      <c r="G122" s="37"/>
      <c r="H122" s="37"/>
      <c r="I122" s="39"/>
      <c r="J122" s="39"/>
      <c r="K122" s="558"/>
      <c r="L122" s="42"/>
      <c r="M122" s="38"/>
      <c r="N122" s="38"/>
      <c r="O122" s="37"/>
      <c r="P122" s="63"/>
      <c r="Q122" s="37"/>
      <c r="R122" s="37"/>
      <c r="S122" s="39"/>
      <c r="T122" s="39"/>
    </row>
    <row r="123" spans="1:21" ht="24.9" customHeight="1" x14ac:dyDescent="0.25">
      <c r="A123" s="1141" t="s">
        <v>93</v>
      </c>
      <c r="B123" s="1142"/>
      <c r="C123" s="1142"/>
      <c r="D123" s="1142"/>
      <c r="E123" s="1142"/>
      <c r="F123" s="1142"/>
      <c r="G123" s="1142"/>
      <c r="H123" s="1142"/>
      <c r="I123" s="1142"/>
      <c r="J123" s="1143"/>
      <c r="K123" s="562"/>
      <c r="L123" s="551"/>
      <c r="M123" s="551"/>
      <c r="N123" s="551"/>
      <c r="O123" s="551"/>
      <c r="P123" s="551"/>
      <c r="Q123" s="551"/>
      <c r="R123" s="551"/>
      <c r="S123" s="551"/>
      <c r="T123" s="551"/>
    </row>
    <row r="124" spans="1:21" ht="15" x14ac:dyDescent="0.35">
      <c r="A124" s="1101" t="s">
        <v>94</v>
      </c>
      <c r="B124" s="1102"/>
      <c r="C124" s="1102"/>
      <c r="D124" s="1102"/>
      <c r="E124" s="1102"/>
      <c r="F124" s="1103"/>
      <c r="G124" s="27">
        <f>SUM(F125:F130)</f>
        <v>34.449031669923023</v>
      </c>
      <c r="H124" s="28" t="s">
        <v>68</v>
      </c>
      <c r="I124" s="27"/>
      <c r="J124" s="27">
        <f>ROUND(G124,0)</f>
        <v>34</v>
      </c>
      <c r="K124" s="555"/>
      <c r="L124" s="550"/>
      <c r="M124" s="550"/>
      <c r="N124" s="550"/>
      <c r="O124" s="550"/>
      <c r="P124" s="550"/>
      <c r="Q124" s="27">
        <f>SUM(P125:P130)</f>
        <v>35.673243619209288</v>
      </c>
      <c r="R124" s="28" t="s">
        <v>68</v>
      </c>
      <c r="S124" s="27"/>
      <c r="T124" s="27">
        <f>ROUND(Q124,0)</f>
        <v>36</v>
      </c>
      <c r="U124" t="s">
        <v>131</v>
      </c>
    </row>
    <row r="125" spans="1:21" ht="15" x14ac:dyDescent="0.35">
      <c r="A125" s="35" t="str">
        <f>+A43</f>
        <v>DS(M)- A Drain I</v>
      </c>
      <c r="B125" s="36">
        <f>B8</f>
        <v>214.54400000000001</v>
      </c>
      <c r="C125" s="40">
        <v>0.65</v>
      </c>
      <c r="D125" s="56">
        <v>0.05</v>
      </c>
      <c r="E125" s="37"/>
      <c r="F125" s="36">
        <f t="shared" ref="F125:F130" si="2">PRODUCT(B125,C125,D125,E125)</f>
        <v>6.9726800000000013</v>
      </c>
      <c r="G125" s="37"/>
      <c r="H125" s="37" t="s">
        <v>68</v>
      </c>
      <c r="I125" s="39"/>
      <c r="J125" s="39"/>
      <c r="K125" s="557"/>
      <c r="L125" s="36">
        <f>L8</f>
        <v>210.001</v>
      </c>
      <c r="M125" s="40">
        <f>0.3+0.2</f>
        <v>0.5</v>
      </c>
      <c r="N125" s="56">
        <v>0.05</v>
      </c>
      <c r="O125" s="37"/>
      <c r="P125" s="36">
        <f>PRODUCT(L125,M125,N125,O125)</f>
        <v>5.2500250000000008</v>
      </c>
      <c r="Q125" s="37"/>
      <c r="R125" s="37" t="s">
        <v>68</v>
      </c>
      <c r="S125" s="39"/>
      <c r="T125" s="39"/>
    </row>
    <row r="126" spans="1:21" ht="15" x14ac:dyDescent="0.35">
      <c r="A126" s="35" t="str">
        <f>+A44</f>
        <v xml:space="preserve"> DS-C- C</v>
      </c>
      <c r="B126" s="36">
        <f>B9</f>
        <v>349.00280137571241</v>
      </c>
      <c r="C126" s="40">
        <v>0.65</v>
      </c>
      <c r="D126" s="56">
        <v>0.05</v>
      </c>
      <c r="E126" s="37"/>
      <c r="F126" s="36">
        <f t="shared" si="2"/>
        <v>11.342591044710653</v>
      </c>
      <c r="G126" s="39"/>
      <c r="H126" s="37" t="s">
        <v>68</v>
      </c>
      <c r="I126" s="39"/>
      <c r="J126" s="39"/>
      <c r="K126" s="557"/>
      <c r="L126" s="36">
        <f>L9</f>
        <v>294.10082480744921</v>
      </c>
      <c r="M126" s="40">
        <f>0.6+0.2</f>
        <v>0.8</v>
      </c>
      <c r="N126" s="56">
        <v>0.05</v>
      </c>
      <c r="O126" s="37"/>
      <c r="P126" s="36">
        <f>PRODUCT(L126,M126,N126,O126)</f>
        <v>11.76403299229797</v>
      </c>
      <c r="Q126" s="39"/>
      <c r="R126" s="37" t="s">
        <v>68</v>
      </c>
      <c r="S126" s="39"/>
      <c r="T126" s="39"/>
    </row>
    <row r="127" spans="1:21" ht="15" x14ac:dyDescent="0.35">
      <c r="A127" s="35" t="str">
        <f>+A10</f>
        <v>Cascade Drain - DS-C-B</v>
      </c>
      <c r="B127" s="36">
        <f>B10</f>
        <v>55.20900000000001</v>
      </c>
      <c r="C127" s="40">
        <f>0.45+0.125*2</f>
        <v>0.7</v>
      </c>
      <c r="D127" s="56">
        <v>0.05</v>
      </c>
      <c r="E127" s="37"/>
      <c r="F127" s="36">
        <f t="shared" si="2"/>
        <v>1.9323150000000002</v>
      </c>
      <c r="G127" s="39"/>
      <c r="H127" s="37" t="s">
        <v>68</v>
      </c>
      <c r="I127" s="39"/>
      <c r="J127" s="39"/>
      <c r="K127" s="557"/>
      <c r="L127" s="36">
        <f>L10</f>
        <v>75.02000000000001</v>
      </c>
      <c r="M127" s="40">
        <f>0.45+0.125*2</f>
        <v>0.7</v>
      </c>
      <c r="N127" s="56">
        <v>0.05</v>
      </c>
      <c r="O127" s="37"/>
      <c r="P127" s="36">
        <f>PRODUCT(L127,M127,N127,O127)</f>
        <v>2.6257000000000001</v>
      </c>
      <c r="Q127" s="39"/>
      <c r="R127" s="37" t="s">
        <v>68</v>
      </c>
      <c r="S127" s="39"/>
      <c r="T127" s="39"/>
    </row>
    <row r="128" spans="1:21" ht="15" x14ac:dyDescent="0.35">
      <c r="A128" s="35">
        <f>+A11</f>
        <v>0</v>
      </c>
      <c r="B128" s="36">
        <f>B11</f>
        <v>0</v>
      </c>
      <c r="C128" s="40">
        <f>1+0.125*2</f>
        <v>1.25</v>
      </c>
      <c r="D128" s="56">
        <v>0.05</v>
      </c>
      <c r="E128" s="37"/>
      <c r="F128" s="36">
        <f t="shared" si="2"/>
        <v>0</v>
      </c>
      <c r="G128" s="39"/>
      <c r="H128" s="37" t="s">
        <v>68</v>
      </c>
      <c r="I128" s="39"/>
      <c r="J128" s="39"/>
      <c r="K128" s="557"/>
      <c r="L128" s="36"/>
      <c r="M128" s="40"/>
      <c r="N128" s="56"/>
      <c r="O128" s="37"/>
      <c r="P128" s="36"/>
      <c r="Q128" s="39"/>
      <c r="R128" s="37" t="s">
        <v>68</v>
      </c>
      <c r="S128" s="39"/>
      <c r="T128" s="39"/>
    </row>
    <row r="129" spans="1:24" ht="15" x14ac:dyDescent="0.35">
      <c r="A129" s="35" t="s">
        <v>64</v>
      </c>
      <c r="B129" s="36">
        <f>B13</f>
        <v>137.58534375353949</v>
      </c>
      <c r="C129" s="40">
        <v>1.2</v>
      </c>
      <c r="D129" s="56">
        <v>0.05</v>
      </c>
      <c r="E129" s="37"/>
      <c r="F129" s="36">
        <f t="shared" si="2"/>
        <v>8.2551206252123688</v>
      </c>
      <c r="G129" s="39"/>
      <c r="H129" s="37" t="s">
        <v>68</v>
      </c>
      <c r="I129" s="39"/>
      <c r="J129" s="39"/>
      <c r="K129" s="557"/>
      <c r="L129" s="36">
        <f>L13</f>
        <v>127.26809378185526</v>
      </c>
      <c r="M129" s="40">
        <v>1.2</v>
      </c>
      <c r="N129" s="56">
        <v>0.05</v>
      </c>
      <c r="O129" s="37"/>
      <c r="P129" s="36">
        <f>PRODUCT(L129,M129,N129,O129)</f>
        <v>7.6360856269113162</v>
      </c>
      <c r="Q129" s="39"/>
      <c r="R129" s="37" t="s">
        <v>68</v>
      </c>
      <c r="S129" s="39"/>
      <c r="T129" s="39"/>
    </row>
    <row r="130" spans="1:24" ht="15" x14ac:dyDescent="0.35">
      <c r="A130" s="35" t="str">
        <f>+A14</f>
        <v>DS(B)- A Drain I</v>
      </c>
      <c r="B130" s="36">
        <f>B14</f>
        <v>237.85300000000004</v>
      </c>
      <c r="C130" s="40">
        <v>0.5</v>
      </c>
      <c r="D130" s="56">
        <v>0.05</v>
      </c>
      <c r="E130" s="37"/>
      <c r="F130" s="36">
        <f t="shared" si="2"/>
        <v>5.9463250000000016</v>
      </c>
      <c r="G130" s="39"/>
      <c r="H130" s="37" t="s">
        <v>68</v>
      </c>
      <c r="I130" s="39"/>
      <c r="J130" s="39"/>
      <c r="K130" s="557"/>
      <c r="L130" s="36">
        <f>L14</f>
        <v>335.89600000000002</v>
      </c>
      <c r="M130" s="40">
        <v>0.5</v>
      </c>
      <c r="N130" s="56">
        <v>0.05</v>
      </c>
      <c r="O130" s="37"/>
      <c r="P130" s="36">
        <f>PRODUCT(L130,M130,N130,O130)</f>
        <v>8.3974000000000011</v>
      </c>
      <c r="Q130" s="39"/>
      <c r="R130" s="37" t="s">
        <v>68</v>
      </c>
      <c r="S130" s="39"/>
      <c r="T130" s="39"/>
    </row>
    <row r="131" spans="1:24" ht="15" x14ac:dyDescent="0.35">
      <c r="A131" s="37"/>
      <c r="B131" s="37"/>
      <c r="C131" s="37"/>
      <c r="D131" s="37"/>
      <c r="E131" s="37"/>
      <c r="F131" s="37"/>
      <c r="G131" s="37"/>
      <c r="H131" s="37"/>
      <c r="I131" s="39"/>
      <c r="J131" s="39"/>
      <c r="K131" s="557"/>
      <c r="L131" s="37"/>
      <c r="M131" s="37"/>
      <c r="N131" s="37"/>
      <c r="O131" s="37"/>
      <c r="P131" s="37"/>
      <c r="Q131" s="37"/>
      <c r="R131" s="37"/>
      <c r="S131" s="39"/>
      <c r="T131" s="39"/>
    </row>
    <row r="132" spans="1:24" ht="15" x14ac:dyDescent="0.35">
      <c r="A132" s="1101" t="s">
        <v>95</v>
      </c>
      <c r="B132" s="1102"/>
      <c r="C132" s="1102"/>
      <c r="D132" s="1102"/>
      <c r="E132" s="1102"/>
      <c r="F132" s="1103"/>
      <c r="G132" s="27">
        <f>SUM(F133:F167)</f>
        <v>276.01595733908499</v>
      </c>
      <c r="H132" s="28" t="s">
        <v>68</v>
      </c>
      <c r="I132" s="27">
        <f>G132*1.15</f>
        <v>317.41835093994774</v>
      </c>
      <c r="J132" s="27">
        <f>ROUND(I132,0)</f>
        <v>317</v>
      </c>
      <c r="K132" s="555"/>
      <c r="L132" s="550"/>
      <c r="M132" s="550"/>
      <c r="N132" s="550"/>
      <c r="O132" s="550"/>
      <c r="P132" s="550"/>
      <c r="Q132" s="27">
        <f>SUM(P133:P167)</f>
        <v>264.22223215663513</v>
      </c>
      <c r="R132" s="28" t="s">
        <v>68</v>
      </c>
      <c r="S132" s="27">
        <f>Q132*1.15</f>
        <v>303.85556698013039</v>
      </c>
      <c r="T132" s="27">
        <f>ROUND(S132,0)</f>
        <v>304</v>
      </c>
      <c r="U132" t="s">
        <v>131</v>
      </c>
      <c r="W132" t="s">
        <v>60</v>
      </c>
      <c r="X132">
        <v>214.54400000000001</v>
      </c>
    </row>
    <row r="133" spans="1:24" ht="15" x14ac:dyDescent="0.35">
      <c r="A133" s="234" t="s">
        <v>561</v>
      </c>
      <c r="B133" s="36">
        <f>B8</f>
        <v>214.54400000000001</v>
      </c>
      <c r="C133" s="49">
        <v>0.1</v>
      </c>
      <c r="D133" s="38">
        <v>0.45</v>
      </c>
      <c r="E133" s="37">
        <v>2</v>
      </c>
      <c r="F133" s="36">
        <f>PRODUCT(B133,C133,D133,E133)</f>
        <v>19.308960000000003</v>
      </c>
      <c r="G133" s="39">
        <f>SUM(F133:F134)</f>
        <v>33.254320000000007</v>
      </c>
      <c r="H133" s="37" t="s">
        <v>68</v>
      </c>
      <c r="I133" s="39"/>
      <c r="J133" s="39"/>
      <c r="K133" s="557"/>
      <c r="L133" s="36">
        <f>L8</f>
        <v>210.001</v>
      </c>
      <c r="M133" s="49">
        <v>0.1</v>
      </c>
      <c r="N133" s="38">
        <v>0.3</v>
      </c>
      <c r="O133" s="37">
        <v>2</v>
      </c>
      <c r="P133" s="36">
        <f>PRODUCT(L133,M133,N133,O133)</f>
        <v>12.600060000000001</v>
      </c>
      <c r="Q133" s="39">
        <f>SUM(P133:P134)</f>
        <v>23.100110000000001</v>
      </c>
      <c r="R133" s="37" t="s">
        <v>68</v>
      </c>
      <c r="S133" s="39"/>
      <c r="T133" s="39"/>
      <c r="W133" t="s">
        <v>353</v>
      </c>
      <c r="X133">
        <v>355.56121727265037</v>
      </c>
    </row>
    <row r="134" spans="1:24" ht="15" x14ac:dyDescent="0.35">
      <c r="A134" s="234" t="s">
        <v>562</v>
      </c>
      <c r="B134" s="36">
        <f>B8</f>
        <v>214.54400000000001</v>
      </c>
      <c r="C134" s="49">
        <v>0.65</v>
      </c>
      <c r="D134" s="38">
        <v>0.1</v>
      </c>
      <c r="E134" s="37"/>
      <c r="F134" s="36">
        <f>PRODUCT(B134,C134,D134,E134)</f>
        <v>13.945360000000003</v>
      </c>
      <c r="G134" s="37"/>
      <c r="H134" s="37" t="s">
        <v>68</v>
      </c>
      <c r="I134" s="39"/>
      <c r="J134" s="39"/>
      <c r="K134" s="557"/>
      <c r="L134" s="36">
        <f>L8</f>
        <v>210.001</v>
      </c>
      <c r="M134" s="49">
        <v>0.5</v>
      </c>
      <c r="N134" s="38">
        <v>0.1</v>
      </c>
      <c r="O134" s="37"/>
      <c r="P134" s="36">
        <f>PRODUCT(L134,M134,N134,O134)</f>
        <v>10.500050000000002</v>
      </c>
      <c r="Q134" s="37"/>
      <c r="R134" s="37" t="s">
        <v>68</v>
      </c>
      <c r="S134" s="39"/>
      <c r="T134" s="39"/>
      <c r="W134" t="s">
        <v>538</v>
      </c>
      <c r="X134">
        <v>27.604500000000005</v>
      </c>
    </row>
    <row r="135" spans="1:24" ht="15" x14ac:dyDescent="0.35">
      <c r="A135" s="234"/>
      <c r="B135" s="63"/>
      <c r="C135" s="49"/>
      <c r="D135" s="38"/>
      <c r="E135" s="37"/>
      <c r="F135" s="36"/>
      <c r="G135" s="37"/>
      <c r="H135" s="37"/>
      <c r="I135" s="39"/>
      <c r="J135" s="39"/>
      <c r="K135" s="557"/>
      <c r="L135" s="63"/>
      <c r="M135" s="49"/>
      <c r="N135" s="38"/>
      <c r="O135" s="37"/>
      <c r="P135" s="36"/>
      <c r="Q135" s="37"/>
      <c r="R135" s="37"/>
      <c r="S135" s="39"/>
      <c r="T135" s="39"/>
      <c r="W135" t="s">
        <v>539</v>
      </c>
      <c r="X135">
        <v>96.591000000000008</v>
      </c>
    </row>
    <row r="136" spans="1:24" ht="15" x14ac:dyDescent="0.35">
      <c r="A136" s="234" t="str">
        <f>+A126</f>
        <v xml:space="preserve"> DS-C- C</v>
      </c>
      <c r="B136" s="63"/>
      <c r="C136" s="49"/>
      <c r="D136" s="38"/>
      <c r="E136" s="37"/>
      <c r="F136" s="36"/>
      <c r="G136" s="37"/>
      <c r="H136" s="37"/>
      <c r="I136" s="39"/>
      <c r="J136" s="39"/>
      <c r="K136" s="557"/>
      <c r="L136" s="63"/>
      <c r="M136" s="49"/>
      <c r="N136" s="38"/>
      <c r="O136" s="37"/>
      <c r="P136" s="36"/>
      <c r="Q136" s="37"/>
      <c r="R136" s="37"/>
      <c r="S136" s="39"/>
      <c r="T136" s="39"/>
    </row>
    <row r="137" spans="1:24" ht="15" x14ac:dyDescent="0.35">
      <c r="A137" s="234" t="s">
        <v>96</v>
      </c>
      <c r="B137" s="36">
        <f>B9</f>
        <v>349.00280137571241</v>
      </c>
      <c r="C137" s="49">
        <v>0.1</v>
      </c>
      <c r="D137" s="38">
        <v>0.45</v>
      </c>
      <c r="E137" s="37">
        <v>2</v>
      </c>
      <c r="F137" s="36">
        <f>PRODUCT(B137,C137,D137,E137)</f>
        <v>31.410252123814121</v>
      </c>
      <c r="G137" s="39">
        <f>SUM(F137:F139)</f>
        <v>54.340121713235426</v>
      </c>
      <c r="H137" s="37" t="s">
        <v>68</v>
      </c>
      <c r="I137" s="39"/>
      <c r="J137" s="39"/>
      <c r="K137" s="557"/>
      <c r="L137" s="36">
        <f>L9</f>
        <v>294.10082480744921</v>
      </c>
      <c r="M137" s="49">
        <v>0.1</v>
      </c>
      <c r="N137" s="38">
        <v>0.6</v>
      </c>
      <c r="O137" s="37">
        <v>2</v>
      </c>
      <c r="P137" s="36">
        <f>PRODUCT(L137,M137,N137,O137)</f>
        <v>35.292098976893904</v>
      </c>
      <c r="Q137" s="39">
        <f>SUM(P137:P139)</f>
        <v>65.269086836489848</v>
      </c>
      <c r="R137" s="37" t="s">
        <v>68</v>
      </c>
      <c r="S137" s="39"/>
      <c r="T137" s="39"/>
      <c r="W137" t="s">
        <v>63</v>
      </c>
      <c r="X137">
        <v>267.3</v>
      </c>
    </row>
    <row r="138" spans="1:24" ht="15" x14ac:dyDescent="0.35">
      <c r="A138" s="234" t="s">
        <v>97</v>
      </c>
      <c r="B138" s="36">
        <f>B9</f>
        <v>349.00280137571241</v>
      </c>
      <c r="C138" s="49">
        <v>0.65</v>
      </c>
      <c r="D138" s="38">
        <v>0.1</v>
      </c>
      <c r="E138" s="37"/>
      <c r="F138" s="36">
        <f>PRODUCT(B138,C138,D138,E138)</f>
        <v>22.685182089421307</v>
      </c>
      <c r="G138" s="37"/>
      <c r="H138" s="37" t="s">
        <v>68</v>
      </c>
      <c r="I138" s="39"/>
      <c r="J138" s="39"/>
      <c r="K138" s="557"/>
      <c r="L138" s="36">
        <f>L9</f>
        <v>294.10082480744921</v>
      </c>
      <c r="M138" s="49">
        <f>0.6+0.1*2</f>
        <v>0.8</v>
      </c>
      <c r="N138" s="38">
        <v>0.1</v>
      </c>
      <c r="O138" s="37"/>
      <c r="P138" s="36">
        <f>PRODUCT(L138,M138,N138,O138)</f>
        <v>23.528065984595941</v>
      </c>
      <c r="Q138" s="37"/>
      <c r="R138" s="37" t="s">
        <v>68</v>
      </c>
      <c r="S138" s="39"/>
      <c r="T138" s="39"/>
      <c r="W138" t="s">
        <v>64</v>
      </c>
      <c r="X138">
        <v>120.88779419813902</v>
      </c>
    </row>
    <row r="139" spans="1:24" ht="15" x14ac:dyDescent="0.35">
      <c r="A139" s="234" t="s">
        <v>593</v>
      </c>
      <c r="B139" s="36">
        <v>0.45</v>
      </c>
      <c r="C139" s="49">
        <f>(0.05+0.075)/2</f>
        <v>6.25E-2</v>
      </c>
      <c r="D139" s="38">
        <v>7.4999999999999997E-2</v>
      </c>
      <c r="E139" s="37">
        <f>ROUND(B138/3,0)</f>
        <v>116</v>
      </c>
      <c r="F139" s="36">
        <f>PRODUCT(B139,C139,D139,E139)</f>
        <v>0.2446875</v>
      </c>
      <c r="G139" s="37"/>
      <c r="H139" s="37" t="s">
        <v>68</v>
      </c>
      <c r="I139" s="39"/>
      <c r="J139" s="39"/>
      <c r="K139" s="557"/>
      <c r="L139" s="36">
        <v>0.45</v>
      </c>
      <c r="M139" s="49">
        <v>0.27500000000000002</v>
      </c>
      <c r="N139" s="38">
        <v>0.27500000000000002</v>
      </c>
      <c r="O139" s="39">
        <f>ROUND(L138/0.388,0)/2</f>
        <v>379</v>
      </c>
      <c r="P139" s="36">
        <f>PRODUCT(L139,M139,N139,O139)/2</f>
        <v>6.4489218750000008</v>
      </c>
      <c r="Q139" s="37"/>
      <c r="R139" s="37" t="s">
        <v>68</v>
      </c>
      <c r="S139" s="39"/>
      <c r="T139" s="39"/>
      <c r="W139" t="s">
        <v>129</v>
      </c>
      <c r="X139">
        <v>237.85300000000004</v>
      </c>
    </row>
    <row r="140" spans="1:24" ht="15" x14ac:dyDescent="0.35">
      <c r="A140" s="234"/>
      <c r="B140" s="63"/>
      <c r="C140" s="49"/>
      <c r="D140" s="38"/>
      <c r="E140" s="37"/>
      <c r="F140" s="36"/>
      <c r="G140" s="37"/>
      <c r="H140" s="37"/>
      <c r="I140" s="39"/>
      <c r="J140" s="39"/>
      <c r="K140" s="557"/>
      <c r="L140" s="63"/>
      <c r="M140" s="49"/>
      <c r="N140" s="38"/>
      <c r="O140" s="37"/>
      <c r="P140" s="36"/>
      <c r="Q140" s="37"/>
      <c r="R140" s="37"/>
      <c r="S140" s="39"/>
      <c r="T140" s="39"/>
      <c r="W140" t="s">
        <v>354</v>
      </c>
      <c r="X140">
        <v>156.91499999999999</v>
      </c>
    </row>
    <row r="141" spans="1:24" ht="15" x14ac:dyDescent="0.35">
      <c r="A141" s="234" t="str">
        <f>+A127</f>
        <v>Cascade Drain - DS-C-B</v>
      </c>
      <c r="B141" s="63"/>
      <c r="C141" s="49"/>
      <c r="D141" s="38"/>
      <c r="E141" s="37"/>
      <c r="F141" s="36"/>
      <c r="G141" s="37"/>
      <c r="H141" s="37"/>
      <c r="I141" s="39"/>
      <c r="J141" s="39"/>
      <c r="K141" s="557"/>
      <c r="L141" s="63"/>
      <c r="M141" s="49"/>
      <c r="N141" s="38"/>
      <c r="O141" s="37"/>
      <c r="P141" s="36"/>
      <c r="Q141" s="37"/>
      <c r="R141" s="37"/>
      <c r="S141" s="39"/>
      <c r="T141" s="39"/>
    </row>
    <row r="142" spans="1:24" ht="15" x14ac:dyDescent="0.35">
      <c r="A142" s="234" t="s">
        <v>370</v>
      </c>
      <c r="B142" s="36">
        <f>B10</f>
        <v>55.20900000000001</v>
      </c>
      <c r="C142" s="49">
        <v>0.125</v>
      </c>
      <c r="D142" s="38">
        <v>0.6</v>
      </c>
      <c r="E142" s="37">
        <v>2</v>
      </c>
      <c r="F142" s="36">
        <f>PRODUCT(B142,C142,D142,E142)</f>
        <v>8.2813500000000015</v>
      </c>
      <c r="G142" s="39">
        <f>SUM(F142:F144)</f>
        <v>16.532278125000005</v>
      </c>
      <c r="H142" s="37" t="s">
        <v>68</v>
      </c>
      <c r="I142" s="39"/>
      <c r="J142" s="39"/>
      <c r="K142" s="557"/>
      <c r="L142" s="36">
        <f>L10</f>
        <v>75.02000000000001</v>
      </c>
      <c r="M142" s="49">
        <v>0.125</v>
      </c>
      <c r="N142" s="38">
        <v>0.6</v>
      </c>
      <c r="O142" s="37">
        <v>2</v>
      </c>
      <c r="P142" s="36">
        <f>PRODUCT(L142,M142,N142,O142)</f>
        <v>11.253000000000002</v>
      </c>
      <c r="Q142" s="39">
        <f>SUM(P142:P144)</f>
        <v>19.459257812500002</v>
      </c>
      <c r="R142" s="37" t="s">
        <v>68</v>
      </c>
      <c r="S142" s="39"/>
      <c r="T142" s="39"/>
    </row>
    <row r="143" spans="1:24" ht="15" x14ac:dyDescent="0.35">
      <c r="A143" s="234" t="s">
        <v>371</v>
      </c>
      <c r="B143" s="36">
        <f>B10</f>
        <v>55.20900000000001</v>
      </c>
      <c r="C143" s="49">
        <v>0.7</v>
      </c>
      <c r="D143" s="38">
        <v>0.125</v>
      </c>
      <c r="E143" s="37"/>
      <c r="F143" s="36">
        <f>PRODUCT(B143,C143,D143,E143)</f>
        <v>4.8307875000000005</v>
      </c>
      <c r="G143" s="37"/>
      <c r="H143" s="37" t="s">
        <v>68</v>
      </c>
      <c r="I143" s="39"/>
      <c r="J143" s="39"/>
      <c r="K143" s="557"/>
      <c r="L143" s="36">
        <f>L10</f>
        <v>75.02000000000001</v>
      </c>
      <c r="M143" s="49">
        <f>0.45+0.125*2</f>
        <v>0.7</v>
      </c>
      <c r="N143" s="38">
        <v>0.125</v>
      </c>
      <c r="O143" s="37"/>
      <c r="P143" s="36">
        <f>PRODUCT(L143,M143,N143,O143)</f>
        <v>6.5642500000000004</v>
      </c>
      <c r="Q143" s="37"/>
      <c r="R143" s="37" t="s">
        <v>68</v>
      </c>
      <c r="S143" s="39"/>
      <c r="T143" s="39"/>
    </row>
    <row r="144" spans="1:24" ht="15" x14ac:dyDescent="0.35">
      <c r="A144" s="234" t="s">
        <v>372</v>
      </c>
      <c r="B144" s="36">
        <v>0.45</v>
      </c>
      <c r="C144" s="49">
        <v>0.27500000000000002</v>
      </c>
      <c r="D144" s="38">
        <v>0.27500000000000002</v>
      </c>
      <c r="E144" s="69">
        <f>ROUND(B143/0.275,0)/2</f>
        <v>100.5</v>
      </c>
      <c r="F144" s="36">
        <f>PRODUCT(B144,C144,D144,E144)</f>
        <v>3.4201406250000006</v>
      </c>
      <c r="G144" s="37"/>
      <c r="H144" s="37" t="s">
        <v>68</v>
      </c>
      <c r="I144" s="39"/>
      <c r="J144" s="39"/>
      <c r="K144" s="557"/>
      <c r="L144" s="36">
        <v>0.45</v>
      </c>
      <c r="M144" s="49">
        <v>0.27500000000000002</v>
      </c>
      <c r="N144" s="38">
        <v>0.27500000000000002</v>
      </c>
      <c r="O144" s="39">
        <f>ROUND(L143/0.388,0)/2</f>
        <v>96.5</v>
      </c>
      <c r="P144" s="36">
        <f>PRODUCT(L144,M144,N144,O144)/2</f>
        <v>1.6420078125000004</v>
      </c>
      <c r="Q144" s="37"/>
      <c r="R144" s="37" t="s">
        <v>68</v>
      </c>
      <c r="S144" s="39"/>
      <c r="T144" s="39"/>
    </row>
    <row r="145" spans="1:20" ht="15" x14ac:dyDescent="0.35">
      <c r="A145" s="234"/>
      <c r="B145" s="63"/>
      <c r="C145" s="49"/>
      <c r="D145" s="38"/>
      <c r="E145" s="37"/>
      <c r="F145" s="36"/>
      <c r="G145" s="37"/>
      <c r="H145" s="37"/>
      <c r="I145" s="39"/>
      <c r="J145" s="39"/>
      <c r="K145" s="557"/>
      <c r="L145" s="63"/>
      <c r="M145" s="49"/>
      <c r="N145" s="38"/>
      <c r="O145" s="37"/>
      <c r="P145" s="36"/>
      <c r="Q145" s="37"/>
      <c r="R145" s="37"/>
      <c r="S145" s="39"/>
      <c r="T145" s="39"/>
    </row>
    <row r="146" spans="1:20" ht="15" x14ac:dyDescent="0.35">
      <c r="A146" s="234">
        <f>+A128</f>
        <v>0</v>
      </c>
      <c r="B146" s="63"/>
      <c r="C146" s="49"/>
      <c r="D146" s="38"/>
      <c r="E146" s="37"/>
      <c r="F146" s="36"/>
      <c r="G146" s="37"/>
      <c r="H146" s="37"/>
      <c r="I146" s="39"/>
      <c r="J146" s="39"/>
      <c r="K146" s="557"/>
      <c r="L146" s="63"/>
      <c r="M146" s="49"/>
      <c r="N146" s="38"/>
      <c r="O146" s="37"/>
      <c r="P146" s="36"/>
      <c r="Q146" s="37"/>
      <c r="R146" s="37"/>
      <c r="S146" s="39"/>
      <c r="T146" s="39"/>
    </row>
    <row r="147" spans="1:20" ht="15" x14ac:dyDescent="0.35">
      <c r="A147" s="234" t="s">
        <v>370</v>
      </c>
      <c r="B147" s="36">
        <f>+B11</f>
        <v>0</v>
      </c>
      <c r="C147" s="49">
        <v>0.125</v>
      </c>
      <c r="D147" s="38">
        <v>1</v>
      </c>
      <c r="E147" s="37">
        <v>2</v>
      </c>
      <c r="F147" s="36">
        <f>PRODUCT(B147,C147,D147,E147)</f>
        <v>0</v>
      </c>
      <c r="G147" s="39">
        <f>SUM(F147:F149)</f>
        <v>0</v>
      </c>
      <c r="H147" s="37" t="s">
        <v>68</v>
      </c>
      <c r="I147" s="39"/>
      <c r="J147" s="39"/>
      <c r="K147" s="557"/>
      <c r="L147" s="36"/>
      <c r="M147" s="49"/>
      <c r="N147" s="38"/>
      <c r="O147" s="37"/>
      <c r="P147" s="36"/>
      <c r="Q147" s="39"/>
      <c r="R147" s="37"/>
      <c r="S147" s="39"/>
      <c r="T147" s="39"/>
    </row>
    <row r="148" spans="1:20" ht="15" x14ac:dyDescent="0.35">
      <c r="A148" s="234" t="s">
        <v>371</v>
      </c>
      <c r="B148" s="36">
        <f>+B147</f>
        <v>0</v>
      </c>
      <c r="C148" s="49">
        <f>1+0.125*2</f>
        <v>1.25</v>
      </c>
      <c r="D148" s="38">
        <v>0.125</v>
      </c>
      <c r="E148" s="37"/>
      <c r="F148" s="36">
        <f>PRODUCT(B148,C148,D148,E148)</f>
        <v>0</v>
      </c>
      <c r="G148" s="37"/>
      <c r="H148" s="37" t="s">
        <v>68</v>
      </c>
      <c r="I148" s="39"/>
      <c r="J148" s="39"/>
      <c r="K148" s="557"/>
      <c r="L148" s="36"/>
      <c r="M148" s="49"/>
      <c r="N148" s="38"/>
      <c r="O148" s="37"/>
      <c r="P148" s="36"/>
      <c r="Q148" s="37"/>
      <c r="R148" s="37"/>
      <c r="S148" s="39"/>
      <c r="T148" s="39"/>
    </row>
    <row r="149" spans="1:20" ht="15" x14ac:dyDescent="0.35">
      <c r="A149" s="234" t="s">
        <v>372</v>
      </c>
      <c r="B149" s="36">
        <v>1</v>
      </c>
      <c r="C149" s="49">
        <v>0.27500000000000002</v>
      </c>
      <c r="D149" s="38">
        <v>0.27500000000000002</v>
      </c>
      <c r="E149" s="39">
        <f>ROUND(B148/0.275,0)/2</f>
        <v>0</v>
      </c>
      <c r="F149" s="36">
        <f>PRODUCT(B149,C149,D149,E149)/2</f>
        <v>0</v>
      </c>
      <c r="G149" s="37"/>
      <c r="H149" s="37" t="s">
        <v>68</v>
      </c>
      <c r="I149" s="39"/>
      <c r="J149" s="39"/>
      <c r="K149" s="557"/>
      <c r="L149" s="36"/>
      <c r="M149" s="49"/>
      <c r="N149" s="38"/>
      <c r="O149" s="39"/>
      <c r="P149" s="36"/>
      <c r="Q149" s="37"/>
      <c r="R149" s="37"/>
      <c r="S149" s="39"/>
      <c r="T149" s="39"/>
    </row>
    <row r="150" spans="1:20" ht="15" x14ac:dyDescent="0.35">
      <c r="A150" s="234"/>
      <c r="B150" s="63"/>
      <c r="C150" s="49"/>
      <c r="D150" s="38"/>
      <c r="E150" s="37"/>
      <c r="F150" s="36"/>
      <c r="G150" s="37"/>
      <c r="H150" s="37"/>
      <c r="I150" s="39"/>
      <c r="J150" s="39"/>
      <c r="K150" s="557"/>
      <c r="L150" s="63"/>
      <c r="M150" s="49"/>
      <c r="N150" s="38"/>
      <c r="O150" s="37"/>
      <c r="P150" s="36"/>
      <c r="Q150" s="37"/>
      <c r="R150" s="37"/>
      <c r="S150" s="39"/>
      <c r="T150" s="39"/>
    </row>
    <row r="151" spans="1:20" ht="15" x14ac:dyDescent="0.35">
      <c r="A151" s="234" t="s">
        <v>648</v>
      </c>
      <c r="B151" s="36">
        <f>B12</f>
        <v>267.3</v>
      </c>
      <c r="C151" s="49">
        <v>0.15</v>
      </c>
      <c r="D151" s="38">
        <v>0.2</v>
      </c>
      <c r="E151" s="37"/>
      <c r="F151" s="36">
        <f>PRODUCT(B151,C151,D151,E151)</f>
        <v>8.0190000000000001</v>
      </c>
      <c r="G151" s="39">
        <f>SUM(F151:F152)</f>
        <v>59.674725000000002</v>
      </c>
      <c r="H151" s="37" t="s">
        <v>68</v>
      </c>
      <c r="I151" s="39"/>
      <c r="J151" s="39"/>
      <c r="K151" s="557"/>
      <c r="L151" s="36">
        <f>L12</f>
        <v>267.3</v>
      </c>
      <c r="M151" s="49">
        <v>0.15</v>
      </c>
      <c r="N151" s="38">
        <v>0.2</v>
      </c>
      <c r="O151" s="37"/>
      <c r="P151" s="36">
        <f>PRODUCT(L151,M151,N151,O151)</f>
        <v>8.0190000000000001</v>
      </c>
      <c r="Q151" s="39">
        <f>SUM(P151:P152)</f>
        <v>59.674725000000002</v>
      </c>
      <c r="R151" s="37" t="s">
        <v>68</v>
      </c>
      <c r="S151" s="39"/>
      <c r="T151" s="39"/>
    </row>
    <row r="152" spans="1:20" ht="15" x14ac:dyDescent="0.35">
      <c r="A152" s="234" t="s">
        <v>102</v>
      </c>
      <c r="B152" s="36">
        <f>B12</f>
        <v>267.3</v>
      </c>
      <c r="C152" s="49">
        <v>1.546</v>
      </c>
      <c r="D152" s="38">
        <v>0.125</v>
      </c>
      <c r="E152" s="37"/>
      <c r="F152" s="36">
        <f>PRODUCT(B152,C152,D152,E152)</f>
        <v>51.655725000000004</v>
      </c>
      <c r="G152" s="37"/>
      <c r="H152" s="37" t="s">
        <v>68</v>
      </c>
      <c r="I152" s="39"/>
      <c r="J152" s="39"/>
      <c r="K152" s="557"/>
      <c r="L152" s="36">
        <f>L12</f>
        <v>267.3</v>
      </c>
      <c r="M152" s="49">
        <v>1.546</v>
      </c>
      <c r="N152" s="38">
        <v>0.125</v>
      </c>
      <c r="O152" s="37"/>
      <c r="P152" s="36">
        <f>PRODUCT(L152,M152,N152,O152)</f>
        <v>51.655725000000004</v>
      </c>
      <c r="Q152" s="37"/>
      <c r="R152" s="37" t="s">
        <v>68</v>
      </c>
      <c r="S152" s="39"/>
      <c r="T152" s="39"/>
    </row>
    <row r="153" spans="1:20" ht="15" x14ac:dyDescent="0.35">
      <c r="A153" s="234"/>
      <c r="B153" s="63"/>
      <c r="C153" s="49"/>
      <c r="D153" s="38"/>
      <c r="E153" s="37"/>
      <c r="F153" s="36"/>
      <c r="G153" s="37"/>
      <c r="H153" s="37"/>
      <c r="I153" s="39"/>
      <c r="J153" s="39"/>
      <c r="K153" s="557"/>
      <c r="L153" s="63"/>
      <c r="M153" s="49"/>
      <c r="N153" s="38"/>
      <c r="O153" s="37"/>
      <c r="P153" s="36"/>
      <c r="Q153" s="37"/>
      <c r="R153" s="37"/>
      <c r="S153" s="39"/>
      <c r="T153" s="39"/>
    </row>
    <row r="154" spans="1:20" ht="15" x14ac:dyDescent="0.35">
      <c r="A154" s="234" t="s">
        <v>103</v>
      </c>
      <c r="B154" s="36">
        <f>B13</f>
        <v>137.58534375353949</v>
      </c>
      <c r="C154" s="49">
        <v>0.1</v>
      </c>
      <c r="D154" s="38">
        <v>0.6</v>
      </c>
      <c r="E154" s="37">
        <v>2</v>
      </c>
      <c r="F154" s="36">
        <f>PRODUCT(B154,C154,D154,E154)</f>
        <v>16.510241250424738</v>
      </c>
      <c r="G154" s="39">
        <f>SUM(F154:F156)</f>
        <v>33.236107500849478</v>
      </c>
      <c r="H154" s="37" t="s">
        <v>68</v>
      </c>
      <c r="I154" s="39"/>
      <c r="J154" s="39"/>
      <c r="K154" s="557"/>
      <c r="L154" s="36">
        <f>L13</f>
        <v>127.26809378185526</v>
      </c>
      <c r="M154" s="49">
        <v>0.1</v>
      </c>
      <c r="N154" s="38">
        <v>0.6</v>
      </c>
      <c r="O154" s="37">
        <v>2</v>
      </c>
      <c r="P154" s="36">
        <f>PRODUCT(L154,M154,N154,O154)</f>
        <v>15.272171253822631</v>
      </c>
      <c r="Q154" s="39">
        <f>SUM(P154:P156)</f>
        <v>30.74121750764526</v>
      </c>
      <c r="R154" s="37" t="s">
        <v>68</v>
      </c>
      <c r="S154" s="39"/>
      <c r="T154" s="39"/>
    </row>
    <row r="155" spans="1:20" ht="15" x14ac:dyDescent="0.35">
      <c r="A155" s="234" t="s">
        <v>104</v>
      </c>
      <c r="B155" s="36">
        <f>B13</f>
        <v>137.58534375353949</v>
      </c>
      <c r="C155" s="49">
        <v>1.2</v>
      </c>
      <c r="D155" s="38">
        <v>0.1</v>
      </c>
      <c r="E155" s="37"/>
      <c r="F155" s="36">
        <f t="shared" ref="F155:F166" si="3">PRODUCT(B155,C155,D155,E155)</f>
        <v>16.510241250424738</v>
      </c>
      <c r="G155" s="37"/>
      <c r="H155" s="37" t="s">
        <v>68</v>
      </c>
      <c r="I155" s="39"/>
      <c r="J155" s="39"/>
      <c r="K155" s="557"/>
      <c r="L155" s="36">
        <f>L13</f>
        <v>127.26809378185526</v>
      </c>
      <c r="M155" s="49">
        <v>1.2</v>
      </c>
      <c r="N155" s="38">
        <v>0.1</v>
      </c>
      <c r="O155" s="37"/>
      <c r="P155" s="36">
        <f>PRODUCT(L155,M155,N155,O155)</f>
        <v>15.272171253822632</v>
      </c>
      <c r="Q155" s="37"/>
      <c r="R155" s="37" t="s">
        <v>68</v>
      </c>
      <c r="S155" s="39"/>
      <c r="T155" s="39"/>
    </row>
    <row r="156" spans="1:20" ht="15" x14ac:dyDescent="0.35">
      <c r="A156" s="234" t="s">
        <v>105</v>
      </c>
      <c r="B156" s="36">
        <v>1</v>
      </c>
      <c r="C156" s="49">
        <f>(0.05+0.075)/2</f>
        <v>6.25E-2</v>
      </c>
      <c r="D156" s="38">
        <v>7.4999999999999997E-2</v>
      </c>
      <c r="E156" s="37">
        <f>ROUND(B155/3,0)</f>
        <v>46</v>
      </c>
      <c r="F156" s="36">
        <f t="shared" si="3"/>
        <v>0.21562499999999998</v>
      </c>
      <c r="G156" s="37"/>
      <c r="H156" s="37" t="s">
        <v>68</v>
      </c>
      <c r="I156" s="39"/>
      <c r="J156" s="39"/>
      <c r="K156" s="557"/>
      <c r="L156" s="36">
        <v>1</v>
      </c>
      <c r="M156" s="49">
        <f>(0.05+0.075)/2</f>
        <v>6.25E-2</v>
      </c>
      <c r="N156" s="38">
        <v>7.4999999999999997E-2</v>
      </c>
      <c r="O156" s="37">
        <f>ROUND(L155/3,0)</f>
        <v>42</v>
      </c>
      <c r="P156" s="36">
        <f>PRODUCT(L156,M156,N156,O156)</f>
        <v>0.19687499999999999</v>
      </c>
      <c r="Q156" s="37"/>
      <c r="R156" s="37" t="s">
        <v>68</v>
      </c>
      <c r="S156" s="39"/>
      <c r="T156" s="39"/>
    </row>
    <row r="157" spans="1:20" ht="15" x14ac:dyDescent="0.35">
      <c r="A157" s="234"/>
      <c r="B157" s="63"/>
      <c r="C157" s="49"/>
      <c r="D157" s="38"/>
      <c r="E157" s="37"/>
      <c r="F157" s="36"/>
      <c r="G157" s="37"/>
      <c r="H157" s="37"/>
      <c r="I157" s="39"/>
      <c r="J157" s="39"/>
      <c r="K157" s="557"/>
      <c r="L157" s="63"/>
      <c r="M157" s="49"/>
      <c r="N157" s="38"/>
      <c r="O157" s="37"/>
      <c r="P157" s="36"/>
      <c r="Q157" s="37"/>
      <c r="R157" s="37"/>
      <c r="S157" s="39"/>
      <c r="T157" s="39"/>
    </row>
    <row r="158" spans="1:20" ht="15" x14ac:dyDescent="0.35">
      <c r="A158" s="234" t="str">
        <f>+A130</f>
        <v>DS(B)- A Drain I</v>
      </c>
      <c r="B158" s="63"/>
      <c r="C158" s="49"/>
      <c r="D158" s="38"/>
      <c r="E158" s="37"/>
      <c r="F158" s="36"/>
      <c r="G158" s="37"/>
      <c r="H158" s="37"/>
      <c r="I158" s="39"/>
      <c r="J158" s="39"/>
      <c r="K158" s="557"/>
      <c r="L158" s="63"/>
      <c r="M158" s="49"/>
      <c r="N158" s="38"/>
      <c r="O158" s="37"/>
      <c r="P158" s="36"/>
      <c r="Q158" s="37"/>
      <c r="R158" s="37"/>
      <c r="S158" s="39"/>
      <c r="T158" s="39"/>
    </row>
    <row r="159" spans="1:20" ht="15" x14ac:dyDescent="0.35">
      <c r="A159" s="35" t="s">
        <v>541</v>
      </c>
      <c r="B159" s="36">
        <f>B14</f>
        <v>237.85300000000004</v>
      </c>
      <c r="C159" s="49">
        <v>0.1</v>
      </c>
      <c r="D159" s="38">
        <v>0.3</v>
      </c>
      <c r="E159" s="37">
        <v>2</v>
      </c>
      <c r="F159" s="36">
        <f t="shared" si="3"/>
        <v>14.271180000000003</v>
      </c>
      <c r="G159" s="39">
        <f>SUM(F159:F161)</f>
        <v>49.949130000000011</v>
      </c>
      <c r="H159" s="37" t="s">
        <v>68</v>
      </c>
      <c r="I159" s="39"/>
      <c r="J159" s="39"/>
      <c r="K159" s="557"/>
      <c r="L159" s="36">
        <f>L14</f>
        <v>335.89600000000002</v>
      </c>
      <c r="M159" s="49">
        <v>0.1</v>
      </c>
      <c r="N159" s="38">
        <v>0.3</v>
      </c>
      <c r="O159" s="37">
        <v>2</v>
      </c>
      <c r="P159" s="36">
        <f>PRODUCT(L159,M159,N159,O159)</f>
        <v>20.153760000000002</v>
      </c>
      <c r="Q159" s="39">
        <f>SUM(P159:P161)</f>
        <v>36.948560000000001</v>
      </c>
      <c r="R159" s="37" t="s">
        <v>68</v>
      </c>
      <c r="S159" s="39"/>
      <c r="T159" s="39"/>
    </row>
    <row r="160" spans="1:20" ht="15" x14ac:dyDescent="0.35">
      <c r="A160" s="35" t="s">
        <v>542</v>
      </c>
      <c r="B160" s="36">
        <f>B14</f>
        <v>237.85300000000004</v>
      </c>
      <c r="C160" s="49">
        <v>0.5</v>
      </c>
      <c r="D160" s="38">
        <v>0.1</v>
      </c>
      <c r="E160" s="37"/>
      <c r="F160" s="36">
        <f t="shared" si="3"/>
        <v>11.892650000000003</v>
      </c>
      <c r="G160" s="37"/>
      <c r="H160" s="37" t="s">
        <v>68</v>
      </c>
      <c r="I160" s="39"/>
      <c r="J160" s="39"/>
      <c r="K160" s="557"/>
      <c r="L160" s="36">
        <f>L14</f>
        <v>335.89600000000002</v>
      </c>
      <c r="M160" s="49">
        <v>0.5</v>
      </c>
      <c r="N160" s="38">
        <v>0.1</v>
      </c>
      <c r="O160" s="37"/>
      <c r="P160" s="36">
        <f>PRODUCT(L160,M160,N160,O160)</f>
        <v>16.794800000000002</v>
      </c>
      <c r="Q160" s="37"/>
      <c r="R160" s="37" t="s">
        <v>68</v>
      </c>
      <c r="S160" s="39"/>
      <c r="T160" s="39"/>
    </row>
    <row r="161" spans="1:27" ht="15" x14ac:dyDescent="0.35">
      <c r="A161" s="35" t="s">
        <v>543</v>
      </c>
      <c r="B161" s="36">
        <f>B14</f>
        <v>237.85300000000004</v>
      </c>
      <c r="C161" s="49">
        <v>1</v>
      </c>
      <c r="D161" s="38">
        <v>0.1</v>
      </c>
      <c r="E161" s="37"/>
      <c r="F161" s="36">
        <f t="shared" si="3"/>
        <v>23.785300000000007</v>
      </c>
      <c r="G161" s="37"/>
      <c r="H161" s="37" t="s">
        <v>68</v>
      </c>
      <c r="I161" s="39"/>
      <c r="J161" s="39"/>
      <c r="K161" s="557"/>
      <c r="L161" s="36">
        <f>L14</f>
        <v>335.89600000000002</v>
      </c>
      <c r="M161" s="49">
        <v>1.5</v>
      </c>
      <c r="N161" s="38">
        <v>0.1</v>
      </c>
      <c r="O161" s="37"/>
      <c r="P161" s="36"/>
      <c r="Q161" s="37"/>
      <c r="R161" s="37" t="s">
        <v>68</v>
      </c>
      <c r="S161" s="39"/>
      <c r="T161" s="39"/>
    </row>
    <row r="162" spans="1:27" ht="15" x14ac:dyDescent="0.35">
      <c r="A162" s="234"/>
      <c r="B162" s="63"/>
      <c r="C162" s="49"/>
      <c r="D162" s="38"/>
      <c r="E162" s="37"/>
      <c r="F162" s="36"/>
      <c r="G162" s="37"/>
      <c r="H162" s="37"/>
      <c r="I162" s="39"/>
      <c r="J162" s="39"/>
      <c r="K162" s="557"/>
      <c r="L162" s="63"/>
      <c r="M162" s="49"/>
      <c r="N162" s="38"/>
      <c r="O162" s="37"/>
      <c r="P162" s="36"/>
      <c r="Q162" s="37"/>
      <c r="R162" s="37"/>
      <c r="S162" s="39"/>
      <c r="T162" s="39"/>
    </row>
    <row r="163" spans="1:27" ht="15" x14ac:dyDescent="0.35">
      <c r="A163" s="234" t="str">
        <f>+A15</f>
        <v>DS(B)- C Drain II</v>
      </c>
      <c r="B163" s="63"/>
      <c r="C163" s="49"/>
      <c r="D163" s="38"/>
      <c r="E163" s="37"/>
      <c r="F163" s="36"/>
      <c r="G163" s="37"/>
      <c r="H163" s="37"/>
      <c r="I163" s="39"/>
      <c r="J163" s="39"/>
      <c r="K163" s="557"/>
      <c r="L163" s="63"/>
      <c r="M163" s="49"/>
      <c r="N163" s="38"/>
      <c r="O163" s="37"/>
      <c r="P163" s="36"/>
      <c r="Q163" s="37"/>
      <c r="R163" s="37"/>
      <c r="S163" s="39"/>
      <c r="T163" s="39"/>
    </row>
    <row r="164" spans="1:27" ht="15" x14ac:dyDescent="0.35">
      <c r="A164" s="35" t="s">
        <v>544</v>
      </c>
      <c r="B164" s="36">
        <f>B15</f>
        <v>156.91499999999999</v>
      </c>
      <c r="C164" s="49">
        <v>0.1</v>
      </c>
      <c r="D164" s="38">
        <v>0.15</v>
      </c>
      <c r="E164" s="37"/>
      <c r="F164" s="36">
        <f t="shared" si="3"/>
        <v>2.3537249999999998</v>
      </c>
      <c r="G164" s="39">
        <f>SUM(F164:F166)</f>
        <v>29.029275000000002</v>
      </c>
      <c r="H164" s="37" t="s">
        <v>68</v>
      </c>
      <c r="I164" s="39"/>
      <c r="J164" s="39"/>
      <c r="K164" s="557"/>
      <c r="L164" s="36">
        <f>L15</f>
        <v>156.91499999999999</v>
      </c>
      <c r="M164" s="49">
        <v>0.1</v>
      </c>
      <c r="N164" s="38">
        <v>0.15</v>
      </c>
      <c r="O164" s="37"/>
      <c r="P164" s="36">
        <f>PRODUCT(L164,M164,N164,O164)</f>
        <v>2.3537249999999998</v>
      </c>
      <c r="Q164" s="39">
        <f>SUM(P164:P166)</f>
        <v>29.029275000000002</v>
      </c>
      <c r="R164" s="37" t="s">
        <v>68</v>
      </c>
      <c r="S164" s="39"/>
      <c r="T164" s="39"/>
    </row>
    <row r="165" spans="1:27" ht="15" x14ac:dyDescent="0.35">
      <c r="A165" s="35" t="s">
        <v>545</v>
      </c>
      <c r="B165" s="36">
        <f>B15</f>
        <v>156.91499999999999</v>
      </c>
      <c r="C165" s="49">
        <v>1.5</v>
      </c>
      <c r="D165" s="38">
        <v>0.1</v>
      </c>
      <c r="E165" s="37"/>
      <c r="F165" s="36">
        <f t="shared" si="3"/>
        <v>23.53725</v>
      </c>
      <c r="G165" s="37"/>
      <c r="H165" s="37" t="s">
        <v>68</v>
      </c>
      <c r="I165" s="39"/>
      <c r="J165" s="39"/>
      <c r="K165" s="557"/>
      <c r="L165" s="36">
        <f>L15</f>
        <v>156.91499999999999</v>
      </c>
      <c r="M165" s="49">
        <v>1.5</v>
      </c>
      <c r="N165" s="38">
        <v>0.1</v>
      </c>
      <c r="O165" s="37"/>
      <c r="P165" s="36">
        <f>PRODUCT(L165,M165,N165,O165)</f>
        <v>23.53725</v>
      </c>
      <c r="Q165" s="37"/>
      <c r="R165" s="37" t="s">
        <v>68</v>
      </c>
      <c r="S165" s="39"/>
      <c r="T165" s="39"/>
    </row>
    <row r="166" spans="1:27" ht="15" x14ac:dyDescent="0.35">
      <c r="A166" s="35" t="s">
        <v>546</v>
      </c>
      <c r="B166" s="36">
        <f>B15</f>
        <v>156.91499999999999</v>
      </c>
      <c r="C166" s="49">
        <v>0.1</v>
      </c>
      <c r="D166" s="38">
        <v>0.2</v>
      </c>
      <c r="E166" s="37"/>
      <c r="F166" s="36">
        <f t="shared" si="3"/>
        <v>3.1383000000000001</v>
      </c>
      <c r="G166" s="37"/>
      <c r="H166" s="37" t="s">
        <v>68</v>
      </c>
      <c r="I166" s="39"/>
      <c r="J166" s="39"/>
      <c r="K166" s="557"/>
      <c r="L166" s="36">
        <f>L15</f>
        <v>156.91499999999999</v>
      </c>
      <c r="M166" s="49">
        <v>0.1</v>
      </c>
      <c r="N166" s="38">
        <v>0.2</v>
      </c>
      <c r="O166" s="37"/>
      <c r="P166" s="36">
        <f>PRODUCT(L166,M166,N166,O166)</f>
        <v>3.1383000000000001</v>
      </c>
      <c r="Q166" s="37"/>
      <c r="R166" s="37" t="s">
        <v>68</v>
      </c>
      <c r="S166" s="39"/>
      <c r="T166" s="39"/>
    </row>
    <row r="167" spans="1:27" ht="15" x14ac:dyDescent="0.35">
      <c r="A167" s="234"/>
      <c r="B167" s="63"/>
      <c r="C167" s="49"/>
      <c r="D167" s="38"/>
      <c r="E167" s="37"/>
      <c r="F167" s="36"/>
      <c r="G167" s="37"/>
      <c r="H167" s="37"/>
      <c r="I167" s="39"/>
      <c r="J167" s="39"/>
      <c r="K167" s="557"/>
      <c r="L167" s="63"/>
      <c r="M167" s="49"/>
      <c r="N167" s="38"/>
      <c r="O167" s="37"/>
      <c r="P167" s="36"/>
      <c r="Q167" s="37"/>
      <c r="R167" s="37"/>
      <c r="S167" s="39"/>
      <c r="T167" s="39"/>
    </row>
    <row r="168" spans="1:27" s="26" customFormat="1" ht="30" customHeight="1" x14ac:dyDescent="0.25">
      <c r="A168" s="537"/>
      <c r="B168" s="538" t="s">
        <v>87</v>
      </c>
      <c r="C168" s="538" t="s">
        <v>51</v>
      </c>
      <c r="D168" s="538" t="s">
        <v>38</v>
      </c>
      <c r="E168" s="539" t="s">
        <v>88</v>
      </c>
      <c r="F168" s="538" t="s">
        <v>89</v>
      </c>
      <c r="G168" s="538"/>
      <c r="H168" s="538"/>
      <c r="I168" s="538"/>
      <c r="J168" s="538"/>
      <c r="K168" s="553"/>
      <c r="L168" s="538" t="s">
        <v>87</v>
      </c>
      <c r="M168" s="538" t="s">
        <v>51</v>
      </c>
      <c r="N168" s="538" t="s">
        <v>38</v>
      </c>
      <c r="O168" s="539" t="s">
        <v>88</v>
      </c>
      <c r="P168" s="538" t="s">
        <v>89</v>
      </c>
      <c r="Q168" s="538"/>
      <c r="R168" s="538"/>
      <c r="S168" s="538"/>
      <c r="T168" s="538"/>
      <c r="Z168" s="499"/>
      <c r="AA168" s="500"/>
    </row>
    <row r="169" spans="1:27" ht="15" x14ac:dyDescent="0.35">
      <c r="A169" s="1101" t="s">
        <v>90</v>
      </c>
      <c r="B169" s="1102"/>
      <c r="C169" s="1102"/>
      <c r="D169" s="1102"/>
      <c r="E169" s="1102"/>
      <c r="F169" s="1103"/>
      <c r="G169" s="27">
        <f>SUM(F171:F203)</f>
        <v>11295.105348153365</v>
      </c>
      <c r="H169" s="28" t="s">
        <v>91</v>
      </c>
      <c r="I169" s="27">
        <f>G169*1.15</f>
        <v>12989.37115037637</v>
      </c>
      <c r="J169" s="27">
        <f>ROUND(I169,0)</f>
        <v>12989</v>
      </c>
      <c r="K169" s="555"/>
      <c r="L169" s="550"/>
      <c r="M169" s="550"/>
      <c r="N169" s="550"/>
      <c r="O169" s="550"/>
      <c r="P169" s="550"/>
      <c r="Q169" s="27">
        <f>SUM(P171:P203)</f>
        <v>11671.53642594098</v>
      </c>
      <c r="R169" s="28" t="s">
        <v>91</v>
      </c>
      <c r="S169" s="27">
        <f>Q169*1.15</f>
        <v>13422.266889832126</v>
      </c>
      <c r="T169" s="27">
        <f>ROUND(S169,0)</f>
        <v>13422</v>
      </c>
      <c r="U169" t="s">
        <v>131</v>
      </c>
    </row>
    <row r="170" spans="1:27" ht="15" x14ac:dyDescent="0.35">
      <c r="A170" s="234" t="str">
        <f>+A125</f>
        <v>DS(M)- A Drain I</v>
      </c>
      <c r="B170" s="38"/>
      <c r="C170" s="37"/>
      <c r="D170" s="38"/>
      <c r="E170" s="37"/>
      <c r="F170" s="36"/>
      <c r="G170" s="56"/>
      <c r="H170" s="37"/>
      <c r="I170" s="56"/>
      <c r="J170" s="39"/>
      <c r="K170" s="557"/>
      <c r="L170" s="38"/>
      <c r="M170" s="37"/>
      <c r="N170" s="38"/>
      <c r="O170" s="37"/>
      <c r="P170" s="36"/>
      <c r="Q170" s="56"/>
      <c r="R170" s="37"/>
      <c r="S170" s="56"/>
      <c r="T170" s="39"/>
      <c r="W170" t="s">
        <v>60</v>
      </c>
      <c r="X170">
        <v>214.54400000000001</v>
      </c>
    </row>
    <row r="171" spans="1:27" ht="15" x14ac:dyDescent="0.35">
      <c r="A171" s="48" t="s">
        <v>107</v>
      </c>
      <c r="B171" s="38">
        <v>10</v>
      </c>
      <c r="C171" s="37">
        <f>ROUND(D172/0.25,0)+1</f>
        <v>859</v>
      </c>
      <c r="D171" s="38">
        <v>1.45</v>
      </c>
      <c r="E171" s="38">
        <f>B171^2/162.162</f>
        <v>0.61666728333394993</v>
      </c>
      <c r="F171" s="36">
        <f>PRODUCT(C171,D171,E171)</f>
        <v>768.08993475660134</v>
      </c>
      <c r="G171" s="56">
        <f>SUM(F171:F172)</f>
        <v>1694.2057942057941</v>
      </c>
      <c r="H171" s="37" t="s">
        <v>91</v>
      </c>
      <c r="I171" s="56"/>
      <c r="J171" s="39"/>
      <c r="K171" s="557"/>
      <c r="L171" s="38">
        <v>10</v>
      </c>
      <c r="M171" s="39">
        <f>ROUND(N172/0.25,0)+1</f>
        <v>841</v>
      </c>
      <c r="N171" s="38">
        <v>1.45</v>
      </c>
      <c r="O171" s="38">
        <f>L171^2/162.162</f>
        <v>0.61666728333394993</v>
      </c>
      <c r="P171" s="36">
        <f>PRODUCT(M171,N171,O171)</f>
        <v>751.9949186615853</v>
      </c>
      <c r="Q171" s="56">
        <f>SUM(P171:P172)</f>
        <v>1658.500141833475</v>
      </c>
      <c r="R171" s="37" t="s">
        <v>91</v>
      </c>
      <c r="S171" s="56"/>
      <c r="T171" s="39"/>
      <c r="W171" t="s">
        <v>353</v>
      </c>
      <c r="X171">
        <v>355.56121727265037</v>
      </c>
    </row>
    <row r="172" spans="1:27" ht="15" x14ac:dyDescent="0.35">
      <c r="A172" s="48" t="s">
        <v>107</v>
      </c>
      <c r="B172" s="38">
        <v>10</v>
      </c>
      <c r="C172" s="37">
        <v>7</v>
      </c>
      <c r="D172" s="39">
        <f>B8</f>
        <v>214.54400000000001</v>
      </c>
      <c r="E172" s="38">
        <f>B172^2/162.162</f>
        <v>0.61666728333394993</v>
      </c>
      <c r="F172" s="36">
        <f>PRODUCT(C172,D172,E172)</f>
        <v>926.11585944919273</v>
      </c>
      <c r="G172" s="37"/>
      <c r="H172" s="37" t="s">
        <v>91</v>
      </c>
      <c r="I172" s="39"/>
      <c r="J172" s="39"/>
      <c r="K172" s="557"/>
      <c r="L172" s="38">
        <v>10</v>
      </c>
      <c r="M172" s="37">
        <v>7</v>
      </c>
      <c r="N172" s="39">
        <f>L8</f>
        <v>210.001</v>
      </c>
      <c r="O172" s="38">
        <f>L172^2/162.162</f>
        <v>0.61666728333394993</v>
      </c>
      <c r="P172" s="36">
        <f>PRODUCT(M172,N172,O172)</f>
        <v>906.50522317188972</v>
      </c>
      <c r="Q172" s="37"/>
      <c r="R172" s="37" t="s">
        <v>91</v>
      </c>
      <c r="S172" s="39"/>
      <c r="T172" s="39"/>
      <c r="W172" t="s">
        <v>538</v>
      </c>
      <c r="X172">
        <v>27.604500000000005</v>
      </c>
    </row>
    <row r="173" spans="1:27" ht="15" x14ac:dyDescent="0.35">
      <c r="A173" s="48"/>
      <c r="B173" s="38"/>
      <c r="C173" s="37"/>
      <c r="D173" s="38"/>
      <c r="E173" s="37"/>
      <c r="F173" s="36"/>
      <c r="G173" s="56"/>
      <c r="H173" s="37"/>
      <c r="I173" s="39"/>
      <c r="J173" s="39"/>
      <c r="K173" s="557"/>
      <c r="L173" s="38"/>
      <c r="M173" s="37"/>
      <c r="N173" s="38"/>
      <c r="O173" s="37"/>
      <c r="P173" s="36"/>
      <c r="Q173" s="56"/>
      <c r="R173" s="37"/>
      <c r="S173" s="39"/>
      <c r="T173" s="39"/>
      <c r="W173" t="s">
        <v>539</v>
      </c>
      <c r="X173">
        <v>96.591000000000008</v>
      </c>
    </row>
    <row r="174" spans="1:27" ht="15" x14ac:dyDescent="0.35">
      <c r="A174" s="234" t="str">
        <f>+A136</f>
        <v xml:space="preserve"> DS-C- C</v>
      </c>
      <c r="B174" s="38"/>
      <c r="C174" s="37"/>
      <c r="D174" s="38"/>
      <c r="E174" s="39"/>
      <c r="F174" s="36"/>
      <c r="G174" s="56"/>
      <c r="H174" s="37"/>
      <c r="I174" s="39"/>
      <c r="J174" s="39"/>
      <c r="K174" s="557"/>
      <c r="L174" s="38"/>
      <c r="M174" s="37"/>
      <c r="N174" s="38"/>
      <c r="O174" s="39"/>
      <c r="P174" s="36"/>
      <c r="Q174" s="56"/>
      <c r="R174" s="37"/>
      <c r="S174" s="39"/>
      <c r="T174" s="39"/>
      <c r="W174" t="s">
        <v>63</v>
      </c>
      <c r="X174">
        <v>267.3</v>
      </c>
    </row>
    <row r="175" spans="1:27" ht="15" x14ac:dyDescent="0.35">
      <c r="A175" s="48" t="s">
        <v>107</v>
      </c>
      <c r="B175" s="38">
        <v>10</v>
      </c>
      <c r="C175" s="37">
        <f>ROUND(D176/0.25,0)+1</f>
        <v>1397</v>
      </c>
      <c r="D175" s="38">
        <v>1.45</v>
      </c>
      <c r="E175" s="38">
        <f>B175^2/162.162</f>
        <v>0.61666728333394993</v>
      </c>
      <c r="F175" s="36">
        <f>PRODUCT(C175,D175,E175)</f>
        <v>1249.1520824854156</v>
      </c>
      <c r="G175" s="56">
        <f>SUM(F175:F177)</f>
        <v>2798.6023912075493</v>
      </c>
      <c r="H175" s="37" t="s">
        <v>91</v>
      </c>
      <c r="I175" s="39"/>
      <c r="J175" s="39"/>
      <c r="K175" s="557"/>
      <c r="L175" s="38">
        <v>10</v>
      </c>
      <c r="M175" s="37">
        <f>ROUND(N176/0.25,0)+1</f>
        <v>1177</v>
      </c>
      <c r="N175" s="38">
        <v>1.6</v>
      </c>
      <c r="O175" s="38">
        <f>L175^2/162.162</f>
        <v>0.61666728333394993</v>
      </c>
      <c r="P175" s="36">
        <f>PRODUCT(M175,N175,O175)</f>
        <v>1161.3078279744946</v>
      </c>
      <c r="Q175" s="56">
        <f>SUM(P175:P177)</f>
        <v>2467.104360856516</v>
      </c>
      <c r="R175" s="37" t="s">
        <v>91</v>
      </c>
      <c r="S175" s="39"/>
      <c r="T175" s="39"/>
      <c r="W175" t="s">
        <v>64</v>
      </c>
      <c r="X175">
        <v>120.88779419813902</v>
      </c>
    </row>
    <row r="176" spans="1:27" ht="15" x14ac:dyDescent="0.35">
      <c r="A176" s="48" t="s">
        <v>107</v>
      </c>
      <c r="B176" s="38">
        <v>10</v>
      </c>
      <c r="C176" s="37">
        <v>7</v>
      </c>
      <c r="D176" s="38">
        <f>B9</f>
        <v>349.00280137571241</v>
      </c>
      <c r="E176" s="38">
        <f>B176^2/162.162</f>
        <v>0.61666728333394993</v>
      </c>
      <c r="F176" s="36">
        <f>PRODUCT(C176,D176,E176)</f>
        <v>1506.530265802091</v>
      </c>
      <c r="G176" s="56"/>
      <c r="H176" s="37" t="s">
        <v>91</v>
      </c>
      <c r="I176" s="39"/>
      <c r="J176" s="39"/>
      <c r="K176" s="557"/>
      <c r="L176" s="38">
        <v>10</v>
      </c>
      <c r="M176" s="37">
        <v>7</v>
      </c>
      <c r="N176" s="38">
        <f>L9</f>
        <v>294.10082480744921</v>
      </c>
      <c r="O176" s="38">
        <f>L176^2/162.162</f>
        <v>0.61666728333394993</v>
      </c>
      <c r="P176" s="36">
        <f>PRODUCT(M176,N176,O176)</f>
        <v>1269.5364966219856</v>
      </c>
      <c r="Q176" s="56"/>
      <c r="R176" s="37" t="s">
        <v>91</v>
      </c>
      <c r="S176" s="39"/>
      <c r="T176" s="39"/>
      <c r="W176" t="s">
        <v>129</v>
      </c>
      <c r="X176">
        <v>237.85300000000004</v>
      </c>
    </row>
    <row r="177" spans="1:24" ht="15" x14ac:dyDescent="0.35">
      <c r="A177" s="48" t="s">
        <v>98</v>
      </c>
      <c r="B177" s="38">
        <v>10</v>
      </c>
      <c r="C177" s="37">
        <f>ROUND(D176/3,0)</f>
        <v>116</v>
      </c>
      <c r="D177" s="38">
        <v>0.6</v>
      </c>
      <c r="E177" s="38">
        <f>B177^2/162.162</f>
        <v>0.61666728333394993</v>
      </c>
      <c r="F177" s="36">
        <f>PRODUCT(C177,D177,E177)</f>
        <v>42.92004292004291</v>
      </c>
      <c r="G177" s="56"/>
      <c r="H177" s="37" t="s">
        <v>91</v>
      </c>
      <c r="I177" s="39"/>
      <c r="J177" s="39"/>
      <c r="K177" s="557"/>
      <c r="L177" s="38">
        <v>10</v>
      </c>
      <c r="M177" s="37">
        <f>ROUND(N176/3,0)</f>
        <v>98</v>
      </c>
      <c r="N177" s="38">
        <v>0.6</v>
      </c>
      <c r="O177" s="38">
        <f>L177^2/162.162</f>
        <v>0.61666728333394993</v>
      </c>
      <c r="P177" s="36">
        <f>PRODUCT(M177,N177,O177)</f>
        <v>36.260036260036252</v>
      </c>
      <c r="Q177" s="56"/>
      <c r="R177" s="37" t="s">
        <v>91</v>
      </c>
      <c r="S177" s="39"/>
      <c r="T177" s="39"/>
      <c r="W177" t="s">
        <v>354</v>
      </c>
      <c r="X177">
        <v>156.91499999999999</v>
      </c>
    </row>
    <row r="178" spans="1:24" ht="15" x14ac:dyDescent="0.35">
      <c r="A178" s="48"/>
      <c r="B178" s="38"/>
      <c r="C178" s="37"/>
      <c r="D178" s="38"/>
      <c r="E178" s="62"/>
      <c r="F178" s="36"/>
      <c r="G178" s="56"/>
      <c r="H178" s="37"/>
      <c r="I178" s="39"/>
      <c r="J178" s="39"/>
      <c r="K178" s="557"/>
      <c r="L178" s="38"/>
      <c r="M178" s="37"/>
      <c r="N178" s="38"/>
      <c r="O178" s="62"/>
      <c r="P178" s="36"/>
      <c r="Q178" s="56"/>
      <c r="R178" s="37"/>
      <c r="S178" s="39"/>
      <c r="T178" s="39"/>
    </row>
    <row r="179" spans="1:24" ht="15" x14ac:dyDescent="0.35">
      <c r="A179" s="234" t="str">
        <f>+A141</f>
        <v>Cascade Drain - DS-C-B</v>
      </c>
      <c r="B179" s="38"/>
      <c r="C179" s="37"/>
      <c r="D179" s="38"/>
      <c r="E179" s="37"/>
      <c r="F179" s="36"/>
      <c r="G179" s="56"/>
      <c r="H179" s="37"/>
      <c r="I179" s="39"/>
      <c r="J179" s="39"/>
      <c r="K179" s="557"/>
      <c r="L179" s="38"/>
      <c r="M179" s="37"/>
      <c r="N179" s="38"/>
      <c r="O179" s="37"/>
      <c r="P179" s="36"/>
      <c r="Q179" s="56"/>
      <c r="R179" s="37"/>
      <c r="S179" s="39"/>
      <c r="T179" s="39"/>
    </row>
    <row r="180" spans="1:24" ht="15" x14ac:dyDescent="0.35">
      <c r="A180" s="48" t="s">
        <v>373</v>
      </c>
      <c r="B180" s="38">
        <v>10</v>
      </c>
      <c r="C180" s="37">
        <f>ROUND(D181/0.225,0)+1</f>
        <v>246</v>
      </c>
      <c r="D180" s="38">
        <v>1.95</v>
      </c>
      <c r="E180" s="38">
        <f>B180^2/162.162</f>
        <v>0.61666728333394993</v>
      </c>
      <c r="F180" s="36">
        <f>PRODUCT(C180,D180,E180)</f>
        <v>295.81529581529577</v>
      </c>
      <c r="G180" s="56">
        <f>SUM(F180:F181)</f>
        <v>602.22555222555218</v>
      </c>
      <c r="H180" s="37" t="s">
        <v>91</v>
      </c>
      <c r="I180" s="39"/>
      <c r="J180" s="39"/>
      <c r="K180" s="557"/>
      <c r="L180" s="38">
        <v>10</v>
      </c>
      <c r="M180" s="37">
        <f>ROUND(N181/0.225,0)+1</f>
        <v>334</v>
      </c>
      <c r="N180" s="38">
        <v>1.95</v>
      </c>
      <c r="O180" s="38">
        <f>L180^2/162.162</f>
        <v>0.61666728333394993</v>
      </c>
      <c r="P180" s="36">
        <f>PRODUCT(M180,N180,O180)</f>
        <v>401.63540163540154</v>
      </c>
      <c r="Q180" s="56">
        <f>SUM(P180:P181)</f>
        <v>817.99681799681787</v>
      </c>
      <c r="R180" s="37" t="s">
        <v>91</v>
      </c>
      <c r="S180" s="39"/>
      <c r="T180" s="39"/>
    </row>
    <row r="181" spans="1:24" ht="15" x14ac:dyDescent="0.35">
      <c r="A181" s="48" t="s">
        <v>107</v>
      </c>
      <c r="B181" s="38">
        <v>10</v>
      </c>
      <c r="C181" s="37">
        <v>9</v>
      </c>
      <c r="D181" s="38">
        <f>B10</f>
        <v>55.20900000000001</v>
      </c>
      <c r="E181" s="38">
        <f>B181^2/162.162</f>
        <v>0.61666728333394993</v>
      </c>
      <c r="F181" s="36">
        <f>PRODUCT(C181,D181,E181)</f>
        <v>306.41025641025641</v>
      </c>
      <c r="G181" s="37"/>
      <c r="H181" s="37" t="s">
        <v>91</v>
      </c>
      <c r="I181" s="39"/>
      <c r="J181" s="39"/>
      <c r="K181" s="557"/>
      <c r="L181" s="38">
        <v>10</v>
      </c>
      <c r="M181" s="37">
        <v>9</v>
      </c>
      <c r="N181" s="38">
        <f>L10</f>
        <v>75.02000000000001</v>
      </c>
      <c r="O181" s="38">
        <f>L181^2/162.162</f>
        <v>0.61666728333394993</v>
      </c>
      <c r="P181" s="36">
        <f>PRODUCT(M181,N181,O181)</f>
        <v>416.36141636141633</v>
      </c>
      <c r="Q181" s="37"/>
      <c r="R181" s="37" t="s">
        <v>91</v>
      </c>
      <c r="S181" s="39"/>
      <c r="T181" s="39"/>
    </row>
    <row r="182" spans="1:24" ht="15" x14ac:dyDescent="0.35">
      <c r="A182" s="35"/>
      <c r="B182" s="38"/>
      <c r="C182" s="37"/>
      <c r="D182" s="38"/>
      <c r="E182" s="37"/>
      <c r="F182" s="36"/>
      <c r="G182" s="56"/>
      <c r="H182" s="37"/>
      <c r="I182" s="56"/>
      <c r="J182" s="39"/>
      <c r="K182" s="557"/>
      <c r="L182" s="38"/>
      <c r="M182" s="37"/>
      <c r="N182" s="38"/>
      <c r="O182" s="37"/>
      <c r="P182" s="36"/>
      <c r="Q182" s="56"/>
      <c r="R182" s="37"/>
      <c r="S182" s="56"/>
      <c r="T182" s="39"/>
    </row>
    <row r="183" spans="1:24" ht="15" x14ac:dyDescent="0.35">
      <c r="A183" s="234">
        <f>+A146</f>
        <v>0</v>
      </c>
      <c r="B183" s="38"/>
      <c r="C183" s="37"/>
      <c r="D183" s="38"/>
      <c r="E183" s="37"/>
      <c r="F183" s="36"/>
      <c r="G183" s="56"/>
      <c r="H183" s="37"/>
      <c r="I183" s="39"/>
      <c r="J183" s="39"/>
      <c r="K183" s="557"/>
      <c r="L183" s="38"/>
      <c r="M183" s="37"/>
      <c r="N183" s="38"/>
      <c r="O183" s="37"/>
      <c r="P183" s="36"/>
      <c r="Q183" s="56"/>
      <c r="R183" s="37"/>
      <c r="S183" s="39"/>
      <c r="T183" s="39"/>
    </row>
    <row r="184" spans="1:24" ht="15" x14ac:dyDescent="0.35">
      <c r="A184" s="48" t="s">
        <v>373</v>
      </c>
      <c r="B184" s="38">
        <v>10</v>
      </c>
      <c r="C184" s="37">
        <f>ROUND(D185/0.225,0)+1</f>
        <v>1</v>
      </c>
      <c r="D184" s="38">
        <v>1.95</v>
      </c>
      <c r="E184" s="38">
        <f>B184^2/162.162</f>
        <v>0.61666728333394993</v>
      </c>
      <c r="F184" s="36">
        <f>PRODUCT(C184,D184,E184)</f>
        <v>1.2025012025012023</v>
      </c>
      <c r="G184" s="56">
        <f>SUM(F184:F185)</f>
        <v>1.2025012025012023</v>
      </c>
      <c r="H184" s="37" t="s">
        <v>91</v>
      </c>
      <c r="I184" s="39"/>
      <c r="J184" s="39"/>
      <c r="K184" s="557"/>
      <c r="L184" s="38">
        <v>10</v>
      </c>
      <c r="M184" s="37">
        <f>ROUND(N185/0.225,0)+1</f>
        <v>1</v>
      </c>
      <c r="N184" s="38">
        <v>1.95</v>
      </c>
      <c r="O184" s="38">
        <f>L184^2/162.162</f>
        <v>0.61666728333394993</v>
      </c>
      <c r="P184" s="36">
        <f>PRODUCT(M184,N184,O184)</f>
        <v>1.2025012025012023</v>
      </c>
      <c r="Q184" s="56">
        <f>SUM(P184:P185)</f>
        <v>1.2025012025012023</v>
      </c>
      <c r="R184" s="37" t="s">
        <v>91</v>
      </c>
      <c r="S184" s="39"/>
      <c r="T184" s="39"/>
    </row>
    <row r="185" spans="1:24" ht="15" x14ac:dyDescent="0.35">
      <c r="A185" s="48" t="s">
        <v>107</v>
      </c>
      <c r="B185" s="38">
        <v>10</v>
      </c>
      <c r="C185" s="37">
        <v>9</v>
      </c>
      <c r="D185" s="38">
        <f>+B11</f>
        <v>0</v>
      </c>
      <c r="E185" s="38">
        <f>B185^2/162.162</f>
        <v>0.61666728333394993</v>
      </c>
      <c r="F185" s="36">
        <f>PRODUCT(C185,D185,E185)</f>
        <v>0</v>
      </c>
      <c r="G185" s="37"/>
      <c r="H185" s="37" t="s">
        <v>91</v>
      </c>
      <c r="I185" s="39"/>
      <c r="J185" s="39"/>
      <c r="K185" s="557"/>
      <c r="L185" s="38">
        <v>10</v>
      </c>
      <c r="M185" s="37">
        <v>9</v>
      </c>
      <c r="N185" s="38">
        <f>+L11</f>
        <v>0</v>
      </c>
      <c r="O185" s="38">
        <f>L185^2/162.162</f>
        <v>0.61666728333394993</v>
      </c>
      <c r="P185" s="36">
        <f>PRODUCT(M185,N185,O185)</f>
        <v>0</v>
      </c>
      <c r="Q185" s="37"/>
      <c r="R185" s="37" t="s">
        <v>91</v>
      </c>
      <c r="S185" s="39"/>
      <c r="T185" s="39"/>
    </row>
    <row r="186" spans="1:24" ht="15" x14ac:dyDescent="0.35">
      <c r="A186" s="35"/>
      <c r="B186" s="38"/>
      <c r="C186" s="37"/>
      <c r="D186" s="38"/>
      <c r="E186" s="37"/>
      <c r="F186" s="36"/>
      <c r="G186" s="56"/>
      <c r="H186" s="37"/>
      <c r="I186" s="56"/>
      <c r="J186" s="39"/>
      <c r="K186" s="557"/>
      <c r="L186" s="38"/>
      <c r="M186" s="37"/>
      <c r="N186" s="38"/>
      <c r="O186" s="37"/>
      <c r="P186" s="36"/>
      <c r="Q186" s="56"/>
      <c r="R186" s="37"/>
      <c r="S186" s="56"/>
      <c r="T186" s="39"/>
    </row>
    <row r="187" spans="1:24" ht="15" x14ac:dyDescent="0.35">
      <c r="A187" s="35" t="s">
        <v>63</v>
      </c>
      <c r="B187" s="37"/>
      <c r="C187" s="37"/>
      <c r="D187" s="38"/>
      <c r="E187" s="37"/>
      <c r="F187" s="36"/>
      <c r="G187" s="37"/>
      <c r="H187" s="37"/>
      <c r="I187" s="39"/>
      <c r="J187" s="39"/>
      <c r="K187" s="557"/>
      <c r="L187" s="37"/>
      <c r="M187" s="37"/>
      <c r="N187" s="38"/>
      <c r="O187" s="37"/>
      <c r="P187" s="36"/>
      <c r="Q187" s="37"/>
      <c r="R187" s="37"/>
      <c r="S187" s="39"/>
      <c r="T187" s="39"/>
    </row>
    <row r="188" spans="1:24" ht="15" x14ac:dyDescent="0.35">
      <c r="A188" s="48" t="s">
        <v>107</v>
      </c>
      <c r="B188" s="38">
        <v>10</v>
      </c>
      <c r="C188" s="37">
        <f>ROUND(D189/0.25,0)+1</f>
        <v>1070</v>
      </c>
      <c r="D188" s="38">
        <v>1.3029999999999999</v>
      </c>
      <c r="E188" s="38">
        <f>B188^2/162.162</f>
        <v>0.61666728333394993</v>
      </c>
      <c r="F188" s="36">
        <f>PRODUCT(C188,D188,E188)</f>
        <v>859.76369309702636</v>
      </c>
      <c r="G188" s="56">
        <f>SUM(F188:F189)</f>
        <v>1683.9395172728505</v>
      </c>
      <c r="H188" s="37" t="s">
        <v>91</v>
      </c>
      <c r="I188" s="56"/>
      <c r="J188" s="39"/>
      <c r="K188" s="557"/>
      <c r="L188" s="38">
        <v>10</v>
      </c>
      <c r="M188" s="37">
        <f>ROUND(N189/0.25,0)+1</f>
        <v>1070</v>
      </c>
      <c r="N188" s="38">
        <v>1.3029999999999999</v>
      </c>
      <c r="O188" s="38">
        <f>L188^2/162.162</f>
        <v>0.61666728333394993</v>
      </c>
      <c r="P188" s="36">
        <f>PRODUCT(M188,N188,O188)</f>
        <v>859.76369309702636</v>
      </c>
      <c r="Q188" s="56">
        <f>SUM(P188:P189)</f>
        <v>1683.9395172728505</v>
      </c>
      <c r="R188" s="37" t="s">
        <v>91</v>
      </c>
      <c r="S188" s="56"/>
      <c r="T188" s="39"/>
    </row>
    <row r="189" spans="1:24" ht="15" x14ac:dyDescent="0.35">
      <c r="A189" s="48" t="s">
        <v>107</v>
      </c>
      <c r="B189" s="38">
        <v>10</v>
      </c>
      <c r="C189" s="37">
        <v>5</v>
      </c>
      <c r="D189" s="38">
        <f>B12</f>
        <v>267.3</v>
      </c>
      <c r="E189" s="38">
        <f>B189^2/162.162</f>
        <v>0.61666728333394993</v>
      </c>
      <c r="F189" s="36">
        <f>PRODUCT(C189,D189,E189)</f>
        <v>824.17582417582412</v>
      </c>
      <c r="G189" s="56"/>
      <c r="H189" s="37" t="s">
        <v>91</v>
      </c>
      <c r="I189" s="56"/>
      <c r="J189" s="39"/>
      <c r="K189" s="557"/>
      <c r="L189" s="38">
        <v>10</v>
      </c>
      <c r="M189" s="37">
        <v>5</v>
      </c>
      <c r="N189" s="38">
        <f>L12</f>
        <v>267.3</v>
      </c>
      <c r="O189" s="38">
        <f>L189^2/162.162</f>
        <v>0.61666728333394993</v>
      </c>
      <c r="P189" s="36">
        <f>PRODUCT(M189,N189,O189)</f>
        <v>824.17582417582412</v>
      </c>
      <c r="Q189" s="56"/>
      <c r="R189" s="37" t="s">
        <v>91</v>
      </c>
      <c r="S189" s="56"/>
      <c r="T189" s="39"/>
    </row>
    <row r="190" spans="1:24" ht="15" x14ac:dyDescent="0.35">
      <c r="A190" s="48"/>
      <c r="B190" s="38"/>
      <c r="C190" s="37"/>
      <c r="D190" s="38"/>
      <c r="E190" s="61"/>
      <c r="F190" s="36"/>
      <c r="G190" s="37"/>
      <c r="H190" s="37"/>
      <c r="I190" s="39"/>
      <c r="J190" s="39"/>
      <c r="K190" s="557"/>
      <c r="L190" s="38"/>
      <c r="M190" s="37"/>
      <c r="N190" s="38"/>
      <c r="O190" s="61"/>
      <c r="P190" s="36"/>
      <c r="Q190" s="37"/>
      <c r="R190" s="37"/>
      <c r="S190" s="39"/>
      <c r="T190" s="39"/>
    </row>
    <row r="191" spans="1:24" ht="15" x14ac:dyDescent="0.35">
      <c r="A191" s="35" t="s">
        <v>64</v>
      </c>
      <c r="B191" s="38"/>
      <c r="C191" s="37"/>
      <c r="D191" s="38"/>
      <c r="E191" s="37"/>
      <c r="F191" s="36"/>
      <c r="G191" s="56"/>
      <c r="H191" s="37"/>
      <c r="I191" s="39"/>
      <c r="J191" s="39"/>
      <c r="K191" s="557"/>
      <c r="L191" s="38"/>
      <c r="M191" s="37"/>
      <c r="N191" s="38"/>
      <c r="O191" s="37"/>
      <c r="P191" s="36"/>
      <c r="Q191" s="56"/>
      <c r="R191" s="37"/>
      <c r="S191" s="39"/>
      <c r="T191" s="39"/>
    </row>
    <row r="192" spans="1:24" ht="15" x14ac:dyDescent="0.35">
      <c r="A192" s="48" t="s">
        <v>107</v>
      </c>
      <c r="B192" s="38">
        <v>10</v>
      </c>
      <c r="C192" s="37">
        <f>ROUND(D193/0.25,0)+1</f>
        <v>551</v>
      </c>
      <c r="D192" s="38">
        <v>2.2999999999999998</v>
      </c>
      <c r="E192" s="38">
        <f>B192^2/162.162</f>
        <v>0.61666728333394993</v>
      </c>
      <c r="F192" s="36">
        <f>PRODUCT(C192,D192,E192)</f>
        <v>781.5024481691147</v>
      </c>
      <c r="G192" s="56">
        <f>SUM(F192:F194)</f>
        <v>1836.5117136212389</v>
      </c>
      <c r="H192" s="37" t="s">
        <v>91</v>
      </c>
      <c r="I192" s="39"/>
      <c r="J192" s="39"/>
      <c r="K192" s="557"/>
      <c r="L192" s="38">
        <v>10</v>
      </c>
      <c r="M192" s="37">
        <f>ROUND(N193/0.25,0)+1</f>
        <v>510</v>
      </c>
      <c r="N192" s="38">
        <v>2.2999999999999998</v>
      </c>
      <c r="O192" s="38">
        <f>L192^2/162.162</f>
        <v>0.61666728333394993</v>
      </c>
      <c r="P192" s="36">
        <f>PRODUCT(M192,N192,O192)</f>
        <v>723.35072335072323</v>
      </c>
      <c r="Q192" s="56">
        <f>SUM(P192:P194)</f>
        <v>1698.8055927913215</v>
      </c>
      <c r="R192" s="37" t="s">
        <v>91</v>
      </c>
      <c r="S192" s="39"/>
      <c r="T192" s="39"/>
    </row>
    <row r="193" spans="1:24" ht="15" x14ac:dyDescent="0.35">
      <c r="A193" s="48" t="s">
        <v>107</v>
      </c>
      <c r="B193" s="38">
        <v>10</v>
      </c>
      <c r="C193" s="37">
        <v>12</v>
      </c>
      <c r="D193" s="38">
        <f>B13</f>
        <v>137.58534375353949</v>
      </c>
      <c r="E193" s="38">
        <f>B193^2/162.162</f>
        <v>0.61666728333394993</v>
      </c>
      <c r="F193" s="36">
        <f>PRODUCT(C193,D193,E193)</f>
        <v>1018.1325619087539</v>
      </c>
      <c r="G193" s="37"/>
      <c r="H193" s="37" t="s">
        <v>91</v>
      </c>
      <c r="I193" s="39"/>
      <c r="J193" s="39"/>
      <c r="K193" s="557"/>
      <c r="L193" s="38">
        <v>10</v>
      </c>
      <c r="M193" s="37">
        <v>12</v>
      </c>
      <c r="N193" s="38">
        <f>L13</f>
        <v>127.26809378185526</v>
      </c>
      <c r="O193" s="38">
        <f>L193^2/162.162</f>
        <v>0.61666728333394993</v>
      </c>
      <c r="P193" s="36">
        <f>PRODUCT(M193,N193,O193)</f>
        <v>941.78483577056454</v>
      </c>
      <c r="Q193" s="37"/>
      <c r="R193" s="37" t="s">
        <v>91</v>
      </c>
      <c r="S193" s="39"/>
      <c r="T193" s="39"/>
    </row>
    <row r="194" spans="1:24" ht="15" x14ac:dyDescent="0.35">
      <c r="A194" s="48" t="s">
        <v>98</v>
      </c>
      <c r="B194" s="38">
        <v>10</v>
      </c>
      <c r="C194" s="37">
        <f>ROUND(D193/3,0)</f>
        <v>46</v>
      </c>
      <c r="D194" s="38">
        <v>1.3</v>
      </c>
      <c r="E194" s="38">
        <f>B194^2/162.162</f>
        <v>0.61666728333394993</v>
      </c>
      <c r="F194" s="36">
        <f>PRODUCT(C194,D194,E194)</f>
        <v>36.876703543370212</v>
      </c>
      <c r="G194" s="56"/>
      <c r="H194" s="37" t="s">
        <v>91</v>
      </c>
      <c r="I194" s="56"/>
      <c r="J194" s="39"/>
      <c r="K194" s="557"/>
      <c r="L194" s="38">
        <v>10</v>
      </c>
      <c r="M194" s="37">
        <f>ROUND(N193/3,0)</f>
        <v>42</v>
      </c>
      <c r="N194" s="38">
        <v>1.3</v>
      </c>
      <c r="O194" s="38">
        <f>L194^2/162.162</f>
        <v>0.61666728333394993</v>
      </c>
      <c r="P194" s="36">
        <f>PRODUCT(M194,N194,O194)</f>
        <v>33.670033670033668</v>
      </c>
      <c r="Q194" s="56"/>
      <c r="R194" s="37" t="s">
        <v>91</v>
      </c>
      <c r="S194" s="56"/>
      <c r="T194" s="39"/>
    </row>
    <row r="195" spans="1:24" ht="15" x14ac:dyDescent="0.35">
      <c r="A195" s="48"/>
      <c r="B195" s="38"/>
      <c r="C195" s="37"/>
      <c r="D195" s="38"/>
      <c r="E195" s="61"/>
      <c r="F195" s="36"/>
      <c r="G195" s="56"/>
      <c r="H195" s="37"/>
      <c r="I195" s="56"/>
      <c r="J195" s="39"/>
      <c r="K195" s="557"/>
      <c r="L195" s="38"/>
      <c r="M195" s="37"/>
      <c r="N195" s="38"/>
      <c r="O195" s="61"/>
      <c r="P195" s="36"/>
      <c r="Q195" s="56"/>
      <c r="R195" s="37"/>
      <c r="S195" s="56"/>
      <c r="T195" s="39"/>
    </row>
    <row r="196" spans="1:24" ht="15" x14ac:dyDescent="0.35">
      <c r="A196" s="35" t="str">
        <f>+A158</f>
        <v>DS(B)- A Drain I</v>
      </c>
      <c r="B196" s="36"/>
      <c r="C196" s="37"/>
      <c r="D196" s="38"/>
      <c r="E196" s="61"/>
      <c r="F196" s="36"/>
      <c r="G196" s="56"/>
      <c r="H196" s="37"/>
      <c r="I196" s="56"/>
      <c r="J196" s="39"/>
      <c r="K196" s="557"/>
      <c r="L196" s="36"/>
      <c r="M196" s="37"/>
      <c r="N196" s="38"/>
      <c r="O196" s="61"/>
      <c r="P196" s="36"/>
      <c r="Q196" s="56"/>
      <c r="R196" s="37"/>
      <c r="S196" s="56"/>
      <c r="T196" s="39"/>
    </row>
    <row r="197" spans="1:24" ht="15" x14ac:dyDescent="0.35">
      <c r="A197" s="48" t="s">
        <v>107</v>
      </c>
      <c r="B197" s="38">
        <v>10</v>
      </c>
      <c r="C197" s="37">
        <f>ROUND(D198/0.25,0)+1</f>
        <v>952</v>
      </c>
      <c r="D197" s="38">
        <f>2*0.3+0.4</f>
        <v>1</v>
      </c>
      <c r="E197" s="38">
        <f>B197^2/162.162</f>
        <v>0.61666728333394993</v>
      </c>
      <c r="F197" s="36">
        <f>PRODUCT(C197,D197,E197)</f>
        <v>587.06725373392032</v>
      </c>
      <c r="G197" s="56">
        <f>SUM(F197:F198)</f>
        <v>1613.8003971337305</v>
      </c>
      <c r="H197" s="37" t="s">
        <v>91</v>
      </c>
      <c r="I197" s="56"/>
      <c r="J197" s="39"/>
      <c r="K197" s="557"/>
      <c r="L197" s="38">
        <v>10</v>
      </c>
      <c r="M197" s="37">
        <f>ROUND(N198/0.25,0)+1</f>
        <v>1345</v>
      </c>
      <c r="N197" s="38">
        <f>2*0.3+0.4</f>
        <v>1</v>
      </c>
      <c r="O197" s="38">
        <f>L197^2/162.162</f>
        <v>0.61666728333394993</v>
      </c>
      <c r="P197" s="36">
        <f>PRODUCT(M197,N197,O197)</f>
        <v>829.41749608416262</v>
      </c>
      <c r="Q197" s="56">
        <f>SUM(P197:P198)</f>
        <v>2279.3700127033458</v>
      </c>
      <c r="R197" s="37" t="s">
        <v>91</v>
      </c>
      <c r="S197" s="56"/>
      <c r="T197" s="39"/>
    </row>
    <row r="198" spans="1:24" ht="15" x14ac:dyDescent="0.35">
      <c r="A198" s="48" t="s">
        <v>107</v>
      </c>
      <c r="B198" s="38">
        <v>10</v>
      </c>
      <c r="C198" s="37">
        <v>7</v>
      </c>
      <c r="D198" s="38">
        <f>B14</f>
        <v>237.85300000000004</v>
      </c>
      <c r="E198" s="38">
        <f>B198^2/162.162</f>
        <v>0.61666728333394993</v>
      </c>
      <c r="F198" s="36">
        <f>PRODUCT(C198,D198,E198)</f>
        <v>1026.7331433998102</v>
      </c>
      <c r="G198" s="56"/>
      <c r="H198" s="37" t="s">
        <v>91</v>
      </c>
      <c r="I198" s="56"/>
      <c r="J198" s="39"/>
      <c r="K198" s="557"/>
      <c r="L198" s="38">
        <v>10</v>
      </c>
      <c r="M198" s="37">
        <v>7</v>
      </c>
      <c r="N198" s="38">
        <f>L14</f>
        <v>335.89600000000002</v>
      </c>
      <c r="O198" s="38">
        <f>L198^2/162.162</f>
        <v>0.61666728333394993</v>
      </c>
      <c r="P198" s="36">
        <f>PRODUCT(M198,N198,O198)</f>
        <v>1449.9525166191831</v>
      </c>
      <c r="Q198" s="56"/>
      <c r="R198" s="37" t="s">
        <v>91</v>
      </c>
      <c r="S198" s="56"/>
      <c r="T198" s="39"/>
    </row>
    <row r="199" spans="1:24" ht="15" x14ac:dyDescent="0.35">
      <c r="A199" s="48"/>
      <c r="B199" s="38"/>
      <c r="C199" s="37"/>
      <c r="D199" s="38"/>
      <c r="E199" s="38"/>
      <c r="F199" s="36"/>
      <c r="G199" s="56"/>
      <c r="H199" s="37"/>
      <c r="I199" s="56"/>
      <c r="J199" s="39"/>
      <c r="K199" s="557"/>
      <c r="L199" s="38"/>
      <c r="M199" s="37"/>
      <c r="N199" s="38"/>
      <c r="O199" s="38"/>
      <c r="P199" s="36"/>
      <c r="Q199" s="56"/>
      <c r="R199" s="37"/>
      <c r="S199" s="56"/>
      <c r="T199" s="39"/>
    </row>
    <row r="200" spans="1:24" ht="15" x14ac:dyDescent="0.35">
      <c r="A200" t="str">
        <f>+A163</f>
        <v>DS(B)- C Drain II</v>
      </c>
      <c r="B200" s="36"/>
      <c r="C200" s="37"/>
      <c r="D200" s="38"/>
      <c r="E200" s="61"/>
      <c r="F200" s="36"/>
      <c r="G200" s="56"/>
      <c r="H200" s="37"/>
      <c r="I200" s="56"/>
      <c r="J200" s="39"/>
      <c r="K200" s="557"/>
      <c r="L200" s="36"/>
      <c r="M200" s="37"/>
      <c r="N200" s="38"/>
      <c r="O200" s="61"/>
      <c r="P200" s="36"/>
      <c r="Q200" s="56"/>
      <c r="R200" s="37"/>
      <c r="S200" s="56"/>
      <c r="T200" s="39"/>
    </row>
    <row r="201" spans="1:24" ht="15" x14ac:dyDescent="0.35">
      <c r="A201" s="48" t="s">
        <v>107</v>
      </c>
      <c r="B201" s="38">
        <v>10</v>
      </c>
      <c r="C201" s="37">
        <f>ROUND(D202/0.25,0)</f>
        <v>628</v>
      </c>
      <c r="D201" s="38">
        <f>2*0.3+0.4</f>
        <v>1</v>
      </c>
      <c r="E201" s="38">
        <f>B201^2/162.162</f>
        <v>0.61666728333394993</v>
      </c>
      <c r="F201" s="36">
        <f>PRODUCT(C201,D201,E201)</f>
        <v>387.26705393372055</v>
      </c>
      <c r="G201" s="56">
        <f>SUM(F201:F202)</f>
        <v>1064.6174812841477</v>
      </c>
      <c r="H201" s="37" t="s">
        <v>91</v>
      </c>
      <c r="I201" s="56"/>
      <c r="J201" s="39"/>
      <c r="K201" s="557"/>
      <c r="L201" s="38">
        <v>10</v>
      </c>
      <c r="M201" s="37">
        <f>ROUND(N202/0.25,0)</f>
        <v>628</v>
      </c>
      <c r="N201" s="38">
        <f>2*0.3+0.4</f>
        <v>1</v>
      </c>
      <c r="O201" s="38">
        <f>L201^2/162.162</f>
        <v>0.61666728333394993</v>
      </c>
      <c r="P201" s="36">
        <f>PRODUCT(M201,N201,O201)</f>
        <v>387.26705393372055</v>
      </c>
      <c r="Q201" s="56">
        <f>SUM(P201:P202)</f>
        <v>1064.6174812841477</v>
      </c>
      <c r="R201" s="37" t="s">
        <v>91</v>
      </c>
      <c r="S201" s="56"/>
      <c r="T201" s="39"/>
    </row>
    <row r="202" spans="1:24" ht="15" x14ac:dyDescent="0.35">
      <c r="A202" s="48" t="s">
        <v>107</v>
      </c>
      <c r="B202" s="38">
        <v>10</v>
      </c>
      <c r="C202" s="37">
        <v>7</v>
      </c>
      <c r="D202" s="38">
        <f>B15</f>
        <v>156.91499999999999</v>
      </c>
      <c r="E202" s="38">
        <f>B202^2/162.162</f>
        <v>0.61666728333394993</v>
      </c>
      <c r="F202" s="36">
        <f>PRODUCT(C202,D202,E202)</f>
        <v>677.35042735042725</v>
      </c>
      <c r="G202" s="56"/>
      <c r="H202" s="37" t="s">
        <v>91</v>
      </c>
      <c r="I202" s="56"/>
      <c r="J202" s="39"/>
      <c r="K202" s="557"/>
      <c r="L202" s="38">
        <v>10</v>
      </c>
      <c r="M202" s="37">
        <v>7</v>
      </c>
      <c r="N202" s="38">
        <f>L15</f>
        <v>156.91499999999999</v>
      </c>
      <c r="O202" s="38">
        <f>L202^2/162.162</f>
        <v>0.61666728333394993</v>
      </c>
      <c r="P202" s="36">
        <f>PRODUCT(M202,N202,O202)</f>
        <v>677.35042735042725</v>
      </c>
      <c r="Q202" s="56"/>
      <c r="R202" s="37" t="s">
        <v>91</v>
      </c>
      <c r="S202" s="56"/>
      <c r="T202" s="39"/>
    </row>
    <row r="203" spans="1:24" ht="15" x14ac:dyDescent="0.35">
      <c r="A203" s="48"/>
      <c r="B203" s="38"/>
      <c r="C203" s="37"/>
      <c r="D203" s="38"/>
      <c r="E203" s="61"/>
      <c r="F203" s="36"/>
      <c r="G203" s="56"/>
      <c r="H203" s="37"/>
      <c r="I203" s="56"/>
      <c r="J203" s="39"/>
      <c r="K203" s="557"/>
      <c r="L203" s="38"/>
      <c r="M203" s="37"/>
      <c r="N203" s="38"/>
      <c r="O203" s="61"/>
      <c r="P203" s="36"/>
      <c r="Q203" s="56"/>
      <c r="R203" s="37"/>
      <c r="S203" s="56"/>
      <c r="T203" s="39"/>
    </row>
    <row r="204" spans="1:24" ht="15" x14ac:dyDescent="0.35">
      <c r="A204" s="35"/>
      <c r="B204" s="37"/>
      <c r="C204" s="37"/>
      <c r="D204" s="38"/>
      <c r="E204" s="37"/>
      <c r="F204" s="36"/>
      <c r="G204" s="37"/>
      <c r="H204" s="37"/>
      <c r="I204" s="39"/>
      <c r="J204" s="39"/>
      <c r="K204" s="557"/>
      <c r="L204" s="37"/>
      <c r="M204" s="37"/>
      <c r="N204" s="38"/>
      <c r="O204" s="37"/>
      <c r="P204" s="36"/>
      <c r="Q204" s="37"/>
      <c r="R204" s="37"/>
      <c r="S204" s="39"/>
      <c r="T204" s="39"/>
    </row>
    <row r="205" spans="1:24" ht="15" x14ac:dyDescent="0.35">
      <c r="A205" s="1101" t="s">
        <v>42</v>
      </c>
      <c r="B205" s="1102"/>
      <c r="C205" s="1102"/>
      <c r="D205" s="1102"/>
      <c r="E205" s="1102"/>
      <c r="F205" s="1103"/>
      <c r="G205" s="27">
        <f>SUM(F207:F243)</f>
        <v>2335.596971510628</v>
      </c>
      <c r="H205" s="28" t="s">
        <v>59</v>
      </c>
      <c r="I205" s="27"/>
      <c r="J205" s="27">
        <f>ROUND(I205,0)</f>
        <v>0</v>
      </c>
      <c r="K205" s="555"/>
      <c r="L205" s="550"/>
      <c r="M205" s="550"/>
      <c r="N205" s="550"/>
      <c r="O205" s="550"/>
      <c r="P205" s="550"/>
      <c r="Q205" s="27">
        <f>SUM(P207:P243)</f>
        <v>2324.4466133321921</v>
      </c>
      <c r="R205" s="28" t="s">
        <v>59</v>
      </c>
      <c r="S205" s="27"/>
      <c r="T205" s="27">
        <f>ROUND(S205,0)</f>
        <v>0</v>
      </c>
      <c r="U205" t="s">
        <v>131</v>
      </c>
    </row>
    <row r="206" spans="1:24" ht="15" x14ac:dyDescent="0.35">
      <c r="A206" s="234" t="str">
        <f>+A8</f>
        <v>DS(M)- A Drain I</v>
      </c>
      <c r="B206" s="37"/>
      <c r="C206" s="37"/>
      <c r="D206" s="37"/>
      <c r="E206" s="37"/>
      <c r="F206" s="36"/>
      <c r="G206" s="39"/>
      <c r="H206" s="37"/>
      <c r="I206" s="39"/>
      <c r="J206" s="39"/>
      <c r="K206" s="557"/>
      <c r="L206" s="37"/>
      <c r="M206" s="37"/>
      <c r="N206" s="37"/>
      <c r="O206" s="37"/>
      <c r="P206" s="36"/>
      <c r="Q206" s="39"/>
      <c r="R206" s="37"/>
      <c r="S206" s="39"/>
      <c r="T206" s="39"/>
      <c r="W206" t="s">
        <v>60</v>
      </c>
      <c r="X206">
        <v>214.54400000000001</v>
      </c>
    </row>
    <row r="207" spans="1:24" ht="15" x14ac:dyDescent="0.35">
      <c r="A207" s="234" t="s">
        <v>649</v>
      </c>
      <c r="B207" s="36">
        <f>B8</f>
        <v>214.54400000000001</v>
      </c>
      <c r="C207" s="37"/>
      <c r="D207" s="38">
        <v>0.45</v>
      </c>
      <c r="E207" s="37">
        <v>2</v>
      </c>
      <c r="F207" s="36">
        <f>PRODUCT(B207:E207)</f>
        <v>193.08960000000002</v>
      </c>
      <c r="G207" s="39">
        <f>SUM(F207:F208)</f>
        <v>429.08800000000008</v>
      </c>
      <c r="H207" s="37" t="s">
        <v>59</v>
      </c>
      <c r="I207" s="39"/>
      <c r="J207" s="39"/>
      <c r="K207" s="557"/>
      <c r="L207" s="36">
        <f>L8</f>
        <v>210.001</v>
      </c>
      <c r="M207" s="37"/>
      <c r="N207" s="38">
        <v>0.3</v>
      </c>
      <c r="O207" s="37">
        <v>2</v>
      </c>
      <c r="P207" s="36">
        <f>PRODUCT(L207:O207)</f>
        <v>126.00059999999999</v>
      </c>
      <c r="Q207" s="39">
        <f>SUM(P207:P208)</f>
        <v>294.00139999999999</v>
      </c>
      <c r="R207" s="37" t="s">
        <v>59</v>
      </c>
      <c r="S207" s="39"/>
      <c r="T207" s="39"/>
      <c r="W207" t="s">
        <v>353</v>
      </c>
      <c r="X207">
        <v>355.56121727265037</v>
      </c>
    </row>
    <row r="208" spans="1:24" ht="15" x14ac:dyDescent="0.35">
      <c r="A208" s="234" t="s">
        <v>650</v>
      </c>
      <c r="B208" s="36">
        <f>B8</f>
        <v>214.54400000000001</v>
      </c>
      <c r="C208" s="37"/>
      <c r="D208" s="38">
        <v>0.55000000000000004</v>
      </c>
      <c r="E208" s="37">
        <v>2</v>
      </c>
      <c r="F208" s="36">
        <f>PRODUCT(B208:E208)</f>
        <v>235.99840000000003</v>
      </c>
      <c r="G208" s="37"/>
      <c r="H208" s="37" t="s">
        <v>59</v>
      </c>
      <c r="I208" s="39"/>
      <c r="J208" s="39"/>
      <c r="K208" s="557"/>
      <c r="L208" s="36">
        <f>L8</f>
        <v>210.001</v>
      </c>
      <c r="M208" s="37"/>
      <c r="N208" s="38">
        <v>0.4</v>
      </c>
      <c r="O208" s="37">
        <v>2</v>
      </c>
      <c r="P208" s="36">
        <f>PRODUCT(L208:O208)</f>
        <v>168.00080000000003</v>
      </c>
      <c r="Q208" s="37"/>
      <c r="R208" s="37" t="s">
        <v>59</v>
      </c>
      <c r="S208" s="39"/>
      <c r="T208" s="39"/>
      <c r="W208" t="s">
        <v>538</v>
      </c>
      <c r="X208">
        <v>27.604500000000005</v>
      </c>
    </row>
    <row r="209" spans="1:24" ht="15" x14ac:dyDescent="0.35">
      <c r="A209" s="234"/>
      <c r="B209" s="63"/>
      <c r="C209" s="37"/>
      <c r="D209" s="38"/>
      <c r="E209" s="37"/>
      <c r="F209" s="36"/>
      <c r="G209" s="37"/>
      <c r="H209" s="37"/>
      <c r="I209" s="39"/>
      <c r="J209" s="39"/>
      <c r="K209" s="557"/>
      <c r="L209" s="63"/>
      <c r="M209" s="37"/>
      <c r="N209" s="38"/>
      <c r="O209" s="37"/>
      <c r="P209" s="36"/>
      <c r="Q209" s="37"/>
      <c r="R209" s="37"/>
      <c r="S209" s="39"/>
      <c r="T209" s="39"/>
      <c r="W209" t="s">
        <v>539</v>
      </c>
      <c r="X209">
        <v>96.591000000000008</v>
      </c>
    </row>
    <row r="210" spans="1:24" ht="15" x14ac:dyDescent="0.35">
      <c r="A210" s="234" t="str">
        <f>+A9</f>
        <v xml:space="preserve"> DS-C- C</v>
      </c>
      <c r="B210" s="63"/>
      <c r="C210" s="37"/>
      <c r="D210" s="38"/>
      <c r="E210" s="37"/>
      <c r="F210" s="36"/>
      <c r="G210" s="37"/>
      <c r="H210" s="37"/>
      <c r="I210" s="39"/>
      <c r="J210" s="39"/>
      <c r="K210" s="557"/>
      <c r="L210" s="63"/>
      <c r="M210" s="37"/>
      <c r="N210" s="38"/>
      <c r="O210" s="37"/>
      <c r="P210" s="36"/>
      <c r="Q210" s="37"/>
      <c r="R210" s="37"/>
      <c r="S210" s="39"/>
      <c r="T210" s="39"/>
    </row>
    <row r="211" spans="1:24" ht="15" x14ac:dyDescent="0.35">
      <c r="A211" s="234" t="s">
        <v>649</v>
      </c>
      <c r="B211" s="36">
        <f>B9</f>
        <v>349.00280137571241</v>
      </c>
      <c r="C211" s="37"/>
      <c r="D211" s="38">
        <v>0.45</v>
      </c>
      <c r="E211" s="37">
        <v>2</v>
      </c>
      <c r="F211" s="36">
        <f>PRODUCT(B211:E211)</f>
        <v>314.10252123814115</v>
      </c>
      <c r="G211" s="39">
        <f>SUM(F211:F213)</f>
        <v>701.92060275142478</v>
      </c>
      <c r="H211" s="37" t="s">
        <v>59</v>
      </c>
      <c r="I211" s="39"/>
      <c r="J211" s="39"/>
      <c r="K211" s="557"/>
      <c r="L211" s="36">
        <f>L9</f>
        <v>294.10082480744921</v>
      </c>
      <c r="M211" s="37"/>
      <c r="N211" s="38">
        <v>0.6</v>
      </c>
      <c r="O211" s="37">
        <v>2</v>
      </c>
      <c r="P211" s="36">
        <f>PRODUCT(L211:O211)</f>
        <v>352.92098976893902</v>
      </c>
      <c r="Q211" s="39">
        <f>SUM(P211:P213)</f>
        <v>776.78964449936802</v>
      </c>
      <c r="R211" s="37" t="s">
        <v>59</v>
      </c>
      <c r="S211" s="39"/>
      <c r="T211" s="39"/>
      <c r="W211" t="s">
        <v>63</v>
      </c>
      <c r="X211">
        <v>267.3</v>
      </c>
    </row>
    <row r="212" spans="1:24" ht="15" x14ac:dyDescent="0.35">
      <c r="A212" s="234" t="s">
        <v>650</v>
      </c>
      <c r="B212" s="36">
        <f>B9</f>
        <v>349.00280137571241</v>
      </c>
      <c r="C212" s="37"/>
      <c r="D212" s="38">
        <v>0.55000000000000004</v>
      </c>
      <c r="E212" s="37">
        <v>2</v>
      </c>
      <c r="F212" s="36">
        <f>PRODUCT(B212:E212)</f>
        <v>383.90308151328367</v>
      </c>
      <c r="G212" s="39"/>
      <c r="H212" s="37" t="s">
        <v>59</v>
      </c>
      <c r="I212" s="39"/>
      <c r="J212" s="39"/>
      <c r="K212" s="557"/>
      <c r="L212" s="36">
        <f>L9</f>
        <v>294.10082480744921</v>
      </c>
      <c r="M212" s="37"/>
      <c r="N212" s="38">
        <f>0.6+0.1</f>
        <v>0.7</v>
      </c>
      <c r="O212" s="37">
        <v>2</v>
      </c>
      <c r="P212" s="36">
        <f>PRODUCT(L212:O212)</f>
        <v>411.74115473042889</v>
      </c>
      <c r="Q212" s="39"/>
      <c r="R212" s="37" t="s">
        <v>59</v>
      </c>
      <c r="S212" s="39"/>
      <c r="T212" s="39"/>
      <c r="W212" t="s">
        <v>64</v>
      </c>
      <c r="X212">
        <v>120.88779419813902</v>
      </c>
    </row>
    <row r="213" spans="1:24" ht="15" x14ac:dyDescent="0.35">
      <c r="A213" s="234" t="s">
        <v>372</v>
      </c>
      <c r="B213" s="36">
        <v>0.45</v>
      </c>
      <c r="C213" s="37"/>
      <c r="D213" s="38">
        <v>7.4999999999999997E-2</v>
      </c>
      <c r="E213" s="37">
        <f>ROUND(B212/3,0)</f>
        <v>116</v>
      </c>
      <c r="F213" s="36">
        <f>PRODUCT(B213:E213)</f>
        <v>3.915</v>
      </c>
      <c r="G213" s="37"/>
      <c r="H213" s="37" t="s">
        <v>59</v>
      </c>
      <c r="I213" s="39"/>
      <c r="J213" s="39"/>
      <c r="K213" s="557"/>
      <c r="L213" s="36">
        <v>0.45</v>
      </c>
      <c r="M213" s="37"/>
      <c r="N213" s="38">
        <v>0.27500000000000002</v>
      </c>
      <c r="O213" s="37">
        <f>ROUND(L212/3,0)</f>
        <v>98</v>
      </c>
      <c r="P213" s="36">
        <f>PRODUCT(L213:O213)</f>
        <v>12.127500000000001</v>
      </c>
      <c r="Q213" s="37"/>
      <c r="R213" s="37" t="s">
        <v>59</v>
      </c>
      <c r="S213" s="39"/>
      <c r="T213" s="39"/>
      <c r="W213" t="s">
        <v>129</v>
      </c>
      <c r="X213">
        <v>237.85300000000004</v>
      </c>
    </row>
    <row r="214" spans="1:24" ht="15" x14ac:dyDescent="0.35">
      <c r="A214" s="234"/>
      <c r="B214" s="63"/>
      <c r="C214" s="37"/>
      <c r="D214" s="38"/>
      <c r="E214" s="37"/>
      <c r="F214" s="36"/>
      <c r="G214" s="37"/>
      <c r="H214" s="37"/>
      <c r="I214" s="39"/>
      <c r="J214" s="39"/>
      <c r="K214" s="557"/>
      <c r="L214" s="63"/>
      <c r="M214" s="37"/>
      <c r="N214" s="38"/>
      <c r="O214" s="37"/>
      <c r="P214" s="36"/>
      <c r="Q214" s="37"/>
      <c r="R214" s="37"/>
      <c r="S214" s="39"/>
      <c r="T214" s="39"/>
      <c r="W214" t="s">
        <v>354</v>
      </c>
      <c r="X214">
        <v>156.91499999999999</v>
      </c>
    </row>
    <row r="215" spans="1:24" ht="15" x14ac:dyDescent="0.35">
      <c r="A215" t="str">
        <f>+A10</f>
        <v>Cascade Drain - DS-C-B</v>
      </c>
      <c r="B215" s="63"/>
      <c r="C215" s="37"/>
      <c r="D215" s="38"/>
      <c r="E215" s="37"/>
      <c r="F215" s="36"/>
      <c r="G215" s="37"/>
      <c r="H215" s="37"/>
      <c r="I215" s="39"/>
      <c r="J215" s="39"/>
      <c r="K215" s="557"/>
      <c r="L215" s="63"/>
      <c r="M215" s="37"/>
      <c r="N215" s="38"/>
      <c r="O215" s="37"/>
      <c r="P215" s="36"/>
      <c r="Q215" s="37"/>
      <c r="R215" s="37"/>
      <c r="S215" s="39"/>
      <c r="T215" s="39"/>
    </row>
    <row r="216" spans="1:24" ht="15" x14ac:dyDescent="0.35">
      <c r="A216" s="234" t="s">
        <v>374</v>
      </c>
      <c r="B216" s="36">
        <f>B10</f>
        <v>55.20900000000001</v>
      </c>
      <c r="C216" s="37"/>
      <c r="D216" s="38">
        <v>0.6</v>
      </c>
      <c r="E216" s="37">
        <v>2</v>
      </c>
      <c r="F216" s="36">
        <f>PRODUCT(B216:E216)</f>
        <v>66.250800000000012</v>
      </c>
      <c r="G216" s="39">
        <f>SUM(F216:F219)</f>
        <v>155.97697500000001</v>
      </c>
      <c r="H216" s="37" t="s">
        <v>59</v>
      </c>
      <c r="I216" s="39"/>
      <c r="J216" s="39"/>
      <c r="K216" s="557"/>
      <c r="L216" s="36">
        <f>L10</f>
        <v>75.02000000000001</v>
      </c>
      <c r="M216" s="37"/>
      <c r="N216" s="38">
        <v>0.6</v>
      </c>
      <c r="O216" s="37">
        <v>2</v>
      </c>
      <c r="P216" s="36">
        <f>PRODUCT(L216:O216)</f>
        <v>90.024000000000015</v>
      </c>
      <c r="Q216" s="39">
        <f>SUM(P216:P219)</f>
        <v>208.19012500000002</v>
      </c>
      <c r="R216" s="37" t="s">
        <v>59</v>
      </c>
      <c r="S216" s="39"/>
      <c r="T216" s="39"/>
    </row>
    <row r="217" spans="1:24" ht="15" x14ac:dyDescent="0.35">
      <c r="A217" s="234" t="s">
        <v>375</v>
      </c>
      <c r="B217" s="36">
        <f>B10</f>
        <v>55.20900000000001</v>
      </c>
      <c r="C217" s="37"/>
      <c r="D217" s="38">
        <v>0.72499999999999998</v>
      </c>
      <c r="E217" s="37">
        <v>2</v>
      </c>
      <c r="F217" s="36">
        <f>PRODUCT(B217:E217)</f>
        <v>80.053050000000013</v>
      </c>
      <c r="G217" s="37"/>
      <c r="H217" s="37" t="s">
        <v>59</v>
      </c>
      <c r="I217" s="39"/>
      <c r="J217" s="39"/>
      <c r="K217" s="557"/>
      <c r="L217" s="36">
        <f>L10</f>
        <v>75.02000000000001</v>
      </c>
      <c r="M217" s="37"/>
      <c r="N217" s="38">
        <v>0.7</v>
      </c>
      <c r="O217" s="37">
        <v>2</v>
      </c>
      <c r="P217" s="36">
        <f>PRODUCT(L217:O217)</f>
        <v>105.02800000000001</v>
      </c>
      <c r="Q217" s="37"/>
      <c r="R217" s="37" t="s">
        <v>59</v>
      </c>
      <c r="S217" s="39"/>
      <c r="T217" s="39"/>
    </row>
    <row r="218" spans="1:24" ht="15" x14ac:dyDescent="0.35">
      <c r="A218" s="234" t="s">
        <v>372</v>
      </c>
      <c r="B218" s="36">
        <v>0.45</v>
      </c>
      <c r="C218" s="37"/>
      <c r="D218" s="38">
        <v>0.27500000000000002</v>
      </c>
      <c r="E218" s="37">
        <f>ROUND(B217/0.275,0)</f>
        <v>201</v>
      </c>
      <c r="F218" s="36">
        <f>PRODUCT(B218:E218)</f>
        <v>24.873750000000001</v>
      </c>
      <c r="G218" s="37"/>
      <c r="H218" s="37" t="s">
        <v>59</v>
      </c>
      <c r="I218" s="39"/>
      <c r="J218" s="39"/>
      <c r="K218" s="557"/>
      <c r="L218" s="36">
        <v>0.45</v>
      </c>
      <c r="M218" s="37"/>
      <c r="N218" s="38">
        <v>0.27500000000000002</v>
      </c>
      <c r="O218" s="37">
        <f>ROUND(L217/0.275,0)</f>
        <v>273</v>
      </c>
      <c r="P218" s="36">
        <f>PRODUCT(L218:O218)</f>
        <v>33.783750000000005</v>
      </c>
      <c r="Q218" s="37"/>
      <c r="R218" s="37" t="s">
        <v>59</v>
      </c>
      <c r="S218" s="39"/>
      <c r="T218" s="39"/>
    </row>
    <row r="219" spans="1:24" ht="15" x14ac:dyDescent="0.35">
      <c r="A219" s="234" t="s">
        <v>110</v>
      </c>
      <c r="B219" s="36"/>
      <c r="C219" s="37">
        <v>0.27500000000000002</v>
      </c>
      <c r="D219" s="38">
        <v>0.27500000000000002</v>
      </c>
      <c r="E219" s="37">
        <f>ROUND(B217/0.275,0)</f>
        <v>201</v>
      </c>
      <c r="F219" s="36">
        <f>-PRODUCT(B219:E219)</f>
        <v>-15.200625000000002</v>
      </c>
      <c r="G219" s="37"/>
      <c r="H219" s="37" t="s">
        <v>59</v>
      </c>
      <c r="I219" s="39"/>
      <c r="J219" s="39"/>
      <c r="K219" s="557"/>
      <c r="L219" s="36"/>
      <c r="M219" s="37">
        <v>0.27500000000000002</v>
      </c>
      <c r="N219" s="38">
        <v>0.27500000000000002</v>
      </c>
      <c r="O219" s="37">
        <f>ROUND(L217/0.275,0)</f>
        <v>273</v>
      </c>
      <c r="P219" s="36">
        <f>-PRODUCT(L219:O219)</f>
        <v>-20.645625000000003</v>
      </c>
      <c r="Q219" s="37"/>
      <c r="R219" s="37" t="s">
        <v>59</v>
      </c>
      <c r="S219" s="39"/>
      <c r="T219" s="39"/>
    </row>
    <row r="220" spans="1:24" ht="15" x14ac:dyDescent="0.35">
      <c r="A220" s="234"/>
      <c r="B220" s="63"/>
      <c r="C220" s="37"/>
      <c r="D220" s="38"/>
      <c r="E220" s="37"/>
      <c r="F220" s="36"/>
      <c r="G220" s="39"/>
      <c r="H220" s="37"/>
      <c r="I220" s="39"/>
      <c r="J220" s="39"/>
      <c r="K220" s="557"/>
      <c r="L220" s="63"/>
      <c r="M220" s="37"/>
      <c r="N220" s="38"/>
      <c r="O220" s="37"/>
      <c r="P220" s="36"/>
      <c r="Q220" s="39"/>
      <c r="R220" s="37"/>
      <c r="S220" s="39"/>
      <c r="T220" s="39"/>
    </row>
    <row r="221" spans="1:24" ht="15" x14ac:dyDescent="0.35">
      <c r="A221">
        <f>+A11</f>
        <v>0</v>
      </c>
      <c r="B221" s="63"/>
      <c r="C221" s="37"/>
      <c r="D221" s="38"/>
      <c r="E221" s="37"/>
      <c r="F221" s="36"/>
      <c r="G221" s="37"/>
      <c r="H221" s="37"/>
      <c r="I221" s="39"/>
      <c r="J221" s="39"/>
      <c r="K221" s="557"/>
      <c r="L221" s="63"/>
      <c r="M221" s="37"/>
      <c r="N221" s="38"/>
      <c r="O221" s="37"/>
      <c r="P221" s="36"/>
      <c r="Q221" s="37"/>
      <c r="R221" s="37"/>
      <c r="S221" s="39"/>
      <c r="T221" s="39"/>
    </row>
    <row r="222" spans="1:24" ht="15" x14ac:dyDescent="0.35">
      <c r="A222" s="234" t="s">
        <v>374</v>
      </c>
      <c r="B222" s="36">
        <f>+B11</f>
        <v>0</v>
      </c>
      <c r="C222" s="37"/>
      <c r="D222" s="38">
        <v>1</v>
      </c>
      <c r="E222" s="37">
        <v>2</v>
      </c>
      <c r="F222" s="36">
        <f>PRODUCT(B222:E222)</f>
        <v>0</v>
      </c>
      <c r="G222" s="39">
        <f>SUM(F222:F225)</f>
        <v>0</v>
      </c>
      <c r="H222" s="37" t="s">
        <v>59</v>
      </c>
      <c r="I222" s="39"/>
      <c r="J222" s="39"/>
      <c r="K222" s="557"/>
      <c r="L222" s="36"/>
      <c r="M222" s="37"/>
      <c r="N222" s="38"/>
      <c r="O222" s="37"/>
      <c r="P222" s="36"/>
      <c r="Q222" s="39"/>
      <c r="R222" s="37"/>
      <c r="S222" s="39"/>
      <c r="T222" s="39"/>
    </row>
    <row r="223" spans="1:24" ht="15" x14ac:dyDescent="0.35">
      <c r="A223" s="234" t="s">
        <v>375</v>
      </c>
      <c r="B223" s="36">
        <f>+B222</f>
        <v>0</v>
      </c>
      <c r="C223" s="37"/>
      <c r="D223" s="38">
        <v>1.25</v>
      </c>
      <c r="E223" s="37">
        <v>2</v>
      </c>
      <c r="F223" s="36">
        <f>PRODUCT(B223:E223)</f>
        <v>0</v>
      </c>
      <c r="G223" s="37"/>
      <c r="H223" s="37" t="s">
        <v>59</v>
      </c>
      <c r="I223" s="39"/>
      <c r="J223" s="39"/>
      <c r="K223" s="557"/>
      <c r="L223" s="36"/>
      <c r="M223" s="37"/>
      <c r="N223" s="38"/>
      <c r="O223" s="37"/>
      <c r="P223" s="36"/>
      <c r="Q223" s="37"/>
      <c r="R223" s="37"/>
      <c r="S223" s="39"/>
      <c r="T223" s="39"/>
    </row>
    <row r="224" spans="1:24" ht="15" x14ac:dyDescent="0.35">
      <c r="A224" s="234" t="s">
        <v>372</v>
      </c>
      <c r="B224" s="36">
        <v>1</v>
      </c>
      <c r="C224" s="37"/>
      <c r="D224" s="38">
        <v>0.27500000000000002</v>
      </c>
      <c r="E224" s="37">
        <f>ROUND(B223/0.275,0)</f>
        <v>0</v>
      </c>
      <c r="F224" s="36">
        <f>PRODUCT(B224:E224)</f>
        <v>0</v>
      </c>
      <c r="G224" s="37"/>
      <c r="H224" s="37" t="s">
        <v>59</v>
      </c>
      <c r="I224" s="39"/>
      <c r="J224" s="39"/>
      <c r="K224" s="557"/>
      <c r="L224" s="36"/>
      <c r="M224" s="37"/>
      <c r="N224" s="38"/>
      <c r="O224" s="37"/>
      <c r="P224" s="36"/>
      <c r="Q224" s="37"/>
      <c r="R224" s="37"/>
      <c r="S224" s="39"/>
      <c r="T224" s="39"/>
    </row>
    <row r="225" spans="1:20" ht="15" x14ac:dyDescent="0.35">
      <c r="A225" s="234" t="s">
        <v>110</v>
      </c>
      <c r="B225" s="36"/>
      <c r="C225" s="37">
        <v>0.27500000000000002</v>
      </c>
      <c r="D225" s="38">
        <v>0.27500000000000002</v>
      </c>
      <c r="E225" s="37">
        <f>ROUND(B223/0.275,0)</f>
        <v>0</v>
      </c>
      <c r="F225" s="36">
        <f>-PRODUCT(B225:E225)</f>
        <v>0</v>
      </c>
      <c r="G225" s="37"/>
      <c r="H225" s="37" t="s">
        <v>59</v>
      </c>
      <c r="I225" s="39"/>
      <c r="J225" s="39"/>
      <c r="K225" s="557"/>
      <c r="L225" s="36"/>
      <c r="M225" s="37"/>
      <c r="N225" s="38"/>
      <c r="O225" s="37"/>
      <c r="P225" s="36"/>
      <c r="Q225" s="37"/>
      <c r="R225" s="37"/>
      <c r="S225" s="39"/>
      <c r="T225" s="39"/>
    </row>
    <row r="226" spans="1:20" ht="15" x14ac:dyDescent="0.35">
      <c r="A226" s="234"/>
      <c r="B226" s="63"/>
      <c r="C226" s="37"/>
      <c r="D226" s="38"/>
      <c r="E226" s="37"/>
      <c r="F226" s="36"/>
      <c r="G226" s="39"/>
      <c r="H226" s="37"/>
      <c r="I226" s="39"/>
      <c r="J226" s="39"/>
      <c r="K226" s="557"/>
      <c r="L226" s="63"/>
      <c r="M226" s="37"/>
      <c r="N226" s="38"/>
      <c r="O226" s="37"/>
      <c r="P226" s="36"/>
      <c r="Q226" s="39"/>
      <c r="R226" s="37"/>
      <c r="S226" s="39"/>
      <c r="T226" s="39"/>
    </row>
    <row r="227" spans="1:20" ht="15" x14ac:dyDescent="0.35">
      <c r="A227" s="234" t="s">
        <v>113</v>
      </c>
      <c r="B227" s="36">
        <f>B12</f>
        <v>267.3</v>
      </c>
      <c r="C227" s="37"/>
      <c r="D227" s="38">
        <v>0.2</v>
      </c>
      <c r="E227" s="37"/>
      <c r="F227" s="36">
        <f>PRODUCT(B227:E227)</f>
        <v>53.460000000000008</v>
      </c>
      <c r="G227" s="39">
        <f>SUM(F227:F228)</f>
        <v>173.745</v>
      </c>
      <c r="H227" s="37" t="s">
        <v>59</v>
      </c>
      <c r="I227" s="39"/>
      <c r="J227" s="39"/>
      <c r="K227" s="557"/>
      <c r="L227" s="36">
        <f>L12</f>
        <v>267.3</v>
      </c>
      <c r="M227" s="37"/>
      <c r="N227" s="38">
        <v>0.15</v>
      </c>
      <c r="O227" s="37"/>
      <c r="P227" s="36">
        <f>PRODUCT(L227:O227)</f>
        <v>40.094999999999999</v>
      </c>
      <c r="Q227" s="39">
        <f>SUM(P227:P228)</f>
        <v>147.01500000000001</v>
      </c>
      <c r="R227" s="37" t="s">
        <v>59</v>
      </c>
      <c r="S227" s="39"/>
      <c r="T227" s="39"/>
    </row>
    <row r="228" spans="1:20" ht="15" x14ac:dyDescent="0.35">
      <c r="A228" s="234" t="s">
        <v>376</v>
      </c>
      <c r="B228" s="36">
        <f>B12</f>
        <v>267.3</v>
      </c>
      <c r="C228" s="37"/>
      <c r="D228" s="38">
        <v>0.45</v>
      </c>
      <c r="E228" s="37"/>
      <c r="F228" s="36">
        <f>PRODUCT(B228:E228)</f>
        <v>120.28500000000001</v>
      </c>
      <c r="G228" s="39"/>
      <c r="H228" s="37" t="s">
        <v>59</v>
      </c>
      <c r="I228" s="39"/>
      <c r="J228" s="39"/>
      <c r="K228" s="557"/>
      <c r="L228" s="36">
        <f>L12</f>
        <v>267.3</v>
      </c>
      <c r="M228" s="37"/>
      <c r="N228" s="38">
        <f>0.15+0.125+0.125</f>
        <v>0.4</v>
      </c>
      <c r="O228" s="37"/>
      <c r="P228" s="36">
        <f>PRODUCT(L228:O228)</f>
        <v>106.92000000000002</v>
      </c>
      <c r="Q228" s="39"/>
      <c r="R228" s="37" t="s">
        <v>59</v>
      </c>
      <c r="S228" s="39"/>
      <c r="T228" s="39"/>
    </row>
    <row r="229" spans="1:20" ht="15" x14ac:dyDescent="0.35">
      <c r="A229" s="234"/>
      <c r="B229" s="63"/>
      <c r="C229" s="37"/>
      <c r="D229" s="38"/>
      <c r="E229" s="37"/>
      <c r="F229" s="36"/>
      <c r="G229" s="37"/>
      <c r="H229" s="37"/>
      <c r="I229" s="39"/>
      <c r="J229" s="39"/>
      <c r="K229" s="557"/>
      <c r="L229" s="63"/>
      <c r="M229" s="37"/>
      <c r="N229" s="38"/>
      <c r="O229" s="37"/>
      <c r="P229" s="36"/>
      <c r="Q229" s="37"/>
      <c r="R229" s="37"/>
      <c r="S229" s="39"/>
      <c r="T229" s="39"/>
    </row>
    <row r="230" spans="1:20" ht="15" x14ac:dyDescent="0.35">
      <c r="A230" s="234" t="s">
        <v>114</v>
      </c>
      <c r="B230" s="36">
        <f>B13</f>
        <v>137.58534375353949</v>
      </c>
      <c r="C230" s="37"/>
      <c r="D230" s="38">
        <v>0.6</v>
      </c>
      <c r="E230" s="37">
        <v>2</v>
      </c>
      <c r="F230" s="36">
        <f>PRODUCT(B230:E230)</f>
        <v>165.10241250424738</v>
      </c>
      <c r="G230" s="39">
        <f>SUM(F230:F232)</f>
        <v>361.17189375920265</v>
      </c>
      <c r="H230" s="37" t="s">
        <v>59</v>
      </c>
      <c r="I230" s="39"/>
      <c r="J230" s="39"/>
      <c r="K230" s="557"/>
      <c r="L230" s="36">
        <f>L13</f>
        <v>127.26809378185526</v>
      </c>
      <c r="M230" s="37"/>
      <c r="N230" s="38">
        <v>0.6</v>
      </c>
      <c r="O230" s="37">
        <v>2</v>
      </c>
      <c r="P230" s="36">
        <f>PRODUCT(L230:O230)</f>
        <v>152.72171253822631</v>
      </c>
      <c r="Q230" s="39">
        <f>SUM(P230:P232)</f>
        <v>334.04704383282365</v>
      </c>
      <c r="R230" s="37" t="s">
        <v>59</v>
      </c>
      <c r="S230" s="39"/>
      <c r="T230" s="39"/>
    </row>
    <row r="231" spans="1:20" ht="15" x14ac:dyDescent="0.35">
      <c r="A231" s="234" t="s">
        <v>115</v>
      </c>
      <c r="B231" s="36">
        <f>B13</f>
        <v>137.58534375353949</v>
      </c>
      <c r="C231" s="37"/>
      <c r="D231" s="38">
        <v>0.7</v>
      </c>
      <c r="E231" s="37">
        <v>2</v>
      </c>
      <c r="F231" s="36">
        <f>PRODUCT(B231:E231)</f>
        <v>192.61948125495528</v>
      </c>
      <c r="G231" s="37"/>
      <c r="H231" s="37" t="s">
        <v>59</v>
      </c>
      <c r="I231" s="39"/>
      <c r="J231" s="39"/>
      <c r="K231" s="557"/>
      <c r="L231" s="36">
        <f>L13</f>
        <v>127.26809378185526</v>
      </c>
      <c r="M231" s="37"/>
      <c r="N231" s="38">
        <v>0.7</v>
      </c>
      <c r="O231" s="37">
        <v>2</v>
      </c>
      <c r="P231" s="36">
        <f>PRODUCT(L231:O231)</f>
        <v>178.17533129459736</v>
      </c>
      <c r="Q231" s="37"/>
      <c r="R231" s="37" t="s">
        <v>59</v>
      </c>
      <c r="S231" s="39"/>
      <c r="T231" s="39"/>
    </row>
    <row r="232" spans="1:20" ht="15" x14ac:dyDescent="0.35">
      <c r="A232" s="234" t="s">
        <v>105</v>
      </c>
      <c r="B232" s="36">
        <v>1</v>
      </c>
      <c r="C232" s="37"/>
      <c r="D232" s="38">
        <v>7.4999999999999997E-2</v>
      </c>
      <c r="E232" s="37">
        <f>ROUND(B231/3,0)</f>
        <v>46</v>
      </c>
      <c r="F232" s="36">
        <f>PRODUCT(B232:E232)</f>
        <v>3.4499999999999997</v>
      </c>
      <c r="G232" s="37"/>
      <c r="H232" s="37" t="s">
        <v>59</v>
      </c>
      <c r="I232" s="39"/>
      <c r="J232" s="39"/>
      <c r="K232" s="557"/>
      <c r="L232" s="36">
        <v>1</v>
      </c>
      <c r="M232" s="37"/>
      <c r="N232" s="38">
        <v>7.4999999999999997E-2</v>
      </c>
      <c r="O232" s="37">
        <f>ROUND(L231/3,0)</f>
        <v>42</v>
      </c>
      <c r="P232" s="36">
        <f>PRODUCT(L232:O232)</f>
        <v>3.15</v>
      </c>
      <c r="Q232" s="37"/>
      <c r="R232" s="37" t="s">
        <v>59</v>
      </c>
      <c r="S232" s="39"/>
      <c r="T232" s="39"/>
    </row>
    <row r="233" spans="1:20" ht="15" x14ac:dyDescent="0.35">
      <c r="A233" s="234"/>
      <c r="B233" s="63"/>
      <c r="C233" s="37"/>
      <c r="D233" s="38"/>
      <c r="E233" s="37"/>
      <c r="F233" s="36"/>
      <c r="G233" s="39"/>
      <c r="H233" s="37"/>
      <c r="I233" s="39"/>
      <c r="J233" s="39"/>
      <c r="K233" s="557"/>
      <c r="L233" s="63"/>
      <c r="M233" s="37"/>
      <c r="N233" s="38"/>
      <c r="O233" s="37"/>
      <c r="P233" s="36"/>
      <c r="Q233" s="39"/>
      <c r="R233" s="37"/>
      <c r="S233" s="39"/>
      <c r="T233" s="39"/>
    </row>
    <row r="234" spans="1:20" ht="15" x14ac:dyDescent="0.35">
      <c r="A234" s="234" t="str">
        <f>+A196</f>
        <v>DS(B)- A Drain I</v>
      </c>
      <c r="B234" s="63"/>
      <c r="C234" s="37"/>
      <c r="D234" s="38"/>
      <c r="E234" s="37"/>
      <c r="F234" s="36"/>
      <c r="G234" s="39"/>
      <c r="H234" s="37"/>
      <c r="I234" s="39"/>
      <c r="J234" s="39"/>
      <c r="K234" s="557"/>
      <c r="L234" s="63"/>
      <c r="M234" s="37"/>
      <c r="N234" s="38"/>
      <c r="O234" s="37"/>
      <c r="P234" s="36"/>
      <c r="Q234" s="39"/>
      <c r="R234" s="37"/>
      <c r="S234" s="39"/>
      <c r="T234" s="39"/>
    </row>
    <row r="235" spans="1:20" ht="15" x14ac:dyDescent="0.35">
      <c r="A235" s="234" t="s">
        <v>547</v>
      </c>
      <c r="B235" s="36">
        <f>B14</f>
        <v>237.85300000000004</v>
      </c>
      <c r="C235" s="37"/>
      <c r="D235" s="38">
        <v>0.3</v>
      </c>
      <c r="E235" s="37">
        <v>2</v>
      </c>
      <c r="F235" s="36">
        <f>PRODUCT(B235:E235)</f>
        <v>142.71180000000001</v>
      </c>
      <c r="G235" s="39">
        <f>SUM(F235:F237)</f>
        <v>356.7795000000001</v>
      </c>
      <c r="H235" s="37" t="s">
        <v>59</v>
      </c>
      <c r="I235" s="39"/>
      <c r="J235" s="39"/>
      <c r="K235" s="557"/>
      <c r="L235" s="36">
        <f>L14</f>
        <v>335.89600000000002</v>
      </c>
      <c r="M235" s="37"/>
      <c r="N235" s="38">
        <v>0.3</v>
      </c>
      <c r="O235" s="37">
        <v>2</v>
      </c>
      <c r="P235" s="36">
        <f>PRODUCT(L235:O235)</f>
        <v>201.5376</v>
      </c>
      <c r="Q235" s="39">
        <f>SUM(P235:P237)</f>
        <v>470.25440000000003</v>
      </c>
      <c r="R235" s="37" t="s">
        <v>59</v>
      </c>
      <c r="S235" s="39"/>
      <c r="T235" s="39"/>
    </row>
    <row r="236" spans="1:20" ht="15" x14ac:dyDescent="0.35">
      <c r="A236" s="234" t="s">
        <v>548</v>
      </c>
      <c r="B236" s="36">
        <f>B14</f>
        <v>237.85300000000004</v>
      </c>
      <c r="C236" s="37"/>
      <c r="D236" s="38">
        <v>0.4</v>
      </c>
      <c r="E236" s="37">
        <v>2</v>
      </c>
      <c r="F236" s="36">
        <f>PRODUCT(B236:E236)</f>
        <v>190.28240000000005</v>
      </c>
      <c r="G236" s="37"/>
      <c r="H236" s="37" t="s">
        <v>59</v>
      </c>
      <c r="I236" s="39"/>
      <c r="J236" s="39"/>
      <c r="K236" s="557"/>
      <c r="L236" s="36">
        <f>L14</f>
        <v>335.89600000000002</v>
      </c>
      <c r="M236" s="37"/>
      <c r="N236" s="38">
        <v>0.4</v>
      </c>
      <c r="O236" s="37">
        <v>2</v>
      </c>
      <c r="P236" s="36">
        <f>PRODUCT(L236:O236)</f>
        <v>268.71680000000003</v>
      </c>
      <c r="Q236" s="37"/>
      <c r="R236" s="37" t="s">
        <v>59</v>
      </c>
      <c r="S236" s="39"/>
      <c r="T236" s="39"/>
    </row>
    <row r="237" spans="1:20" ht="15" x14ac:dyDescent="0.35">
      <c r="A237" s="234" t="s">
        <v>549</v>
      </c>
      <c r="B237" s="36">
        <f>B14</f>
        <v>237.85300000000004</v>
      </c>
      <c r="C237" s="37"/>
      <c r="D237" s="38">
        <v>0.1</v>
      </c>
      <c r="E237" s="37"/>
      <c r="F237" s="36">
        <f>PRODUCT(B237:E237)</f>
        <v>23.785300000000007</v>
      </c>
      <c r="G237" s="37"/>
      <c r="H237" s="37" t="s">
        <v>59</v>
      </c>
      <c r="I237" s="39"/>
      <c r="J237" s="39"/>
      <c r="K237" s="557"/>
      <c r="L237" s="36">
        <f>L14</f>
        <v>335.89600000000002</v>
      </c>
      <c r="M237" s="37"/>
      <c r="N237" s="38"/>
      <c r="O237" s="37"/>
      <c r="P237" s="36"/>
      <c r="Q237" s="37"/>
      <c r="R237" s="37" t="s">
        <v>59</v>
      </c>
      <c r="S237" s="39"/>
      <c r="T237" s="39"/>
    </row>
    <row r="238" spans="1:20" ht="15" x14ac:dyDescent="0.35">
      <c r="A238" s="234"/>
      <c r="B238" s="63"/>
      <c r="C238" s="37"/>
      <c r="D238" s="38"/>
      <c r="E238" s="37"/>
      <c r="F238" s="36"/>
      <c r="G238" s="37"/>
      <c r="H238" s="37"/>
      <c r="I238" s="39"/>
      <c r="J238" s="39"/>
      <c r="K238" s="557"/>
      <c r="L238" s="63"/>
      <c r="M238" s="37"/>
      <c r="N238" s="38"/>
      <c r="O238" s="37"/>
      <c r="P238" s="36"/>
      <c r="Q238" s="37"/>
      <c r="R238" s="37"/>
      <c r="S238" s="39"/>
      <c r="T238" s="39"/>
    </row>
    <row r="239" spans="1:20" ht="15" x14ac:dyDescent="0.35">
      <c r="A239" s="234" t="str">
        <f>+A15</f>
        <v>DS(B)- C Drain II</v>
      </c>
      <c r="B239" s="63"/>
      <c r="C239" s="37"/>
      <c r="D239" s="38"/>
      <c r="E239" s="37"/>
      <c r="F239" s="36"/>
      <c r="G239" s="37"/>
      <c r="H239" s="37"/>
      <c r="I239" s="39"/>
      <c r="J239" s="39"/>
      <c r="K239" s="557"/>
      <c r="L239" s="63"/>
      <c r="M239" s="37"/>
      <c r="N239" s="38"/>
      <c r="O239" s="37"/>
      <c r="P239" s="36"/>
      <c r="Q239" s="37"/>
      <c r="R239" s="37"/>
      <c r="S239" s="39"/>
      <c r="T239" s="39"/>
    </row>
    <row r="240" spans="1:20" ht="15" x14ac:dyDescent="0.35">
      <c r="A240" s="234" t="s">
        <v>550</v>
      </c>
      <c r="B240" s="36">
        <f>B15</f>
        <v>156.91499999999999</v>
      </c>
      <c r="C240" s="37"/>
      <c r="D240" s="38">
        <f>0.2+0.15</f>
        <v>0.35</v>
      </c>
      <c r="E240" s="37"/>
      <c r="F240" s="36">
        <f>PRODUCT(B240:E240)</f>
        <v>54.920249999999996</v>
      </c>
      <c r="G240" s="39">
        <f>SUM(F240:F242)</f>
        <v>156.91499999999999</v>
      </c>
      <c r="H240" s="37" t="s">
        <v>59</v>
      </c>
      <c r="I240" s="39"/>
      <c r="J240" s="39"/>
      <c r="K240" s="557"/>
      <c r="L240" s="36">
        <f>L15</f>
        <v>156.91499999999999</v>
      </c>
      <c r="M240" s="37"/>
      <c r="N240" s="38">
        <f>0.2+0.15</f>
        <v>0.35</v>
      </c>
      <c r="O240" s="37"/>
      <c r="P240" s="36">
        <f>PRODUCT(L240:O240)</f>
        <v>54.920249999999996</v>
      </c>
      <c r="Q240" s="39">
        <f>SUM(P240:P241)</f>
        <v>94.149000000000001</v>
      </c>
      <c r="R240" s="37" t="s">
        <v>59</v>
      </c>
      <c r="S240" s="39"/>
      <c r="T240" s="39"/>
    </row>
    <row r="241" spans="1:27" ht="15" x14ac:dyDescent="0.35">
      <c r="A241" s="234" t="s">
        <v>551</v>
      </c>
      <c r="B241" s="36">
        <f>B15</f>
        <v>156.91499999999999</v>
      </c>
      <c r="C241" s="37"/>
      <c r="D241" s="38">
        <f>0.3+0.25</f>
        <v>0.55000000000000004</v>
      </c>
      <c r="E241" s="37"/>
      <c r="F241" s="36">
        <f>PRODUCT(B241:E241)</f>
        <v>86.303250000000006</v>
      </c>
      <c r="G241" s="37"/>
      <c r="H241" s="37" t="s">
        <v>59</v>
      </c>
      <c r="I241" s="39"/>
      <c r="J241" s="39"/>
      <c r="K241" s="557"/>
      <c r="L241" s="36">
        <f>L15</f>
        <v>156.91499999999999</v>
      </c>
      <c r="M241" s="37"/>
      <c r="N241" s="38">
        <v>0.25</v>
      </c>
      <c r="O241" s="37"/>
      <c r="P241" s="36">
        <f>PRODUCT(L241:O241)</f>
        <v>39.228749999999998</v>
      </c>
      <c r="Q241" s="37"/>
      <c r="R241" s="37" t="s">
        <v>59</v>
      </c>
      <c r="S241" s="39"/>
      <c r="T241" s="39"/>
    </row>
    <row r="242" spans="1:27" ht="15" x14ac:dyDescent="0.35">
      <c r="A242" s="234" t="s">
        <v>552</v>
      </c>
      <c r="B242" s="36">
        <f>B15</f>
        <v>156.91499999999999</v>
      </c>
      <c r="C242" s="37"/>
      <c r="D242" s="38">
        <v>0.1</v>
      </c>
      <c r="E242" s="37"/>
      <c r="F242" s="36">
        <f>PRODUCT(B242:E242)</f>
        <v>15.6915</v>
      </c>
      <c r="G242" s="37"/>
      <c r="H242" s="37" t="s">
        <v>59</v>
      </c>
      <c r="I242" s="39"/>
      <c r="J242" s="39"/>
      <c r="K242" s="557"/>
      <c r="L242" s="36"/>
      <c r="M242" s="37"/>
      <c r="N242" s="38"/>
      <c r="O242" s="37"/>
      <c r="P242" s="36"/>
      <c r="Q242" s="37"/>
      <c r="R242" s="37" t="s">
        <v>59</v>
      </c>
      <c r="S242" s="39"/>
      <c r="T242" s="39"/>
    </row>
    <row r="243" spans="1:27" ht="15" x14ac:dyDescent="0.35">
      <c r="A243" s="234"/>
      <c r="B243" s="63"/>
      <c r="C243" s="37"/>
      <c r="D243" s="38"/>
      <c r="E243" s="37"/>
      <c r="F243" s="36"/>
      <c r="G243" s="39"/>
      <c r="H243" s="37"/>
      <c r="I243" s="39"/>
      <c r="J243" s="39"/>
      <c r="K243" s="557"/>
      <c r="L243" s="63"/>
      <c r="M243" s="37"/>
      <c r="N243" s="38"/>
      <c r="O243" s="37"/>
      <c r="P243" s="36"/>
      <c r="Q243" s="39"/>
      <c r="R243" s="37"/>
      <c r="S243" s="39"/>
      <c r="T243" s="39"/>
    </row>
    <row r="244" spans="1:27" ht="15" x14ac:dyDescent="0.35">
      <c r="A244" s="1101" t="s">
        <v>116</v>
      </c>
      <c r="B244" s="1102"/>
      <c r="C244" s="1102"/>
      <c r="D244" s="1102"/>
      <c r="E244" s="1102"/>
      <c r="F244" s="1103"/>
      <c r="G244" s="27">
        <f>SUM(F245:F245)</f>
        <v>112</v>
      </c>
      <c r="H244" s="28" t="s">
        <v>10</v>
      </c>
      <c r="I244" s="27">
        <f>G244*1.15</f>
        <v>128.79999999999998</v>
      </c>
      <c r="J244" s="27">
        <f>ROUND(I244,0)</f>
        <v>129</v>
      </c>
      <c r="K244" s="555"/>
      <c r="L244" s="550"/>
      <c r="M244" s="550"/>
      <c r="N244" s="550"/>
      <c r="O244" s="550"/>
      <c r="P244" s="550"/>
      <c r="Q244" s="27">
        <f>SUM(P245:P245)</f>
        <v>76</v>
      </c>
      <c r="R244" s="28" t="s">
        <v>10</v>
      </c>
      <c r="S244" s="27">
        <f>Q244*1.15</f>
        <v>87.399999999999991</v>
      </c>
      <c r="T244" s="27">
        <f>ROUND(S244,0)</f>
        <v>87</v>
      </c>
      <c r="U244" t="s">
        <v>131</v>
      </c>
    </row>
    <row r="245" spans="1:27" s="240" customFormat="1" ht="15" x14ac:dyDescent="0.35">
      <c r="A245" s="35" t="str">
        <f>+A215</f>
        <v>Cascade Drain - DS-C-B</v>
      </c>
      <c r="B245" s="40">
        <v>1</v>
      </c>
      <c r="C245" s="56"/>
      <c r="D245" s="56"/>
      <c r="E245" s="40">
        <f>2*(ROUND((B10)/1,0)+1)</f>
        <v>112</v>
      </c>
      <c r="F245" s="36">
        <f>PRODUCT(B245:E245)</f>
        <v>112</v>
      </c>
      <c r="G245" s="37"/>
      <c r="H245" s="37" t="s">
        <v>10</v>
      </c>
      <c r="I245" s="39"/>
      <c r="J245" s="39"/>
      <c r="K245" s="557"/>
      <c r="L245" s="40">
        <v>1</v>
      </c>
      <c r="M245" s="56"/>
      <c r="N245" s="56"/>
      <c r="O245" s="40">
        <f>(ROUND((L10)/1,0)+1)</f>
        <v>76</v>
      </c>
      <c r="P245" s="36">
        <f>PRODUCT(L245:O245)</f>
        <v>76</v>
      </c>
      <c r="Q245" s="37"/>
      <c r="R245" s="37" t="s">
        <v>10</v>
      </c>
      <c r="S245" s="39"/>
      <c r="T245" s="39"/>
      <c r="Z245" s="497"/>
      <c r="AA245" s="498"/>
    </row>
    <row r="246" spans="1:27" ht="15" x14ac:dyDescent="0.35">
      <c r="A246" s="35"/>
      <c r="B246" s="40"/>
      <c r="C246" s="56"/>
      <c r="D246" s="38"/>
      <c r="E246" s="37"/>
      <c r="F246" s="36"/>
      <c r="G246" s="37"/>
      <c r="H246" s="37"/>
      <c r="I246" s="39"/>
      <c r="J246" s="39"/>
      <c r="K246" s="557"/>
      <c r="L246" s="40"/>
      <c r="M246" s="56"/>
      <c r="N246" s="38"/>
      <c r="O246" s="37"/>
      <c r="P246" s="36"/>
      <c r="Q246" s="37"/>
      <c r="R246" s="37"/>
      <c r="S246" s="39"/>
      <c r="T246" s="39"/>
    </row>
    <row r="247" spans="1:27" ht="15" x14ac:dyDescent="0.35">
      <c r="A247" s="35">
        <f>+A221</f>
        <v>0</v>
      </c>
      <c r="B247" s="40">
        <v>1</v>
      </c>
      <c r="C247" s="56"/>
      <c r="D247" s="56"/>
      <c r="E247" s="40">
        <f>2*(ROUND((B11)/1,0)+1)</f>
        <v>2</v>
      </c>
      <c r="F247" s="36">
        <f>PRODUCT(B247:E247)</f>
        <v>2</v>
      </c>
      <c r="G247" s="37"/>
      <c r="H247" s="37" t="s">
        <v>10</v>
      </c>
      <c r="I247" s="39"/>
      <c r="J247" s="39"/>
      <c r="K247" s="557"/>
      <c r="L247" s="40"/>
      <c r="M247" s="56"/>
      <c r="N247" s="56"/>
      <c r="O247" s="40"/>
      <c r="P247" s="36"/>
      <c r="Q247" s="37"/>
      <c r="R247" s="37"/>
      <c r="S247" s="39"/>
      <c r="T247" s="39"/>
    </row>
    <row r="248" spans="1:27" ht="15" x14ac:dyDescent="0.35">
      <c r="A248" s="502"/>
      <c r="B248" s="503"/>
      <c r="C248" s="504"/>
      <c r="D248" s="505"/>
      <c r="E248" s="506"/>
      <c r="F248" s="507"/>
      <c r="G248" s="506"/>
      <c r="H248" s="506"/>
      <c r="I248" s="508"/>
      <c r="J248" s="509"/>
      <c r="K248" s="556"/>
      <c r="L248" s="503"/>
      <c r="M248" s="504"/>
      <c r="N248" s="505"/>
      <c r="O248" s="506"/>
      <c r="P248" s="507"/>
      <c r="Q248" s="506"/>
      <c r="R248" s="506"/>
      <c r="S248" s="508"/>
      <c r="T248" s="509"/>
    </row>
    <row r="249" spans="1:27" ht="24.9" customHeight="1" x14ac:dyDescent="0.25">
      <c r="A249" s="1141" t="s">
        <v>629</v>
      </c>
      <c r="B249" s="1142"/>
      <c r="C249" s="1142"/>
      <c r="D249" s="1142"/>
      <c r="E249" s="1142"/>
      <c r="F249" s="1142"/>
      <c r="G249" s="1142"/>
      <c r="H249" s="1142"/>
      <c r="I249" s="1142"/>
      <c r="J249" s="1143"/>
      <c r="K249" s="562"/>
      <c r="L249" s="551"/>
      <c r="M249" s="551"/>
      <c r="N249" s="551"/>
      <c r="O249" s="551"/>
      <c r="P249" s="551"/>
      <c r="Q249" s="551"/>
      <c r="R249" s="551"/>
      <c r="S249" s="551"/>
      <c r="T249" s="551"/>
    </row>
    <row r="250" spans="1:27" ht="15" x14ac:dyDescent="0.35">
      <c r="A250" s="1101"/>
      <c r="B250" s="1102"/>
      <c r="C250" s="1102"/>
      <c r="D250" s="1102"/>
      <c r="E250" s="1102"/>
      <c r="F250" s="1103"/>
      <c r="G250" s="27"/>
      <c r="H250" s="28"/>
      <c r="I250" s="27"/>
      <c r="J250" s="27"/>
      <c r="K250" s="555"/>
      <c r="L250" s="550"/>
      <c r="M250" s="550"/>
      <c r="N250" s="550"/>
      <c r="O250" s="550"/>
      <c r="P250" s="550"/>
      <c r="Q250" s="27"/>
      <c r="R250" s="28"/>
      <c r="S250" s="27"/>
      <c r="T250" s="27"/>
      <c r="U250" t="s">
        <v>131</v>
      </c>
    </row>
    <row r="251" spans="1:27" ht="15" x14ac:dyDescent="0.35">
      <c r="A251" s="544"/>
      <c r="B251" s="40">
        <f>+B14</f>
        <v>237.85300000000004</v>
      </c>
      <c r="C251" s="38">
        <v>0.1</v>
      </c>
      <c r="D251" s="56">
        <v>1.5</v>
      </c>
      <c r="E251" s="37"/>
      <c r="F251" s="36">
        <f>+B251*C251*D251</f>
        <v>35.67795000000001</v>
      </c>
      <c r="G251" s="39"/>
      <c r="H251" s="37"/>
      <c r="I251" s="39"/>
      <c r="J251" s="39"/>
      <c r="K251" s="557"/>
      <c r="L251" s="40">
        <f>+L161</f>
        <v>335.89600000000002</v>
      </c>
      <c r="M251" s="38">
        <v>0.1</v>
      </c>
      <c r="N251" s="56">
        <v>1.5</v>
      </c>
      <c r="O251" s="37"/>
      <c r="P251" s="36">
        <f>+L251*M251*N251</f>
        <v>50.384400000000007</v>
      </c>
      <c r="Q251" s="39"/>
      <c r="R251" s="37"/>
      <c r="S251" s="39"/>
      <c r="T251" s="39"/>
    </row>
    <row r="252" spans="1:27" ht="15" x14ac:dyDescent="0.35">
      <c r="A252" s="67"/>
      <c r="B252" s="40"/>
      <c r="C252" s="56"/>
      <c r="D252" s="38"/>
      <c r="E252" s="37"/>
      <c r="F252" s="36"/>
      <c r="G252" s="39"/>
      <c r="H252" s="37"/>
      <c r="I252" s="39"/>
      <c r="J252" s="39"/>
      <c r="K252" s="557"/>
      <c r="L252" s="40"/>
      <c r="M252" s="56"/>
      <c r="N252" s="38"/>
      <c r="O252" s="37"/>
      <c r="P252" s="36"/>
      <c r="Q252" s="39"/>
      <c r="R252" s="37"/>
      <c r="S252" s="39"/>
      <c r="T252" s="39"/>
    </row>
    <row r="253" spans="1:27" ht="15" x14ac:dyDescent="0.35">
      <c r="A253" s="1101"/>
      <c r="B253" s="1102"/>
      <c r="C253" s="1102"/>
      <c r="D253" s="1102"/>
      <c r="E253" s="1102"/>
      <c r="F253" s="1103"/>
      <c r="G253" s="27"/>
      <c r="H253" s="28"/>
      <c r="I253" s="27"/>
      <c r="J253" s="27"/>
      <c r="K253" s="555"/>
      <c r="L253" s="550"/>
      <c r="M253" s="550"/>
      <c r="N253" s="550"/>
      <c r="O253" s="550"/>
      <c r="P253" s="550">
        <f>+L251*M251</f>
        <v>33.589600000000004</v>
      </c>
      <c r="Q253" s="27"/>
      <c r="R253" s="28"/>
      <c r="S253" s="27"/>
      <c r="T253" s="27"/>
      <c r="U253" t="s">
        <v>131</v>
      </c>
    </row>
    <row r="254" spans="1:27" ht="15" x14ac:dyDescent="0.35">
      <c r="A254" s="35"/>
      <c r="B254" s="38"/>
      <c r="C254" s="40"/>
      <c r="D254" s="38"/>
      <c r="E254" s="37"/>
      <c r="F254" s="36"/>
      <c r="G254" s="37"/>
      <c r="H254" s="37"/>
      <c r="I254" s="39"/>
      <c r="J254" s="39"/>
      <c r="K254" s="557"/>
      <c r="L254" s="38"/>
      <c r="M254" s="40"/>
      <c r="N254" s="38"/>
      <c r="O254" s="37"/>
      <c r="P254" s="36"/>
      <c r="Q254" s="37"/>
      <c r="R254" s="37"/>
      <c r="S254" s="39"/>
      <c r="T254" s="39"/>
    </row>
    <row r="255" spans="1:27" ht="15" x14ac:dyDescent="0.35">
      <c r="A255" s="35"/>
      <c r="B255" s="38"/>
      <c r="C255" s="56"/>
      <c r="D255" s="38"/>
      <c r="E255" s="37"/>
      <c r="F255" s="36"/>
      <c r="G255" s="37"/>
      <c r="H255" s="37"/>
      <c r="I255" s="39"/>
      <c r="J255" s="39"/>
      <c r="K255" s="557"/>
      <c r="L255" s="38"/>
      <c r="M255" s="56"/>
      <c r="N255" s="38"/>
      <c r="O255" s="37"/>
      <c r="P255" s="36"/>
      <c r="Q255" s="37"/>
      <c r="R255" s="37"/>
      <c r="S255" s="39"/>
      <c r="T255" s="39"/>
    </row>
    <row r="256" spans="1:27" ht="15" x14ac:dyDescent="0.35">
      <c r="A256" s="35"/>
      <c r="B256" s="38"/>
      <c r="C256" s="56"/>
      <c r="D256" s="38"/>
      <c r="E256" s="37"/>
      <c r="F256" s="36"/>
      <c r="G256" s="37"/>
      <c r="H256" s="37"/>
      <c r="I256" s="39"/>
      <c r="J256" s="39"/>
      <c r="K256" s="557"/>
      <c r="L256" s="38"/>
      <c r="M256" s="56"/>
      <c r="N256" s="38"/>
      <c r="O256" s="37"/>
      <c r="P256" s="36"/>
      <c r="Q256" s="37"/>
      <c r="R256" s="37"/>
      <c r="S256" s="39"/>
      <c r="T256" s="39"/>
    </row>
    <row r="257" spans="1:21" ht="15" x14ac:dyDescent="0.35">
      <c r="A257" s="35"/>
      <c r="B257" s="38"/>
      <c r="C257" s="56"/>
      <c r="D257" s="38"/>
      <c r="E257" s="37"/>
      <c r="F257" s="36"/>
      <c r="G257" s="37"/>
      <c r="H257" s="37"/>
      <c r="I257" s="39"/>
      <c r="J257" s="39"/>
      <c r="K257" s="557"/>
      <c r="L257" s="38"/>
      <c r="M257" s="56"/>
      <c r="N257" s="38"/>
      <c r="O257" s="37"/>
      <c r="P257" s="36"/>
      <c r="Q257" s="37"/>
      <c r="R257" s="37"/>
      <c r="S257" s="39"/>
      <c r="T257" s="39"/>
    </row>
    <row r="258" spans="1:21" ht="15" x14ac:dyDescent="0.35">
      <c r="A258" s="35"/>
      <c r="B258" s="40"/>
      <c r="C258" s="56"/>
      <c r="D258" s="38"/>
      <c r="E258" s="37"/>
      <c r="F258" s="36"/>
      <c r="G258" s="37"/>
      <c r="H258" s="37"/>
      <c r="I258" s="39"/>
      <c r="J258" s="39"/>
      <c r="K258" s="557"/>
      <c r="L258" s="40"/>
      <c r="M258" s="56"/>
      <c r="N258" s="38"/>
      <c r="O258" s="37"/>
      <c r="P258" s="36"/>
      <c r="Q258" s="37"/>
      <c r="R258" s="37"/>
      <c r="S258" s="39"/>
      <c r="T258" s="39"/>
    </row>
    <row r="259" spans="1:21" ht="15" x14ac:dyDescent="0.25">
      <c r="A259" s="537"/>
      <c r="B259" s="538"/>
      <c r="C259" s="538"/>
      <c r="D259" s="538"/>
      <c r="E259" s="539"/>
      <c r="F259" s="538"/>
      <c r="G259" s="538"/>
      <c r="H259" s="538"/>
      <c r="I259" s="538"/>
      <c r="J259" s="538"/>
      <c r="K259" s="553"/>
      <c r="L259" s="538"/>
      <c r="M259" s="538"/>
      <c r="N259" s="538"/>
      <c r="O259" s="539"/>
      <c r="P259" s="538"/>
      <c r="Q259" s="538"/>
      <c r="R259" s="538"/>
      <c r="S259" s="538"/>
      <c r="T259" s="538"/>
    </row>
    <row r="260" spans="1:21" ht="15" x14ac:dyDescent="0.35">
      <c r="A260" s="1101"/>
      <c r="B260" s="1102"/>
      <c r="C260" s="1102"/>
      <c r="D260" s="1102"/>
      <c r="E260" s="1102"/>
      <c r="F260" s="1103"/>
      <c r="G260" s="27"/>
      <c r="H260" s="28"/>
      <c r="I260" s="27"/>
      <c r="J260" s="27"/>
      <c r="K260" s="555"/>
      <c r="L260" s="550"/>
      <c r="M260" s="550"/>
      <c r="N260" s="550"/>
      <c r="O260" s="550"/>
      <c r="P260" s="550"/>
      <c r="Q260" s="27"/>
      <c r="R260" s="28"/>
      <c r="S260" s="27"/>
      <c r="T260" s="27"/>
      <c r="U260" t="s">
        <v>131</v>
      </c>
    </row>
    <row r="261" spans="1:21" ht="15" x14ac:dyDescent="0.35">
      <c r="A261" s="234"/>
      <c r="B261" s="38"/>
      <c r="C261" s="37"/>
      <c r="D261" s="38"/>
      <c r="E261" s="37"/>
      <c r="F261" s="36"/>
      <c r="G261" s="56"/>
      <c r="H261" s="37"/>
      <c r="I261" s="56"/>
      <c r="J261" s="37"/>
      <c r="K261" s="564"/>
      <c r="L261" s="38"/>
      <c r="M261" s="37"/>
      <c r="N261" s="38"/>
      <c r="O261" s="37"/>
      <c r="P261" s="36"/>
      <c r="Q261" s="56"/>
      <c r="R261" s="37"/>
      <c r="S261" s="56"/>
      <c r="T261" s="37"/>
    </row>
    <row r="262" spans="1:21" ht="15" x14ac:dyDescent="0.35">
      <c r="A262" s="48"/>
      <c r="B262" s="38"/>
      <c r="C262" s="37"/>
      <c r="D262" s="38"/>
      <c r="E262" s="38"/>
      <c r="F262" s="36"/>
      <c r="G262" s="56"/>
      <c r="H262" s="37"/>
      <c r="I262" s="39"/>
      <c r="J262" s="39"/>
      <c r="K262" s="557"/>
      <c r="L262" s="38"/>
      <c r="M262" s="37"/>
      <c r="N262" s="38"/>
      <c r="O262" s="38"/>
      <c r="P262" s="36"/>
      <c r="Q262" s="56"/>
      <c r="R262" s="37"/>
      <c r="S262" s="39"/>
      <c r="T262" s="39"/>
    </row>
    <row r="263" spans="1:21" ht="15" x14ac:dyDescent="0.35">
      <c r="A263" s="48"/>
      <c r="B263" s="38"/>
      <c r="C263" s="37"/>
      <c r="D263" s="37"/>
      <c r="E263" s="38"/>
      <c r="F263" s="36"/>
      <c r="G263" s="37"/>
      <c r="H263" s="37"/>
      <c r="I263" s="39"/>
      <c r="J263" s="39"/>
      <c r="K263" s="557"/>
      <c r="L263" s="38"/>
      <c r="M263" s="37"/>
      <c r="N263" s="37"/>
      <c r="O263" s="38"/>
      <c r="P263" s="36"/>
      <c r="Q263" s="37"/>
      <c r="R263" s="37"/>
      <c r="S263" s="39"/>
      <c r="T263" s="39"/>
    </row>
    <row r="264" spans="1:21" ht="15" x14ac:dyDescent="0.35">
      <c r="A264" s="48"/>
      <c r="B264" s="38"/>
      <c r="C264" s="37"/>
      <c r="D264" s="38"/>
      <c r="E264" s="37"/>
      <c r="F264" s="49"/>
      <c r="G264" s="56"/>
      <c r="H264" s="37"/>
      <c r="I264" s="39"/>
      <c r="J264" s="39"/>
      <c r="K264" s="557"/>
      <c r="L264" s="38"/>
      <c r="M264" s="37"/>
      <c r="N264" s="38"/>
      <c r="O264" s="37"/>
      <c r="P264" s="49"/>
      <c r="Q264" s="56"/>
      <c r="R264" s="37"/>
      <c r="S264" s="39"/>
      <c r="T264" s="39"/>
    </row>
    <row r="265" spans="1:21" ht="15" x14ac:dyDescent="0.35">
      <c r="A265" s="1101"/>
      <c r="B265" s="1102"/>
      <c r="C265" s="1102"/>
      <c r="D265" s="1102"/>
      <c r="E265" s="1102"/>
      <c r="F265" s="1103"/>
      <c r="G265" s="27"/>
      <c r="H265" s="28"/>
      <c r="I265" s="27"/>
      <c r="J265" s="27"/>
      <c r="K265" s="555"/>
      <c r="L265" s="550"/>
      <c r="M265" s="550"/>
      <c r="N265" s="550"/>
      <c r="O265" s="550"/>
      <c r="P265" s="550"/>
      <c r="Q265" s="27"/>
      <c r="R265" s="28"/>
      <c r="S265" s="27"/>
      <c r="T265" s="27"/>
      <c r="U265" t="s">
        <v>131</v>
      </c>
    </row>
    <row r="266" spans="1:21" ht="15" x14ac:dyDescent="0.35">
      <c r="A266" s="35"/>
      <c r="B266" s="37"/>
      <c r="C266" s="37"/>
      <c r="D266" s="38"/>
      <c r="E266" s="37"/>
      <c r="F266" s="36"/>
      <c r="G266" s="37"/>
      <c r="H266" s="37"/>
      <c r="I266" s="37"/>
      <c r="J266" s="37"/>
      <c r="K266" s="564"/>
      <c r="L266" s="37"/>
      <c r="M266" s="37"/>
      <c r="N266" s="38"/>
      <c r="O266" s="37"/>
      <c r="P266" s="36"/>
      <c r="Q266" s="37"/>
      <c r="R266" s="37"/>
      <c r="S266" s="37"/>
      <c r="T266" s="37"/>
    </row>
    <row r="267" spans="1:21" ht="15" x14ac:dyDescent="0.35">
      <c r="A267" s="35"/>
      <c r="B267" s="40"/>
      <c r="C267" s="37"/>
      <c r="D267" s="38"/>
      <c r="E267" s="37"/>
      <c r="F267" s="36"/>
      <c r="G267" s="37"/>
      <c r="H267" s="37"/>
      <c r="I267" s="39"/>
      <c r="J267" s="39"/>
      <c r="K267" s="557"/>
      <c r="L267" s="40"/>
      <c r="M267" s="37"/>
      <c r="N267" s="38"/>
      <c r="O267" s="37"/>
      <c r="P267" s="36"/>
      <c r="Q267" s="37"/>
      <c r="R267" s="37"/>
      <c r="S267" s="39"/>
      <c r="T267" s="39"/>
    </row>
    <row r="268" spans="1:21" ht="15" x14ac:dyDescent="0.35">
      <c r="A268" s="48"/>
      <c r="B268" s="40"/>
      <c r="C268" s="37"/>
      <c r="D268" s="38"/>
      <c r="E268" s="37"/>
      <c r="F268" s="36"/>
      <c r="G268" s="37"/>
      <c r="H268" s="37"/>
      <c r="I268" s="39"/>
      <c r="J268" s="39"/>
      <c r="K268" s="557"/>
      <c r="L268" s="40"/>
      <c r="M268" s="37"/>
      <c r="N268" s="38"/>
      <c r="O268" s="37"/>
      <c r="P268" s="36"/>
      <c r="Q268" s="37"/>
      <c r="R268" s="37"/>
      <c r="S268" s="39"/>
      <c r="T268" s="39"/>
    </row>
    <row r="269" spans="1:21" ht="15" x14ac:dyDescent="0.35">
      <c r="A269" s="48"/>
      <c r="B269" s="40"/>
      <c r="C269" s="37"/>
      <c r="D269" s="38"/>
      <c r="E269" s="37"/>
      <c r="F269" s="36"/>
      <c r="G269" s="37"/>
      <c r="H269" s="37"/>
      <c r="I269" s="39"/>
      <c r="J269" s="39"/>
      <c r="K269" s="557"/>
      <c r="L269" s="40"/>
      <c r="M269" s="37"/>
      <c r="N269" s="38"/>
      <c r="O269" s="37"/>
      <c r="P269" s="36"/>
      <c r="Q269" s="37"/>
      <c r="R269" s="37"/>
      <c r="S269" s="39"/>
      <c r="T269" s="39"/>
    </row>
    <row r="270" spans="1:21" ht="24.9" customHeight="1" x14ac:dyDescent="0.25">
      <c r="A270" s="1141" t="s">
        <v>124</v>
      </c>
      <c r="B270" s="1142"/>
      <c r="C270" s="1142"/>
      <c r="D270" s="1142"/>
      <c r="E270" s="1142"/>
      <c r="F270" s="1142"/>
      <c r="G270" s="1142"/>
      <c r="H270" s="1142"/>
      <c r="I270" s="1142"/>
      <c r="J270" s="1143"/>
      <c r="K270" s="562"/>
      <c r="L270" s="551"/>
      <c r="M270" s="551"/>
      <c r="N270" s="551"/>
      <c r="O270" s="551"/>
      <c r="P270" s="551"/>
      <c r="Q270" s="551"/>
      <c r="R270" s="551"/>
      <c r="S270" s="551"/>
      <c r="T270" s="551"/>
    </row>
    <row r="271" spans="1:21" ht="15" x14ac:dyDescent="0.35">
      <c r="A271" s="1101" t="s">
        <v>125</v>
      </c>
      <c r="B271" s="1102"/>
      <c r="C271" s="1102"/>
      <c r="D271" s="1102"/>
      <c r="E271" s="1102"/>
      <c r="F271" s="1103"/>
      <c r="G271" s="27"/>
      <c r="H271" s="28" t="s">
        <v>10</v>
      </c>
      <c r="I271" s="27">
        <f>G271</f>
        <v>0</v>
      </c>
      <c r="J271" s="27">
        <f>ROUND(I271,0)</f>
        <v>0</v>
      </c>
      <c r="K271" s="555"/>
      <c r="L271" s="550"/>
      <c r="M271" s="550"/>
      <c r="N271" s="550"/>
      <c r="O271" s="550"/>
      <c r="P271" s="550"/>
      <c r="Q271" s="27"/>
      <c r="R271" s="28" t="s">
        <v>10</v>
      </c>
      <c r="S271" s="27">
        <f>Q271</f>
        <v>0</v>
      </c>
      <c r="T271" s="27">
        <f>ROUND(S271,0)</f>
        <v>0</v>
      </c>
      <c r="U271" t="s">
        <v>131</v>
      </c>
    </row>
    <row r="272" spans="1:21" ht="15" x14ac:dyDescent="0.35">
      <c r="A272" s="35" t="s">
        <v>357</v>
      </c>
      <c r="B272" s="40"/>
      <c r="C272" s="38"/>
      <c r="D272" s="56"/>
      <c r="E272" s="37"/>
      <c r="F272" s="36"/>
      <c r="G272" s="39"/>
      <c r="H272" s="37"/>
      <c r="I272" s="39"/>
      <c r="J272" s="39"/>
      <c r="K272" s="557"/>
      <c r="L272" s="40"/>
      <c r="M272" s="38"/>
      <c r="N272" s="56"/>
      <c r="O272" s="37"/>
      <c r="P272" s="36"/>
      <c r="Q272" s="39"/>
      <c r="R272" s="37"/>
      <c r="S272" s="39"/>
      <c r="T272" s="39"/>
    </row>
    <row r="273" spans="1:27" ht="15" x14ac:dyDescent="0.35">
      <c r="A273" s="48" t="s">
        <v>553</v>
      </c>
      <c r="B273" s="40">
        <v>8</v>
      </c>
      <c r="C273" s="37"/>
      <c r="D273" s="38"/>
      <c r="E273" s="37">
        <v>56</v>
      </c>
      <c r="F273" s="36">
        <f>PRODUCT(B273:E273)</f>
        <v>448</v>
      </c>
      <c r="G273" s="37"/>
      <c r="H273" s="37" t="s">
        <v>10</v>
      </c>
      <c r="I273" s="39"/>
      <c r="J273" s="39"/>
      <c r="K273" s="557"/>
      <c r="L273" s="40">
        <v>8</v>
      </c>
      <c r="M273" s="37"/>
      <c r="N273" s="38"/>
      <c r="O273" s="37">
        <v>48</v>
      </c>
      <c r="P273" s="36">
        <f>PRODUCT(L273:O273)</f>
        <v>384</v>
      </c>
      <c r="Q273" s="37"/>
      <c r="R273" s="37" t="s">
        <v>10</v>
      </c>
      <c r="S273" s="39"/>
      <c r="T273" s="39"/>
    </row>
    <row r="274" spans="1:27" ht="15" x14ac:dyDescent="0.35">
      <c r="A274" s="48"/>
      <c r="B274" s="40"/>
      <c r="C274" s="37"/>
      <c r="D274" s="38"/>
      <c r="E274" s="37"/>
      <c r="F274" s="36"/>
      <c r="G274" s="37"/>
      <c r="H274" s="37"/>
      <c r="I274" s="39"/>
      <c r="J274" s="39"/>
      <c r="K274" s="557"/>
      <c r="L274" s="40"/>
      <c r="M274" s="37"/>
      <c r="N274" s="38"/>
      <c r="O274" s="37"/>
      <c r="P274" s="36"/>
      <c r="Q274" s="37"/>
      <c r="R274" s="37"/>
      <c r="S274" s="39"/>
      <c r="T274" s="39"/>
    </row>
    <row r="275" spans="1:27" ht="15" x14ac:dyDescent="0.35">
      <c r="A275" s="35" t="s">
        <v>358</v>
      </c>
      <c r="B275" s="40"/>
      <c r="C275" s="37"/>
      <c r="D275" s="38"/>
      <c r="E275" s="37"/>
      <c r="F275" s="36"/>
      <c r="G275" s="37"/>
      <c r="H275" s="37"/>
      <c r="I275" s="39"/>
      <c r="J275" s="39"/>
      <c r="K275" s="557"/>
      <c r="L275" s="40"/>
      <c r="M275" s="37"/>
      <c r="N275" s="38"/>
      <c r="O275" s="37"/>
      <c r="P275" s="36"/>
      <c r="Q275" s="37"/>
      <c r="R275" s="37"/>
      <c r="S275" s="39"/>
      <c r="T275" s="39"/>
    </row>
    <row r="276" spans="1:27" ht="15" x14ac:dyDescent="0.35">
      <c r="A276" s="48" t="s">
        <v>553</v>
      </c>
      <c r="B276" s="40">
        <v>3</v>
      </c>
      <c r="C276" s="37"/>
      <c r="D276" s="38"/>
      <c r="E276" s="37">
        <v>0</v>
      </c>
      <c r="F276" s="36">
        <f>PRODUCT(B276:E276)</f>
        <v>0</v>
      </c>
      <c r="G276" s="37"/>
      <c r="H276" s="37" t="s">
        <v>10</v>
      </c>
      <c r="I276" s="39"/>
      <c r="J276" s="39"/>
      <c r="K276" s="557"/>
      <c r="L276" s="40"/>
      <c r="M276" s="37"/>
      <c r="N276" s="38"/>
      <c r="O276" s="37"/>
      <c r="P276" s="36"/>
      <c r="Q276" s="37"/>
      <c r="R276" s="37" t="s">
        <v>10</v>
      </c>
      <c r="S276" s="39"/>
      <c r="T276" s="39"/>
    </row>
    <row r="277" spans="1:27" ht="15" x14ac:dyDescent="0.35">
      <c r="A277" s="48"/>
      <c r="B277" s="40"/>
      <c r="C277" s="37"/>
      <c r="D277" s="38"/>
      <c r="E277" s="37"/>
      <c r="F277" s="36"/>
      <c r="G277" s="37"/>
      <c r="H277" s="37"/>
      <c r="I277" s="39"/>
      <c r="J277" s="39"/>
      <c r="K277" s="557"/>
      <c r="L277" s="40"/>
      <c r="M277" s="37"/>
      <c r="N277" s="38"/>
      <c r="O277" s="37"/>
      <c r="P277" s="36"/>
      <c r="Q277" s="37"/>
      <c r="R277" s="37"/>
      <c r="S277" s="39"/>
      <c r="T277" s="39"/>
    </row>
    <row r="278" spans="1:27" ht="15" x14ac:dyDescent="0.35">
      <c r="A278" s="1101" t="s">
        <v>116</v>
      </c>
      <c r="B278" s="1102"/>
      <c r="C278" s="1102"/>
      <c r="D278" s="1102"/>
      <c r="E278" s="1102"/>
      <c r="F278" s="1103"/>
      <c r="G278" s="27"/>
      <c r="H278" s="28" t="s">
        <v>10</v>
      </c>
      <c r="I278" s="27">
        <f>G278</f>
        <v>0</v>
      </c>
      <c r="J278" s="27">
        <f>ROUND(I278,0)</f>
        <v>0</v>
      </c>
      <c r="K278" s="555"/>
      <c r="L278" s="550"/>
      <c r="M278" s="550"/>
      <c r="N278" s="550"/>
      <c r="O278" s="550"/>
      <c r="P278" s="550"/>
      <c r="Q278" s="27"/>
      <c r="R278" s="28" t="s">
        <v>10</v>
      </c>
      <c r="S278" s="27">
        <f>Q278</f>
        <v>0</v>
      </c>
      <c r="T278" s="27">
        <f>ROUND(S278,0)</f>
        <v>0</v>
      </c>
    </row>
    <row r="279" spans="1:27" ht="15" x14ac:dyDescent="0.35">
      <c r="A279" s="536"/>
      <c r="B279" s="40">
        <v>3</v>
      </c>
      <c r="C279" s="37"/>
      <c r="D279" s="38"/>
      <c r="E279" s="37">
        <v>406</v>
      </c>
      <c r="F279" s="36">
        <f>PRODUCT(B279:E279)</f>
        <v>1218</v>
      </c>
      <c r="G279" s="37"/>
      <c r="H279" s="37" t="s">
        <v>10</v>
      </c>
      <c r="I279" s="232"/>
      <c r="J279" s="232"/>
      <c r="K279" s="561"/>
      <c r="L279" s="40"/>
      <c r="M279" s="37"/>
      <c r="N279" s="38"/>
      <c r="O279" s="37"/>
      <c r="P279" s="36"/>
      <c r="Q279" s="37"/>
      <c r="R279" s="37" t="s">
        <v>10</v>
      </c>
      <c r="S279" s="232"/>
      <c r="T279" s="232"/>
    </row>
    <row r="280" spans="1:27" ht="15" x14ac:dyDescent="0.35">
      <c r="A280" s="536"/>
      <c r="B280" s="40">
        <v>3</v>
      </c>
      <c r="C280" s="37"/>
      <c r="D280" s="38"/>
      <c r="E280" s="37">
        <v>433</v>
      </c>
      <c r="F280" s="36">
        <f>PRODUCT(B280:E280)</f>
        <v>1299</v>
      </c>
      <c r="G280" s="37"/>
      <c r="H280" s="230" t="s">
        <v>10</v>
      </c>
      <c r="I280" s="232"/>
      <c r="J280" s="232"/>
      <c r="K280" s="561"/>
      <c r="L280" s="40"/>
      <c r="M280" s="37"/>
      <c r="N280" s="38"/>
      <c r="O280" s="37"/>
      <c r="P280" s="36"/>
      <c r="Q280" s="37"/>
      <c r="R280" s="230" t="s">
        <v>10</v>
      </c>
      <c r="S280" s="232"/>
      <c r="T280" s="232"/>
    </row>
    <row r="281" spans="1:27" ht="15" x14ac:dyDescent="0.35">
      <c r="A281" s="536"/>
      <c r="B281" s="503"/>
      <c r="C281" s="506"/>
      <c r="D281" s="505"/>
      <c r="E281" s="506"/>
      <c r="F281" s="535"/>
      <c r="G281" s="230"/>
      <c r="H281" s="230"/>
      <c r="I281" s="232"/>
      <c r="J281" s="232"/>
      <c r="K281" s="556"/>
      <c r="L281" s="503"/>
      <c r="M281" s="506"/>
      <c r="N281" s="505"/>
      <c r="O281" s="506"/>
      <c r="P281" s="535"/>
      <c r="Q281" s="230"/>
      <c r="R281" s="230"/>
      <c r="S281" s="232"/>
      <c r="T281" s="232"/>
    </row>
    <row r="282" spans="1:27" ht="15" x14ac:dyDescent="0.35">
      <c r="A282" s="1101" t="s">
        <v>555</v>
      </c>
      <c r="B282" s="1102"/>
      <c r="C282" s="1102"/>
      <c r="D282" s="1102"/>
      <c r="E282" s="1102"/>
      <c r="F282" s="1103"/>
      <c r="G282" s="27"/>
      <c r="H282" s="28" t="s">
        <v>51</v>
      </c>
      <c r="I282" s="27">
        <f>G282</f>
        <v>0</v>
      </c>
      <c r="J282" s="27">
        <f>ROUND(I282,0)</f>
        <v>0</v>
      </c>
      <c r="K282" s="555"/>
      <c r="L282" s="550"/>
      <c r="M282" s="550"/>
      <c r="N282" s="550"/>
      <c r="O282" s="550"/>
      <c r="P282" s="550"/>
      <c r="Q282" s="27"/>
      <c r="R282" s="28" t="s">
        <v>51</v>
      </c>
      <c r="S282" s="27">
        <f>Q282</f>
        <v>0</v>
      </c>
      <c r="T282" s="27">
        <f>ROUND(S282,0)</f>
        <v>0</v>
      </c>
      <c r="U282" t="s">
        <v>131</v>
      </c>
    </row>
    <row r="283" spans="1:27" ht="15" x14ac:dyDescent="0.35">
      <c r="A283" s="35" t="s">
        <v>357</v>
      </c>
      <c r="B283" s="40"/>
      <c r="C283" s="38"/>
      <c r="D283" s="56"/>
      <c r="E283" s="37">
        <f>+E273</f>
        <v>56</v>
      </c>
      <c r="F283" s="36"/>
      <c r="G283" s="39"/>
      <c r="H283" s="37"/>
      <c r="I283" s="39"/>
      <c r="J283" s="39"/>
      <c r="K283" s="557"/>
      <c r="L283" s="40"/>
      <c r="M283" s="38"/>
      <c r="N283" s="56"/>
      <c r="O283" s="37">
        <f>+O273</f>
        <v>48</v>
      </c>
      <c r="P283" s="36"/>
      <c r="Q283" s="39"/>
      <c r="R283" s="37"/>
      <c r="S283" s="39"/>
      <c r="T283" s="39"/>
    </row>
    <row r="284" spans="1:27" ht="15" x14ac:dyDescent="0.35">
      <c r="A284" s="35" t="s">
        <v>358</v>
      </c>
      <c r="B284" s="40"/>
      <c r="C284" s="37"/>
      <c r="D284" s="38"/>
      <c r="E284" s="37">
        <f>+E276</f>
        <v>0</v>
      </c>
      <c r="F284" s="36"/>
      <c r="G284" s="37"/>
      <c r="H284" s="37"/>
      <c r="I284" s="39"/>
      <c r="J284" s="39"/>
      <c r="K284" s="557"/>
      <c r="L284" s="40"/>
      <c r="M284" s="37"/>
      <c r="N284" s="38"/>
      <c r="O284" s="37"/>
      <c r="P284" s="36"/>
      <c r="Q284" s="37"/>
      <c r="R284" s="37"/>
      <c r="S284" s="39"/>
      <c r="T284" s="39"/>
    </row>
    <row r="285" spans="1:27" ht="15" x14ac:dyDescent="0.35">
      <c r="A285" s="35"/>
      <c r="B285" s="40"/>
      <c r="C285" s="38"/>
      <c r="D285" s="56"/>
      <c r="E285" s="37"/>
      <c r="F285" s="36"/>
      <c r="G285" s="39"/>
      <c r="H285" s="37"/>
      <c r="I285" s="39"/>
      <c r="J285" s="39"/>
      <c r="K285" s="557"/>
      <c r="L285" s="40"/>
      <c r="M285" s="38"/>
      <c r="N285" s="56"/>
      <c r="O285" s="37"/>
      <c r="P285" s="36"/>
      <c r="Q285" s="39"/>
      <c r="R285" s="37"/>
      <c r="S285" s="39"/>
      <c r="T285" s="39"/>
    </row>
    <row r="286" spans="1:27" s="240" customFormat="1" ht="15" x14ac:dyDescent="0.35">
      <c r="A286" s="1101" t="s">
        <v>634</v>
      </c>
      <c r="B286" s="1102"/>
      <c r="C286" s="1102"/>
      <c r="D286" s="1102"/>
      <c r="E286" s="1102"/>
      <c r="F286" s="1103"/>
      <c r="G286" s="27"/>
      <c r="H286" s="28" t="s">
        <v>59</v>
      </c>
      <c r="I286" s="27">
        <f>G286*1.15</f>
        <v>0</v>
      </c>
      <c r="J286" s="27">
        <f>ROUND(I286,0)</f>
        <v>0</v>
      </c>
      <c r="K286" s="555"/>
      <c r="L286" s="550"/>
      <c r="M286" s="550"/>
      <c r="N286" s="550"/>
      <c r="O286" s="550"/>
      <c r="P286" s="550"/>
      <c r="Q286" s="27"/>
      <c r="R286" s="28" t="s">
        <v>59</v>
      </c>
      <c r="S286" s="27">
        <f>Q286*1.15</f>
        <v>0</v>
      </c>
      <c r="T286" s="27">
        <f>ROUND(S286,0)</f>
        <v>0</v>
      </c>
      <c r="U286" s="240" t="s">
        <v>131</v>
      </c>
      <c r="Z286" s="497"/>
      <c r="AA286" s="498"/>
    </row>
    <row r="287" spans="1:27" ht="15" x14ac:dyDescent="0.35">
      <c r="A287" s="35" t="s">
        <v>357</v>
      </c>
      <c r="B287" s="40"/>
      <c r="C287" s="38"/>
      <c r="D287" s="56"/>
      <c r="E287" s="37"/>
      <c r="F287" s="36"/>
      <c r="G287" s="39"/>
      <c r="H287" s="37"/>
      <c r="I287" s="39"/>
      <c r="J287" s="39"/>
      <c r="K287" s="557"/>
      <c r="L287" s="40"/>
      <c r="M287" s="38"/>
      <c r="N287" s="56"/>
      <c r="O287" s="37"/>
      <c r="P287" s="36"/>
      <c r="Q287" s="39"/>
      <c r="R287" s="37"/>
      <c r="S287" s="39"/>
      <c r="T287" s="39"/>
    </row>
    <row r="288" spans="1:27" ht="15" x14ac:dyDescent="0.35">
      <c r="A288" s="48" t="s">
        <v>377</v>
      </c>
      <c r="B288" s="31">
        <f>(1602-123)/AA288*1.1</f>
        <v>2300.8061094611799</v>
      </c>
      <c r="C288" s="32"/>
      <c r="D288" s="33"/>
      <c r="E288" s="32"/>
      <c r="F288" s="31">
        <f>PRODUCT(B288:E288)</f>
        <v>2300.8061094611799</v>
      </c>
      <c r="G288" s="32"/>
      <c r="H288" s="32" t="s">
        <v>59</v>
      </c>
      <c r="I288" s="32"/>
      <c r="J288" s="34"/>
      <c r="K288" s="563"/>
      <c r="L288" s="31">
        <f>+L5</f>
        <v>259.24566768603466</v>
      </c>
      <c r="M288" s="32"/>
      <c r="N288" s="33"/>
      <c r="O288" s="32"/>
      <c r="P288" s="31">
        <f>PRODUCT(L288:O288)</f>
        <v>259.24566768603466</v>
      </c>
      <c r="Q288" s="32"/>
      <c r="R288" s="32" t="s">
        <v>59</v>
      </c>
      <c r="S288" s="32"/>
      <c r="T288" s="34"/>
      <c r="V288" s="90"/>
      <c r="Z288" s="497" t="s">
        <v>537</v>
      </c>
      <c r="AA288" s="498">
        <v>0.70709999999999995</v>
      </c>
    </row>
    <row r="289" spans="1:27" ht="15" x14ac:dyDescent="0.35">
      <c r="A289" s="48"/>
      <c r="B289" s="40"/>
      <c r="C289" s="37"/>
      <c r="D289" s="38"/>
      <c r="E289" s="37"/>
      <c r="F289" s="36"/>
      <c r="G289" s="37"/>
      <c r="H289" s="37"/>
      <c r="I289" s="39"/>
      <c r="J289" s="39"/>
      <c r="K289" s="557"/>
      <c r="L289" s="40"/>
      <c r="M289" s="37"/>
      <c r="N289" s="38"/>
      <c r="O289" s="37"/>
      <c r="P289" s="36"/>
      <c r="Q289" s="37"/>
      <c r="R289" s="37"/>
      <c r="S289" s="39"/>
      <c r="T289" s="39"/>
    </row>
    <row r="290" spans="1:27" ht="15" x14ac:dyDescent="0.35">
      <c r="A290" s="35" t="s">
        <v>358</v>
      </c>
      <c r="B290" s="40"/>
      <c r="C290" s="38"/>
      <c r="D290" s="56"/>
      <c r="E290" s="37"/>
      <c r="F290" s="36"/>
      <c r="G290" s="39"/>
      <c r="H290" s="37"/>
      <c r="I290" s="39"/>
      <c r="J290" s="39"/>
      <c r="K290" s="557"/>
      <c r="L290" s="40"/>
      <c r="M290" s="38"/>
      <c r="N290" s="56"/>
      <c r="O290" s="37"/>
      <c r="P290" s="36"/>
      <c r="Q290" s="39"/>
      <c r="R290" s="37"/>
      <c r="S290" s="39"/>
      <c r="T290" s="39"/>
    </row>
    <row r="291" spans="1:27" ht="15" x14ac:dyDescent="0.35">
      <c r="A291" s="48" t="s">
        <v>377</v>
      </c>
      <c r="B291" s="38">
        <f>+B6</f>
        <v>0</v>
      </c>
      <c r="C291" s="38"/>
      <c r="D291" s="38"/>
      <c r="E291" s="37"/>
      <c r="F291" s="36">
        <f>PRODUCT(B291:E291)</f>
        <v>0</v>
      </c>
      <c r="G291" s="37"/>
      <c r="H291" s="37" t="s">
        <v>59</v>
      </c>
      <c r="I291" s="39"/>
      <c r="J291" s="39"/>
      <c r="K291" s="557"/>
      <c r="L291" s="38"/>
      <c r="M291" s="38"/>
      <c r="N291" s="38"/>
      <c r="O291" s="37"/>
      <c r="P291" s="36"/>
      <c r="Q291" s="37"/>
      <c r="R291" s="37" t="s">
        <v>59</v>
      </c>
      <c r="S291" s="39"/>
      <c r="T291" s="39"/>
    </row>
    <row r="292" spans="1:27" ht="15" x14ac:dyDescent="0.35">
      <c r="A292" s="48"/>
      <c r="B292" s="40"/>
      <c r="C292" s="37"/>
      <c r="D292" s="38"/>
      <c r="E292" s="37"/>
      <c r="F292" s="36"/>
      <c r="G292" s="37"/>
      <c r="H292" s="37"/>
      <c r="I292" s="39"/>
      <c r="J292" s="39"/>
      <c r="K292" s="557"/>
      <c r="L292" s="40"/>
      <c r="M292" s="37"/>
      <c r="N292" s="38"/>
      <c r="O292" s="37"/>
      <c r="P292" s="36"/>
      <c r="Q292" s="37"/>
      <c r="R292" s="37"/>
      <c r="S292" s="39"/>
      <c r="T292" s="39"/>
    </row>
    <row r="293" spans="1:27" s="240" customFormat="1" ht="15" x14ac:dyDescent="0.35">
      <c r="A293" s="1101" t="s">
        <v>635</v>
      </c>
      <c r="B293" s="1102"/>
      <c r="C293" s="1102"/>
      <c r="D293" s="1102"/>
      <c r="E293" s="1102"/>
      <c r="F293" s="1103"/>
      <c r="G293" s="27"/>
      <c r="H293" s="28" t="s">
        <v>59</v>
      </c>
      <c r="I293" s="27">
        <f>G293*1.15</f>
        <v>0</v>
      </c>
      <c r="J293" s="27">
        <f>ROUND(I293,0)</f>
        <v>0</v>
      </c>
      <c r="K293" s="555"/>
      <c r="L293" s="550"/>
      <c r="M293" s="550"/>
      <c r="N293" s="550"/>
      <c r="O293" s="550"/>
      <c r="P293" s="550"/>
      <c r="Q293" s="27"/>
      <c r="R293" s="28" t="s">
        <v>59</v>
      </c>
      <c r="S293" s="27">
        <f>Q293*1.15</f>
        <v>0</v>
      </c>
      <c r="T293" s="27">
        <f>ROUND(S293,0)</f>
        <v>0</v>
      </c>
      <c r="U293" s="240" t="s">
        <v>131</v>
      </c>
      <c r="Z293" s="497"/>
      <c r="AA293" s="498"/>
    </row>
    <row r="294" spans="1:27" ht="15" x14ac:dyDescent="0.35">
      <c r="A294" s="35" t="s">
        <v>357</v>
      </c>
      <c r="B294" s="40"/>
      <c r="C294" s="38"/>
      <c r="D294" s="56"/>
      <c r="E294" s="37"/>
      <c r="F294" s="36"/>
      <c r="G294" s="39"/>
      <c r="H294" s="37"/>
      <c r="I294" s="39"/>
      <c r="J294" s="39"/>
      <c r="K294" s="557"/>
      <c r="L294" s="40"/>
      <c r="M294" s="38"/>
      <c r="N294" s="56"/>
      <c r="O294" s="37"/>
      <c r="P294" s="36"/>
      <c r="Q294" s="39"/>
      <c r="R294" s="37"/>
      <c r="S294" s="39"/>
      <c r="T294" s="39"/>
    </row>
    <row r="295" spans="1:27" ht="15" x14ac:dyDescent="0.35">
      <c r="A295" s="48" t="s">
        <v>377</v>
      </c>
      <c r="B295" s="31">
        <f>123/AA295*1.1</f>
        <v>191.34492999575735</v>
      </c>
      <c r="C295" s="32"/>
      <c r="D295" s="33"/>
      <c r="E295" s="32"/>
      <c r="F295" s="31">
        <f>PRODUCT(B295:E295)</f>
        <v>191.34492999575735</v>
      </c>
      <c r="G295" s="32"/>
      <c r="H295" s="32" t="s">
        <v>59</v>
      </c>
      <c r="I295" s="32"/>
      <c r="J295" s="34"/>
      <c r="K295" s="563"/>
      <c r="L295" s="31">
        <f>+L288</f>
        <v>259.24566768603466</v>
      </c>
      <c r="M295" s="32"/>
      <c r="N295" s="33"/>
      <c r="O295" s="32"/>
      <c r="P295" s="31">
        <f>PRODUCT(L295:O295)</f>
        <v>259.24566768603466</v>
      </c>
      <c r="Q295" s="32"/>
      <c r="R295" s="32" t="s">
        <v>59</v>
      </c>
      <c r="S295" s="32"/>
      <c r="T295" s="34"/>
      <c r="V295" s="90"/>
      <c r="Z295" s="497" t="s">
        <v>537</v>
      </c>
      <c r="AA295" s="498">
        <v>0.70709999999999995</v>
      </c>
    </row>
    <row r="296" spans="1:27" ht="15" x14ac:dyDescent="0.35">
      <c r="A296" s="48"/>
      <c r="B296" s="40"/>
      <c r="C296" s="37"/>
      <c r="D296" s="38"/>
      <c r="E296" s="37"/>
      <c r="F296" s="36"/>
      <c r="G296" s="37"/>
      <c r="H296" s="37"/>
      <c r="I296" s="39"/>
      <c r="J296" s="39"/>
      <c r="K296" s="557"/>
      <c r="L296" s="40"/>
      <c r="M296" s="37"/>
      <c r="N296" s="38"/>
      <c r="O296" s="37"/>
      <c r="P296" s="36"/>
      <c r="Q296" s="37"/>
      <c r="R296" s="37"/>
      <c r="S296" s="39"/>
      <c r="T296" s="39"/>
    </row>
    <row r="297" spans="1:27" ht="15" x14ac:dyDescent="0.35">
      <c r="A297" s="1101" t="s">
        <v>563</v>
      </c>
      <c r="B297" s="1102"/>
      <c r="C297" s="1102"/>
      <c r="D297" s="1102"/>
      <c r="E297" s="1102"/>
      <c r="F297" s="1103"/>
      <c r="G297" s="27"/>
      <c r="H297" s="28" t="s">
        <v>59</v>
      </c>
      <c r="I297" s="27">
        <f>G297*1.2</f>
        <v>0</v>
      </c>
      <c r="J297" s="27">
        <f>ROUND(I297,0)</f>
        <v>0</v>
      </c>
      <c r="K297" s="555"/>
      <c r="L297" s="550"/>
      <c r="M297" s="550"/>
      <c r="N297" s="550"/>
      <c r="O297" s="550"/>
      <c r="P297" s="550"/>
      <c r="Q297" s="27"/>
      <c r="R297" s="28" t="s">
        <v>59</v>
      </c>
      <c r="S297" s="27">
        <f>Q297*1.2</f>
        <v>0</v>
      </c>
      <c r="T297" s="27">
        <f>ROUND(S297,0)</f>
        <v>0</v>
      </c>
    </row>
    <row r="298" spans="1:27" ht="15" x14ac:dyDescent="0.35">
      <c r="A298" s="35" t="s">
        <v>564</v>
      </c>
      <c r="B298" s="40"/>
      <c r="C298" s="38"/>
      <c r="D298" s="56"/>
      <c r="E298" s="37"/>
      <c r="F298" s="36">
        <v>160</v>
      </c>
      <c r="G298" s="39"/>
      <c r="H298" s="37"/>
      <c r="I298" s="39"/>
      <c r="J298" s="39"/>
      <c r="K298" s="557"/>
      <c r="L298" s="40"/>
      <c r="M298" s="38"/>
      <c r="N298" s="56"/>
      <c r="O298" s="37"/>
      <c r="P298" s="36">
        <f>+(8.57/W298+24.5)*2*1.1</f>
        <v>75.254626798051888</v>
      </c>
      <c r="Q298" s="39"/>
      <c r="R298" s="37"/>
      <c r="S298" s="39"/>
      <c r="T298" s="39"/>
      <c r="V298" t="s">
        <v>662</v>
      </c>
      <c r="W298">
        <v>0.88290000000000002</v>
      </c>
    </row>
    <row r="299" spans="1:27" ht="15" x14ac:dyDescent="0.35">
      <c r="A299" s="35" t="s">
        <v>565</v>
      </c>
      <c r="B299" s="38"/>
      <c r="C299" s="38"/>
      <c r="D299" s="38"/>
      <c r="E299" s="37"/>
      <c r="F299" s="36">
        <v>184</v>
      </c>
      <c r="G299" s="37"/>
      <c r="H299" s="37"/>
      <c r="I299" s="39"/>
      <c r="J299" s="39"/>
      <c r="K299" s="557"/>
      <c r="L299" s="38"/>
      <c r="M299" s="38"/>
      <c r="N299" s="38"/>
      <c r="O299" s="37"/>
      <c r="P299" s="36"/>
      <c r="Q299" s="37"/>
      <c r="R299" s="37"/>
      <c r="S299" s="39"/>
      <c r="T299" s="39"/>
    </row>
    <row r="300" spans="1:27" ht="15" x14ac:dyDescent="0.35">
      <c r="A300" s="48"/>
      <c r="B300" s="40"/>
      <c r="C300" s="37"/>
      <c r="D300" s="38"/>
      <c r="E300" s="37"/>
      <c r="F300" s="36"/>
      <c r="G300" s="37"/>
      <c r="H300" s="37"/>
      <c r="I300" s="39"/>
      <c r="J300" s="39"/>
      <c r="K300" s="557"/>
      <c r="L300" s="40"/>
      <c r="M300" s="37"/>
      <c r="N300" s="38"/>
      <c r="O300" s="37"/>
      <c r="P300" s="36"/>
      <c r="Q300" s="37"/>
      <c r="R300" s="37"/>
      <c r="S300" s="39"/>
      <c r="T300" s="39"/>
    </row>
    <row r="301" spans="1:27" ht="15" x14ac:dyDescent="0.35">
      <c r="A301" s="1101" t="s">
        <v>554</v>
      </c>
      <c r="B301" s="1102"/>
      <c r="C301" s="1102"/>
      <c r="D301" s="1102"/>
      <c r="E301" s="1102"/>
      <c r="F301" s="1103"/>
      <c r="G301" s="27">
        <f>SUM(F302:F303)</f>
        <v>8843.3571185864766</v>
      </c>
      <c r="H301" s="28" t="s">
        <v>59</v>
      </c>
      <c r="I301" s="27">
        <f>G301*1.15</f>
        <v>10169.860686374448</v>
      </c>
      <c r="J301" s="27">
        <f>ROUND(I301,0)</f>
        <v>10170</v>
      </c>
      <c r="K301" s="555"/>
      <c r="L301" s="550"/>
      <c r="M301" s="550"/>
      <c r="N301" s="550"/>
      <c r="O301" s="550"/>
      <c r="P301" s="550"/>
      <c r="Q301" s="27">
        <f>SUM(P302:P303)</f>
        <v>7468.0475536860358</v>
      </c>
      <c r="R301" s="28" t="s">
        <v>59</v>
      </c>
      <c r="S301" s="27">
        <f>Q301*1.15</f>
        <v>8588.254686738941</v>
      </c>
      <c r="T301" s="27">
        <f>ROUND(S301,0)</f>
        <v>8588</v>
      </c>
    </row>
    <row r="302" spans="1:27" ht="15" x14ac:dyDescent="0.35">
      <c r="A302" s="35" t="s">
        <v>556</v>
      </c>
      <c r="B302" s="40"/>
      <c r="C302" s="38"/>
      <c r="D302" s="56"/>
      <c r="E302" s="37"/>
      <c r="F302" s="36"/>
      <c r="G302" s="39"/>
      <c r="H302" s="37"/>
      <c r="I302" s="39"/>
      <c r="J302" s="39"/>
      <c r="K302" s="557"/>
      <c r="L302" s="40"/>
      <c r="M302" s="38"/>
      <c r="N302" s="56"/>
      <c r="O302" s="37"/>
      <c r="P302" s="36">
        <f>+L5</f>
        <v>259.24566768603466</v>
      </c>
      <c r="Q302" s="39"/>
      <c r="R302" s="37"/>
      <c r="S302" s="39"/>
      <c r="T302" s="39"/>
    </row>
    <row r="303" spans="1:27" ht="15" x14ac:dyDescent="0.35">
      <c r="A303" s="55" t="s">
        <v>557</v>
      </c>
      <c r="B303" s="38"/>
      <c r="C303" s="38"/>
      <c r="D303" s="38"/>
      <c r="E303" s="37"/>
      <c r="F303" s="36">
        <f>+B7</f>
        <v>8843.3571185864766</v>
      </c>
      <c r="G303" s="37"/>
      <c r="H303" s="37"/>
      <c r="I303" s="39"/>
      <c r="J303" s="39"/>
      <c r="K303" s="557"/>
      <c r="L303" s="38"/>
      <c r="M303" s="38"/>
      <c r="N303" s="38"/>
      <c r="O303" s="37"/>
      <c r="P303" s="36">
        <f>+L7</f>
        <v>7208.8018860000011</v>
      </c>
      <c r="Q303" s="37"/>
      <c r="R303" s="37"/>
      <c r="S303" s="39"/>
      <c r="T303" s="39"/>
    </row>
    <row r="304" spans="1:27" ht="15" x14ac:dyDescent="0.35">
      <c r="A304" s="48"/>
      <c r="B304" s="40"/>
      <c r="C304" s="37"/>
      <c r="D304" s="38"/>
      <c r="E304" s="37"/>
      <c r="F304" s="36"/>
      <c r="G304" s="37"/>
      <c r="H304" s="37"/>
      <c r="I304" s="39"/>
      <c r="J304" s="39"/>
      <c r="K304" s="557"/>
      <c r="L304" s="40"/>
      <c r="M304" s="37"/>
      <c r="N304" s="38"/>
      <c r="O304" s="37"/>
      <c r="P304" s="36"/>
      <c r="Q304" s="37"/>
      <c r="R304" s="37"/>
      <c r="S304" s="39"/>
      <c r="T304" s="39"/>
    </row>
    <row r="305" spans="1:27" ht="15" x14ac:dyDescent="0.35">
      <c r="A305" s="1101" t="s">
        <v>127</v>
      </c>
      <c r="B305" s="1102"/>
      <c r="C305" s="1102"/>
      <c r="D305" s="1102"/>
      <c r="E305" s="1102"/>
      <c r="F305" s="1103"/>
      <c r="G305" s="27"/>
      <c r="H305" s="28" t="s">
        <v>10</v>
      </c>
      <c r="I305" s="27">
        <f>G305*1.15</f>
        <v>0</v>
      </c>
      <c r="J305" s="27">
        <f>ROUND(I305,0)</f>
        <v>0</v>
      </c>
      <c r="K305" s="555"/>
      <c r="L305" s="550"/>
      <c r="M305" s="550"/>
      <c r="N305" s="550"/>
      <c r="O305" s="550"/>
      <c r="P305" s="550"/>
      <c r="Q305" s="27">
        <f>SUM(P306:P308)</f>
        <v>770</v>
      </c>
      <c r="R305" s="28" t="s">
        <v>10</v>
      </c>
      <c r="S305" s="27">
        <f>Q305*1.15</f>
        <v>885.49999999999989</v>
      </c>
      <c r="T305" s="27">
        <f>ROUND(S305,0)</f>
        <v>886</v>
      </c>
      <c r="U305" t="s">
        <v>131</v>
      </c>
    </row>
    <row r="306" spans="1:27" ht="15" x14ac:dyDescent="0.35">
      <c r="A306" s="35"/>
      <c r="B306" s="40">
        <v>20</v>
      </c>
      <c r="C306" s="38"/>
      <c r="D306" s="56"/>
      <c r="E306" s="37">
        <v>7</v>
      </c>
      <c r="F306" s="36">
        <f>PRODUCT(B306:E306)</f>
        <v>140</v>
      </c>
      <c r="G306" s="39"/>
      <c r="H306" s="37" t="s">
        <v>10</v>
      </c>
      <c r="I306" s="39"/>
      <c r="J306" s="39"/>
      <c r="K306" s="557"/>
      <c r="L306" s="40">
        <v>30</v>
      </c>
      <c r="M306" s="38"/>
      <c r="N306" s="56"/>
      <c r="O306" s="37">
        <v>9</v>
      </c>
      <c r="P306" s="36">
        <f>PRODUCT(L306:O306)</f>
        <v>270</v>
      </c>
      <c r="Q306" s="39"/>
      <c r="R306" s="37" t="s">
        <v>10</v>
      </c>
      <c r="S306" s="39"/>
      <c r="T306" s="39"/>
    </row>
    <row r="307" spans="1:27" ht="15" x14ac:dyDescent="0.35">
      <c r="A307" s="55"/>
      <c r="B307" s="40">
        <v>20</v>
      </c>
      <c r="C307" s="37"/>
      <c r="D307" s="38"/>
      <c r="E307" s="37">
        <v>5</v>
      </c>
      <c r="F307" s="36">
        <f>PRODUCT(B307:E307)</f>
        <v>100</v>
      </c>
      <c r="G307" s="37"/>
      <c r="H307" s="37" t="s">
        <v>10</v>
      </c>
      <c r="I307" s="39"/>
      <c r="J307" s="39"/>
      <c r="K307" s="557"/>
      <c r="L307" s="40">
        <v>60</v>
      </c>
      <c r="M307" s="37"/>
      <c r="N307" s="38"/>
      <c r="O307" s="37">
        <v>4</v>
      </c>
      <c r="P307" s="36">
        <f>PRODUCT(L307:O307)</f>
        <v>240</v>
      </c>
      <c r="Q307" s="37"/>
      <c r="R307" s="37" t="s">
        <v>10</v>
      </c>
      <c r="S307" s="39"/>
      <c r="T307" s="39"/>
    </row>
    <row r="308" spans="1:27" ht="15" x14ac:dyDescent="0.35">
      <c r="A308" s="48"/>
      <c r="B308" s="40"/>
      <c r="C308" s="37"/>
      <c r="D308" s="38"/>
      <c r="E308" s="37"/>
      <c r="F308" s="36"/>
      <c r="G308" s="37"/>
      <c r="H308" s="37"/>
      <c r="I308" s="39"/>
      <c r="J308" s="39"/>
      <c r="K308" s="557"/>
      <c r="L308" s="40">
        <v>20</v>
      </c>
      <c r="M308" s="37"/>
      <c r="N308" s="38"/>
      <c r="O308" s="37">
        <v>13</v>
      </c>
      <c r="P308" s="36">
        <f>PRODUCT(L308:O308)</f>
        <v>260</v>
      </c>
      <c r="Q308" s="37"/>
      <c r="R308" s="37"/>
      <c r="S308" s="39"/>
      <c r="T308" s="39"/>
    </row>
    <row r="309" spans="1:27" ht="15" x14ac:dyDescent="0.35">
      <c r="A309" s="1101" t="s">
        <v>697</v>
      </c>
      <c r="B309" s="1102"/>
      <c r="C309" s="1102"/>
      <c r="D309" s="1102"/>
      <c r="E309" s="1102"/>
      <c r="F309" s="1103"/>
    </row>
    <row r="310" spans="1:27" ht="15" x14ac:dyDescent="0.35">
      <c r="B310" s="40"/>
      <c r="C310" s="37"/>
      <c r="D310" s="38"/>
      <c r="E310" s="37"/>
      <c r="F310" s="36"/>
      <c r="L310" s="40">
        <v>2</v>
      </c>
      <c r="M310" s="37"/>
      <c r="N310" s="38"/>
      <c r="O310" s="37">
        <v>17</v>
      </c>
      <c r="P310" s="36">
        <f>PRODUCT(L310:O310)</f>
        <v>34</v>
      </c>
    </row>
    <row r="312" spans="1:27" ht="15" x14ac:dyDescent="0.35">
      <c r="A312" s="1101" t="s">
        <v>698</v>
      </c>
      <c r="B312" s="1102"/>
      <c r="C312" s="1102"/>
      <c r="D312" s="1102"/>
      <c r="E312" s="1102"/>
      <c r="F312" s="1103"/>
      <c r="L312">
        <v>16</v>
      </c>
      <c r="O312">
        <v>102</v>
      </c>
      <c r="P312" s="36">
        <f>+L312*O312</f>
        <v>1632</v>
      </c>
    </row>
    <row r="313" spans="1:27" x14ac:dyDescent="0.25">
      <c r="K313"/>
    </row>
    <row r="314" spans="1:27" ht="15" x14ac:dyDescent="0.35">
      <c r="A314" s="1101" t="s">
        <v>436</v>
      </c>
      <c r="B314" s="1102"/>
      <c r="C314" s="1102"/>
      <c r="D314" s="1102"/>
      <c r="E314" s="1102"/>
      <c r="F314" s="1103"/>
      <c r="K314"/>
      <c r="L314">
        <v>23</v>
      </c>
      <c r="N314">
        <v>0.25</v>
      </c>
      <c r="Q314" s="219">
        <f>+L314*N314</f>
        <v>5.75</v>
      </c>
    </row>
    <row r="316" spans="1:27" x14ac:dyDescent="0.25">
      <c r="A316" t="s">
        <v>604</v>
      </c>
      <c r="K316"/>
      <c r="Z316"/>
      <c r="AA316"/>
    </row>
    <row r="317" spans="1:27" x14ac:dyDescent="0.25">
      <c r="A317" t="s">
        <v>576</v>
      </c>
      <c r="K317"/>
      <c r="L317">
        <v>69</v>
      </c>
      <c r="M317">
        <v>7.96</v>
      </c>
      <c r="N317">
        <v>0.25</v>
      </c>
      <c r="Q317" s="219">
        <f>+L317*M317*N317*1.1</f>
        <v>151.04100000000003</v>
      </c>
      <c r="Z317"/>
      <c r="AA317"/>
    </row>
    <row r="318" spans="1:27" x14ac:dyDescent="0.25">
      <c r="K318"/>
      <c r="Q318" s="219"/>
      <c r="Z318"/>
      <c r="AA318"/>
    </row>
    <row r="319" spans="1:27" x14ac:dyDescent="0.25">
      <c r="A319" t="s">
        <v>625</v>
      </c>
      <c r="K319"/>
      <c r="Q319" s="569">
        <f>SUM(AI326:AI331)</f>
        <v>19361.108230452675</v>
      </c>
      <c r="Z319"/>
      <c r="AA319"/>
    </row>
    <row r="320" spans="1:27" x14ac:dyDescent="0.25">
      <c r="K320"/>
      <c r="Z320"/>
      <c r="AA320"/>
    </row>
    <row r="321" spans="1:35" x14ac:dyDescent="0.25">
      <c r="A321" t="s">
        <v>577</v>
      </c>
      <c r="L321">
        <f>+L317</f>
        <v>69</v>
      </c>
      <c r="M321">
        <f>+M317</f>
        <v>7.96</v>
      </c>
      <c r="P321">
        <f>+L321*M321*1.1</f>
        <v>604.1640000000001</v>
      </c>
      <c r="Q321" s="219">
        <f>SUM(P321:P322)</f>
        <v>608.14400000000012</v>
      </c>
    </row>
    <row r="322" spans="1:35" x14ac:dyDescent="0.25">
      <c r="P322">
        <f>+M321*0.25*2</f>
        <v>3.98</v>
      </c>
    </row>
    <row r="324" spans="1:35" x14ac:dyDescent="0.25">
      <c r="A324" t="s">
        <v>707</v>
      </c>
      <c r="L324">
        <f>+L317</f>
        <v>69</v>
      </c>
      <c r="M324">
        <f>+M317</f>
        <v>7.96</v>
      </c>
      <c r="N324">
        <v>0.2</v>
      </c>
      <c r="Q324" s="219">
        <f>+L324*M324*N324*1.1</f>
        <v>120.83280000000002</v>
      </c>
      <c r="U324" s="607"/>
      <c r="V324" s="608"/>
      <c r="W324" s="609"/>
      <c r="X324" s="1133" t="s">
        <v>699</v>
      </c>
      <c r="Y324" s="1133"/>
      <c r="Z324" s="1133"/>
      <c r="AA324" s="1133"/>
      <c r="AB324" s="1133"/>
      <c r="AC324" s="1134" t="s">
        <v>700</v>
      </c>
      <c r="AD324" s="1134"/>
      <c r="AE324" s="1134"/>
      <c r="AF324" s="1134"/>
      <c r="AG324" s="1134"/>
      <c r="AH324" s="609"/>
      <c r="AI324" s="609"/>
    </row>
    <row r="325" spans="1:35" x14ac:dyDescent="0.25">
      <c r="U325" s="607"/>
      <c r="V325" s="608"/>
      <c r="W325" s="609"/>
      <c r="X325" s="610" t="s">
        <v>701</v>
      </c>
      <c r="Y325" s="610" t="s">
        <v>702</v>
      </c>
      <c r="Z325" s="610" t="s">
        <v>280</v>
      </c>
      <c r="AA325" s="610" t="s">
        <v>703</v>
      </c>
      <c r="AB325" s="610" t="s">
        <v>704</v>
      </c>
      <c r="AC325" s="610" t="s">
        <v>701</v>
      </c>
      <c r="AD325" s="610" t="s">
        <v>702</v>
      </c>
      <c r="AE325" s="610" t="s">
        <v>280</v>
      </c>
      <c r="AF325" s="610" t="s">
        <v>703</v>
      </c>
      <c r="AG325" s="610" t="s">
        <v>704</v>
      </c>
      <c r="AH325" s="609"/>
      <c r="AI325" s="610" t="s">
        <v>89</v>
      </c>
    </row>
    <row r="326" spans="1:35" x14ac:dyDescent="0.25">
      <c r="U326" s="607"/>
      <c r="V326" s="608" t="s">
        <v>705</v>
      </c>
      <c r="W326" s="609"/>
      <c r="X326" s="609">
        <v>8</v>
      </c>
      <c r="Y326" s="609">
        <v>6</v>
      </c>
      <c r="Z326" s="611">
        <f>69+69/6*0.05</f>
        <v>69.575000000000003</v>
      </c>
      <c r="AA326" s="611">
        <f>X326*Y326*Z326</f>
        <v>3339.6000000000004</v>
      </c>
      <c r="AB326" s="609">
        <v>16</v>
      </c>
      <c r="AC326" s="609">
        <v>35</v>
      </c>
      <c r="AD326" s="609">
        <v>6</v>
      </c>
      <c r="AE326" s="609">
        <f>+M317</f>
        <v>7.96</v>
      </c>
      <c r="AF326" s="609">
        <f>AC326*AD326*AE326</f>
        <v>1671.6</v>
      </c>
      <c r="AG326" s="609">
        <v>16</v>
      </c>
      <c r="AH326" s="609"/>
      <c r="AI326" s="612">
        <f>((16^2)/162)*(AA326+AF326)</f>
        <v>7918.9333333333343</v>
      </c>
    </row>
    <row r="327" spans="1:35" x14ac:dyDescent="0.25">
      <c r="A327" t="s">
        <v>584</v>
      </c>
      <c r="L327">
        <f>+L324</f>
        <v>69</v>
      </c>
      <c r="M327">
        <f>+M324</f>
        <v>7.96</v>
      </c>
      <c r="Q327" s="219">
        <f>+L327*M327*1.1</f>
        <v>604.1640000000001</v>
      </c>
      <c r="U327" s="607"/>
      <c r="V327" s="608"/>
      <c r="W327" s="609"/>
      <c r="X327" s="609"/>
      <c r="Y327" s="609"/>
      <c r="Z327" s="611"/>
      <c r="AA327" s="611"/>
      <c r="AB327" s="609"/>
      <c r="AC327" s="609"/>
      <c r="AD327" s="609"/>
      <c r="AE327" s="609"/>
      <c r="AF327" s="609"/>
      <c r="AG327" s="609"/>
      <c r="AH327" s="609"/>
      <c r="AI327" s="613"/>
    </row>
    <row r="328" spans="1:35" x14ac:dyDescent="0.25">
      <c r="U328" s="607"/>
      <c r="V328" s="608" t="s">
        <v>604</v>
      </c>
      <c r="W328" s="609"/>
      <c r="X328" s="609"/>
      <c r="Y328" s="609">
        <f>((AE328/0.15)+1)*2</f>
        <v>108.13333333333334</v>
      </c>
      <c r="Z328" s="611">
        <f>+Z326</f>
        <v>69.575000000000003</v>
      </c>
      <c r="AA328" s="611">
        <f>Y328*Z328</f>
        <v>7523.376666666667</v>
      </c>
      <c r="AB328" s="609">
        <v>10</v>
      </c>
      <c r="AC328" s="609"/>
      <c r="AD328" s="613">
        <f>((Z328/0.15)+1)*2</f>
        <v>929.66666666666674</v>
      </c>
      <c r="AE328" s="609">
        <f>+AE326</f>
        <v>7.96</v>
      </c>
      <c r="AF328" s="614">
        <f>AD328*AE328</f>
        <v>7400.1466666666674</v>
      </c>
      <c r="AG328" s="609">
        <v>10</v>
      </c>
      <c r="AH328" s="609"/>
      <c r="AI328" s="612">
        <f>((10^2)/162)*(AA328+AF328)</f>
        <v>9212.0514403292182</v>
      </c>
    </row>
    <row r="329" spans="1:35" x14ac:dyDescent="0.25">
      <c r="U329" s="607"/>
      <c r="V329" s="608"/>
      <c r="W329" s="609"/>
      <c r="X329" s="609"/>
      <c r="Y329" s="609"/>
      <c r="Z329" s="611"/>
      <c r="AA329" s="611"/>
      <c r="AB329" s="609"/>
      <c r="AC329" s="609"/>
      <c r="AD329" s="613"/>
      <c r="AE329" s="609"/>
      <c r="AF329" s="614"/>
      <c r="AG329" s="609"/>
      <c r="AH329" s="609"/>
      <c r="AI329" s="612"/>
    </row>
    <row r="330" spans="1:35" x14ac:dyDescent="0.25">
      <c r="A330" t="s">
        <v>708</v>
      </c>
      <c r="L330">
        <f>+L327</f>
        <v>69</v>
      </c>
      <c r="M330">
        <v>27.033000000000001</v>
      </c>
      <c r="Q330">
        <f>+L330*M330*1.1</f>
        <v>2051.8047000000001</v>
      </c>
      <c r="U330" s="607"/>
      <c r="V330" s="608"/>
      <c r="W330" s="609"/>
      <c r="X330" s="609"/>
      <c r="Y330" s="609"/>
      <c r="Z330" s="611"/>
      <c r="AA330" s="611"/>
      <c r="AB330" s="609"/>
      <c r="AC330" s="609"/>
      <c r="AD330" s="613"/>
      <c r="AE330" s="609"/>
      <c r="AF330" s="614"/>
      <c r="AG330" s="609"/>
      <c r="AH330" s="609"/>
      <c r="AI330" s="612"/>
    </row>
    <row r="331" spans="1:35" x14ac:dyDescent="0.25">
      <c r="U331" s="607"/>
      <c r="V331" s="608" t="s">
        <v>706</v>
      </c>
      <c r="W331" s="609"/>
      <c r="X331" s="609"/>
      <c r="Y331" s="613">
        <f>+Z326/0.15+1</f>
        <v>464.83333333333337</v>
      </c>
      <c r="Z331" s="611">
        <f>0.25*4</f>
        <v>1</v>
      </c>
      <c r="AA331" s="611">
        <f>+X326*Y332*Z331</f>
        <v>3720</v>
      </c>
      <c r="AB331" s="609">
        <v>8</v>
      </c>
      <c r="AC331" s="609"/>
      <c r="AD331" s="613">
        <f>+AE326/0.15+1</f>
        <v>54.06666666666667</v>
      </c>
      <c r="AE331" s="611">
        <f>0.25*4</f>
        <v>1</v>
      </c>
      <c r="AF331" s="611">
        <f>+AC326*AD332*AE331</f>
        <v>1925</v>
      </c>
      <c r="AG331" s="609">
        <v>8</v>
      </c>
      <c r="AH331" s="609"/>
      <c r="AI331" s="612">
        <f>((8^2)/162)*(AA331+AF331)</f>
        <v>2230.1234567901233</v>
      </c>
    </row>
    <row r="332" spans="1:35" x14ac:dyDescent="0.25">
      <c r="U332" s="607"/>
      <c r="V332" s="608"/>
      <c r="W332" s="609"/>
      <c r="X332" s="609"/>
      <c r="Y332" s="609">
        <v>465</v>
      </c>
      <c r="Z332" s="611"/>
      <c r="AA332" s="611"/>
      <c r="AB332" s="609"/>
      <c r="AC332" s="609"/>
      <c r="AD332" s="609">
        <v>55</v>
      </c>
      <c r="AE332" s="611"/>
      <c r="AF332" s="611"/>
      <c r="AG332" s="609"/>
      <c r="AH332" s="609"/>
      <c r="AI332" s="612"/>
    </row>
    <row r="333" spans="1:35" x14ac:dyDescent="0.25">
      <c r="U333" s="607"/>
      <c r="V333" s="608"/>
      <c r="W333" s="609"/>
      <c r="X333" s="609"/>
      <c r="Y333" s="609"/>
      <c r="Z333" s="611"/>
      <c r="AA333" s="611"/>
      <c r="AB333" s="609"/>
      <c r="AC333" s="609"/>
      <c r="AD333" s="613"/>
      <c r="AE333" s="609"/>
      <c r="AF333" s="614"/>
      <c r="AG333" s="609"/>
      <c r="AH333" s="609"/>
      <c r="AI333" s="612"/>
    </row>
  </sheetData>
  <mergeCells count="46">
    <mergeCell ref="A309:F309"/>
    <mergeCell ref="A293:F293"/>
    <mergeCell ref="A250:F250"/>
    <mergeCell ref="A253:F253"/>
    <mergeCell ref="A260:F260"/>
    <mergeCell ref="A265:F265"/>
    <mergeCell ref="A270:J270"/>
    <mergeCell ref="A271:F271"/>
    <mergeCell ref="A286:F286"/>
    <mergeCell ref="A301:F301"/>
    <mergeCell ref="A305:F305"/>
    <mergeCell ref="A282:F282"/>
    <mergeCell ref="A297:F297"/>
    <mergeCell ref="A278:F278"/>
    <mergeCell ref="A66:F66"/>
    <mergeCell ref="A75:J75"/>
    <mergeCell ref="A77:F77"/>
    <mergeCell ref="A80:F80"/>
    <mergeCell ref="A249:J249"/>
    <mergeCell ref="A86:F86"/>
    <mergeCell ref="A89:F89"/>
    <mergeCell ref="A96:F96"/>
    <mergeCell ref="A103:F103"/>
    <mergeCell ref="A118:F118"/>
    <mergeCell ref="A123:J123"/>
    <mergeCell ref="A124:F124"/>
    <mergeCell ref="A132:F132"/>
    <mergeCell ref="A169:F169"/>
    <mergeCell ref="A205:F205"/>
    <mergeCell ref="A244:F244"/>
    <mergeCell ref="X324:AB324"/>
    <mergeCell ref="AC324:AG324"/>
    <mergeCell ref="A312:F312"/>
    <mergeCell ref="A314:F314"/>
    <mergeCell ref="A1:J1"/>
    <mergeCell ref="A3:J3"/>
    <mergeCell ref="A4:F4"/>
    <mergeCell ref="A20:J20"/>
    <mergeCell ref="A83:F83"/>
    <mergeCell ref="A21:F21"/>
    <mergeCell ref="A29:F29"/>
    <mergeCell ref="A35:F35"/>
    <mergeCell ref="A36:F36"/>
    <mergeCell ref="A37:F37"/>
    <mergeCell ref="A58:F58"/>
    <mergeCell ref="A63:F63"/>
  </mergeCells>
  <pageMargins left="0.7" right="0.7" top="0.75" bottom="0.75" header="0.3" footer="0.3"/>
  <pageSetup paperSize="9" scale="70" orientation="portrait" r:id="rId1"/>
  <rowBreaks count="4" manualBreakCount="4">
    <brk id="19" max="9" man="1"/>
    <brk id="74" max="9" man="1"/>
    <brk id="122" max="9" man="1"/>
    <brk id="24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P557"/>
  <sheetViews>
    <sheetView zoomScaleNormal="100" workbookViewId="0">
      <selection activeCell="F8" sqref="F8"/>
    </sheetView>
  </sheetViews>
  <sheetFormatPr defaultColWidth="10.33203125" defaultRowHeight="11.4" x14ac:dyDescent="0.2"/>
  <cols>
    <col min="1" max="1" width="27.44140625" style="248" customWidth="1"/>
    <col min="2" max="2" width="10.44140625" style="242" customWidth="1"/>
    <col min="3" max="3" width="8.5546875" style="243" bestFit="1" customWidth="1"/>
    <col min="4" max="4" width="11" style="243" customWidth="1"/>
    <col min="5" max="5" width="9.109375" style="243" customWidth="1"/>
    <col min="6" max="6" width="11" style="244" customWidth="1"/>
    <col min="7" max="7" width="9.6640625" style="242" customWidth="1"/>
    <col min="8" max="8" width="13" style="245" customWidth="1"/>
    <col min="9" max="9" width="14.5546875" style="246" customWidth="1"/>
    <col min="10" max="10" width="13.33203125" style="246" customWidth="1"/>
    <col min="11" max="11" width="9.44140625" style="246" customWidth="1"/>
    <col min="12" max="12" width="10.33203125" style="246"/>
    <col min="13" max="13" width="12.88671875" style="246" bestFit="1" customWidth="1"/>
    <col min="14" max="14" width="13.5546875" style="247" bestFit="1" customWidth="1"/>
    <col min="15" max="15" width="10.33203125" style="246"/>
    <col min="16" max="16" width="12.88671875" style="246" bestFit="1" customWidth="1"/>
    <col min="17" max="16384" width="10.33203125" style="246"/>
  </cols>
  <sheetData>
    <row r="1" spans="1:16" ht="33.75" customHeight="1" x14ac:dyDescent="0.25">
      <c r="A1" s="241" t="s">
        <v>378</v>
      </c>
    </row>
    <row r="2" spans="1:16" ht="12.75" customHeight="1" x14ac:dyDescent="0.2"/>
    <row r="3" spans="1:16" x14ac:dyDescent="0.2">
      <c r="B3" s="242" t="s">
        <v>31</v>
      </c>
      <c r="C3" s="249" t="s">
        <v>379</v>
      </c>
      <c r="D3" s="249" t="s">
        <v>380</v>
      </c>
      <c r="E3" s="249" t="s">
        <v>381</v>
      </c>
      <c r="F3" s="244" t="s">
        <v>382</v>
      </c>
    </row>
    <row r="4" spans="1:16" ht="30" customHeight="1" x14ac:dyDescent="0.2">
      <c r="A4" s="250" t="s">
        <v>383</v>
      </c>
      <c r="G4" s="242" t="s">
        <v>68</v>
      </c>
      <c r="J4" s="251"/>
    </row>
    <row r="5" spans="1:16" ht="15.75" customHeight="1" x14ac:dyDescent="0.2">
      <c r="A5" s="248" t="s">
        <v>384</v>
      </c>
      <c r="B5" s="252">
        <v>1</v>
      </c>
      <c r="C5" s="253">
        <v>60</v>
      </c>
      <c r="D5" s="253">
        <v>1.5</v>
      </c>
      <c r="E5" s="253">
        <f>0.775*3/4</f>
        <v>0.58125000000000004</v>
      </c>
      <c r="F5" s="244">
        <f>B5*C5*D5*E5</f>
        <v>52.312500000000007</v>
      </c>
      <c r="I5" s="247"/>
      <c r="J5" s="254"/>
      <c r="O5" s="255"/>
      <c r="P5" s="256"/>
    </row>
    <row r="6" spans="1:16" ht="15.75" customHeight="1" x14ac:dyDescent="0.2">
      <c r="A6" s="248" t="s">
        <v>385</v>
      </c>
      <c r="B6" s="252">
        <v>1</v>
      </c>
      <c r="C6" s="253">
        <v>114</v>
      </c>
      <c r="D6" s="253"/>
      <c r="E6" s="253"/>
      <c r="F6" s="244">
        <f>B6*C6*D6*E6</f>
        <v>0</v>
      </c>
      <c r="H6" s="245">
        <f>SUM(F5:F7)</f>
        <v>52.312500000000007</v>
      </c>
      <c r="I6" s="247"/>
      <c r="J6" s="254"/>
      <c r="O6" s="255"/>
      <c r="P6" s="256"/>
    </row>
    <row r="7" spans="1:16" ht="15.75" customHeight="1" x14ac:dyDescent="0.2">
      <c r="B7" s="252"/>
      <c r="C7" s="253"/>
      <c r="D7" s="253"/>
      <c r="E7" s="253"/>
      <c r="F7" s="244">
        <f>B7*C7*D7*E7</f>
        <v>0</v>
      </c>
      <c r="I7" s="247"/>
      <c r="J7" s="254"/>
      <c r="O7" s="255"/>
      <c r="P7" s="256"/>
    </row>
    <row r="8" spans="1:16" ht="15.75" customHeight="1" x14ac:dyDescent="0.2">
      <c r="A8" s="248" t="s">
        <v>386</v>
      </c>
      <c r="B8" s="252">
        <v>2</v>
      </c>
      <c r="C8" s="253">
        <v>60</v>
      </c>
      <c r="D8" s="253">
        <v>0.125</v>
      </c>
      <c r="E8" s="253">
        <v>0.6</v>
      </c>
      <c r="F8" s="244">
        <f>B8*C8*D8*E8</f>
        <v>9</v>
      </c>
      <c r="I8" s="247"/>
      <c r="J8" s="254"/>
      <c r="O8" s="255"/>
      <c r="P8" s="256"/>
    </row>
    <row r="9" spans="1:16" ht="15" customHeight="1" x14ac:dyDescent="0.25">
      <c r="B9" s="252"/>
      <c r="C9" s="253"/>
      <c r="D9" s="253"/>
      <c r="E9" s="253"/>
      <c r="G9" s="257"/>
      <c r="J9" s="256"/>
    </row>
    <row r="10" spans="1:16" ht="15" customHeight="1" x14ac:dyDescent="0.25">
      <c r="B10" s="252"/>
      <c r="C10" s="253"/>
      <c r="D10" s="253"/>
      <c r="E10" s="253"/>
      <c r="G10" s="257"/>
      <c r="J10" s="256"/>
    </row>
    <row r="11" spans="1:16" ht="15.75" customHeight="1" x14ac:dyDescent="0.25">
      <c r="B11" s="252"/>
      <c r="C11" s="253"/>
      <c r="D11" s="258"/>
      <c r="E11" s="258"/>
      <c r="G11" s="259">
        <f>SUM(F5:F11)</f>
        <v>61.312500000000007</v>
      </c>
      <c r="J11" s="254"/>
    </row>
    <row r="12" spans="1:16" ht="15.75" customHeight="1" x14ac:dyDescent="0.25">
      <c r="B12" s="252"/>
      <c r="C12" s="253"/>
      <c r="D12" s="258"/>
      <c r="E12" s="258"/>
      <c r="G12" s="257"/>
      <c r="J12" s="254"/>
    </row>
    <row r="13" spans="1:16" ht="15" customHeight="1" x14ac:dyDescent="0.25">
      <c r="B13" s="252"/>
      <c r="C13" s="253"/>
      <c r="D13" s="258"/>
      <c r="E13" s="253"/>
      <c r="F13" s="252"/>
      <c r="G13" s="260"/>
      <c r="I13" s="256"/>
      <c r="J13" s="256"/>
    </row>
    <row r="14" spans="1:16" ht="15" customHeight="1" x14ac:dyDescent="0.25">
      <c r="A14" s="241" t="s">
        <v>387</v>
      </c>
      <c r="B14" s="252"/>
      <c r="C14" s="253"/>
      <c r="D14" s="253" t="s">
        <v>388</v>
      </c>
      <c r="E14" s="253"/>
      <c r="F14" s="261"/>
      <c r="G14" s="260"/>
      <c r="J14" s="256"/>
      <c r="M14" s="246">
        <f>50*10</f>
        <v>500</v>
      </c>
      <c r="N14" s="247">
        <f>M14*30000</f>
        <v>15000000</v>
      </c>
    </row>
    <row r="15" spans="1:16" ht="15" customHeight="1" x14ac:dyDescent="0.25">
      <c r="A15" s="248" t="s">
        <v>383</v>
      </c>
      <c r="B15" s="252" t="s">
        <v>68</v>
      </c>
      <c r="C15" s="253">
        <v>50</v>
      </c>
      <c r="D15" s="258">
        <v>5.5</v>
      </c>
      <c r="E15" s="253"/>
      <c r="F15" s="261"/>
      <c r="G15" s="260">
        <f>D15*C15</f>
        <v>275</v>
      </c>
      <c r="I15" s="256"/>
      <c r="J15" s="256"/>
    </row>
    <row r="16" spans="1:16" ht="15" customHeight="1" x14ac:dyDescent="0.25">
      <c r="B16" s="252"/>
      <c r="C16" s="253">
        <v>50</v>
      </c>
      <c r="D16" s="258">
        <v>16.2</v>
      </c>
      <c r="E16" s="253"/>
      <c r="F16" s="261"/>
      <c r="G16" s="260">
        <f>D16*C16</f>
        <v>810</v>
      </c>
      <c r="H16" s="245">
        <f>SUM(G15:G16)</f>
        <v>1085</v>
      </c>
      <c r="I16" s="256"/>
      <c r="J16" s="256"/>
    </row>
    <row r="17" spans="1:14" ht="15" customHeight="1" x14ac:dyDescent="0.25">
      <c r="B17" s="252"/>
      <c r="C17" s="253"/>
      <c r="D17" s="258"/>
      <c r="E17" s="253"/>
      <c r="F17" s="261"/>
      <c r="G17" s="260"/>
      <c r="I17" s="256"/>
      <c r="J17" s="256"/>
    </row>
    <row r="18" spans="1:14" ht="15" customHeight="1" x14ac:dyDescent="0.25">
      <c r="A18" s="248" t="s">
        <v>389</v>
      </c>
      <c r="B18" s="252" t="s">
        <v>68</v>
      </c>
      <c r="C18" s="253">
        <v>50</v>
      </c>
      <c r="D18" s="258">
        <v>16.2</v>
      </c>
      <c r="E18" s="253"/>
      <c r="F18" s="261"/>
      <c r="G18" s="260">
        <f>D18*C18</f>
        <v>810</v>
      </c>
      <c r="I18" s="256"/>
      <c r="J18" s="256"/>
    </row>
    <row r="19" spans="1:14" ht="15" customHeight="1" x14ac:dyDescent="0.25">
      <c r="B19" s="252"/>
      <c r="C19" s="253"/>
      <c r="D19" s="258"/>
      <c r="E19" s="253"/>
      <c r="F19" s="261"/>
      <c r="G19" s="260"/>
      <c r="I19" s="256"/>
      <c r="J19" s="256">
        <v>2</v>
      </c>
    </row>
    <row r="20" spans="1:14" s="268" customFormat="1" x14ac:dyDescent="0.2">
      <c r="A20" s="262"/>
      <c r="B20" s="263"/>
      <c r="C20" s="264"/>
      <c r="D20" s="264"/>
      <c r="E20" s="264"/>
      <c r="F20" s="265"/>
      <c r="G20" s="266"/>
      <c r="H20" s="267"/>
      <c r="J20" s="269"/>
      <c r="N20" s="270"/>
    </row>
    <row r="21" spans="1:14" ht="15" customHeight="1" x14ac:dyDescent="0.2">
      <c r="B21" s="271"/>
      <c r="C21" s="272"/>
      <c r="D21" s="272"/>
      <c r="E21" s="272"/>
      <c r="F21" s="273"/>
      <c r="H21" s="274"/>
      <c r="J21" s="256"/>
      <c r="N21" s="275"/>
    </row>
    <row r="22" spans="1:14" ht="15" customHeight="1" x14ac:dyDescent="0.2">
      <c r="B22" s="252"/>
      <c r="C22" s="253"/>
      <c r="D22" s="253"/>
      <c r="E22" s="253"/>
      <c r="J22" s="256"/>
    </row>
    <row r="23" spans="1:14" s="282" customFormat="1" ht="29.25" customHeight="1" x14ac:dyDescent="0.25">
      <c r="A23" s="250" t="s">
        <v>390</v>
      </c>
      <c r="B23" s="276"/>
      <c r="C23" s="277"/>
      <c r="D23" s="277"/>
      <c r="E23" s="277"/>
      <c r="F23" s="278"/>
      <c r="G23" s="279"/>
      <c r="H23" s="280" t="s">
        <v>68</v>
      </c>
      <c r="I23" s="281">
        <f>D24*F24</f>
        <v>3.1E-2</v>
      </c>
      <c r="M23" s="283">
        <f>(75000*121)/12</f>
        <v>756250</v>
      </c>
      <c r="N23" s="283"/>
    </row>
    <row r="24" spans="1:14" ht="16.5" customHeight="1" x14ac:dyDescent="0.25">
      <c r="A24" s="248" t="str">
        <f>A5</f>
        <v>DSRA</v>
      </c>
      <c r="C24" s="243">
        <f>C5</f>
        <v>60</v>
      </c>
      <c r="D24" s="243">
        <v>0.62</v>
      </c>
      <c r="F24" s="284">
        <v>0.05</v>
      </c>
      <c r="G24" s="273">
        <f>PRODUCT(B24:F24)</f>
        <v>1.8600000000000003</v>
      </c>
      <c r="H24" s="285">
        <f>SUM(G24)</f>
        <v>1.8600000000000003</v>
      </c>
      <c r="I24" s="275"/>
    </row>
    <row r="25" spans="1:14" ht="16.5" customHeight="1" x14ac:dyDescent="0.25">
      <c r="A25" s="248" t="str">
        <f>A6</f>
        <v>Kerb</v>
      </c>
      <c r="C25" s="243">
        <f>C6</f>
        <v>114</v>
      </c>
      <c r="D25" s="243">
        <v>1.5</v>
      </c>
      <c r="F25" s="284">
        <v>0.05</v>
      </c>
      <c r="G25" s="273">
        <f>PRODUCT(B25:F25)</f>
        <v>8.5500000000000007</v>
      </c>
      <c r="H25" s="285">
        <f>SUM(G25)</f>
        <v>8.5500000000000007</v>
      </c>
      <c r="I25" s="275"/>
    </row>
    <row r="26" spans="1:14" ht="16.5" customHeight="1" x14ac:dyDescent="0.25">
      <c r="F26" s="284"/>
      <c r="G26" s="273"/>
      <c r="H26" s="286"/>
      <c r="I26" s="275"/>
    </row>
    <row r="27" spans="1:14" ht="16.5" customHeight="1" x14ac:dyDescent="0.25">
      <c r="F27" s="284"/>
      <c r="G27" s="273"/>
      <c r="H27" s="286"/>
      <c r="I27" s="275"/>
    </row>
    <row r="28" spans="1:14" ht="16.5" customHeight="1" x14ac:dyDescent="0.25">
      <c r="F28" s="284"/>
      <c r="G28" s="273"/>
      <c r="H28" s="286"/>
      <c r="I28" s="275"/>
      <c r="L28" s="246">
        <f>10600*42</f>
        <v>445200</v>
      </c>
    </row>
    <row r="29" spans="1:14" ht="21.75" customHeight="1" x14ac:dyDescent="0.25">
      <c r="F29" s="284"/>
      <c r="G29" s="273"/>
      <c r="H29" s="287"/>
      <c r="I29" s="275"/>
    </row>
    <row r="30" spans="1:14" ht="18" customHeight="1" x14ac:dyDescent="0.25">
      <c r="F30" s="284"/>
      <c r="G30" s="273"/>
      <c r="H30" s="287"/>
      <c r="I30" s="275"/>
    </row>
    <row r="31" spans="1:14" ht="18" customHeight="1" x14ac:dyDescent="0.25">
      <c r="A31" s="248" t="s">
        <v>391</v>
      </c>
      <c r="D31" s="243" t="s">
        <v>388</v>
      </c>
      <c r="F31" s="284"/>
      <c r="G31" s="273"/>
      <c r="H31" s="286"/>
      <c r="I31" s="275"/>
    </row>
    <row r="32" spans="1:14" ht="18" customHeight="1" x14ac:dyDescent="0.25">
      <c r="B32" s="242" t="s">
        <v>68</v>
      </c>
      <c r="C32" s="243">
        <v>50</v>
      </c>
      <c r="D32" s="243">
        <v>12</v>
      </c>
      <c r="F32" s="284">
        <f>D32*C32</f>
        <v>600</v>
      </c>
      <c r="G32" s="273" t="s">
        <v>68</v>
      </c>
      <c r="H32" s="286"/>
      <c r="I32" s="275"/>
    </row>
    <row r="33" spans="1:14" ht="18" customHeight="1" x14ac:dyDescent="0.25">
      <c r="F33" s="284"/>
      <c r="G33" s="273"/>
      <c r="H33" s="286"/>
      <c r="I33" s="275"/>
    </row>
    <row r="34" spans="1:14" ht="21.75" customHeight="1" x14ac:dyDescent="0.25">
      <c r="A34" s="248" t="s">
        <v>392</v>
      </c>
      <c r="B34" s="242" t="s">
        <v>59</v>
      </c>
      <c r="C34" s="243">
        <v>50</v>
      </c>
      <c r="D34" s="243">
        <v>12.8</v>
      </c>
      <c r="F34" s="284">
        <f>D34*C34</f>
        <v>640</v>
      </c>
      <c r="G34" s="273"/>
      <c r="H34" s="286"/>
      <c r="I34" s="275"/>
    </row>
    <row r="35" spans="1:14" ht="18.75" hidden="1" customHeight="1" x14ac:dyDescent="0.25">
      <c r="A35" s="248" t="s">
        <v>393</v>
      </c>
      <c r="C35" s="243" t="e">
        <f>#REF!</f>
        <v>#REF!</v>
      </c>
      <c r="D35" s="243">
        <v>3</v>
      </c>
      <c r="F35" s="284" t="e">
        <f>D35*C35</f>
        <v>#REF!</v>
      </c>
      <c r="G35" s="273" t="e">
        <f>PRODUCT(B35:F35)</f>
        <v>#REF!</v>
      </c>
      <c r="H35" s="286" t="e">
        <f>SUM(G35:G35)</f>
        <v>#REF!</v>
      </c>
      <c r="I35" s="275"/>
    </row>
    <row r="36" spans="1:14" ht="19.5" hidden="1" customHeight="1" x14ac:dyDescent="0.25">
      <c r="A36" s="248" t="s">
        <v>394</v>
      </c>
      <c r="C36" s="243">
        <v>7</v>
      </c>
      <c r="D36" s="243">
        <v>0.9</v>
      </c>
      <c r="E36" s="243">
        <v>0.9</v>
      </c>
      <c r="F36" s="284">
        <f>D36*C36</f>
        <v>6.3</v>
      </c>
      <c r="G36" s="273">
        <f>PRODUCT(B36:F36)</f>
        <v>35.720999999999997</v>
      </c>
      <c r="H36" s="286">
        <f>G36</f>
        <v>35.720999999999997</v>
      </c>
      <c r="I36" s="275"/>
      <c r="N36" s="275"/>
    </row>
    <row r="37" spans="1:14" s="268" customFormat="1" x14ac:dyDescent="0.2">
      <c r="A37" s="262"/>
      <c r="B37" s="288"/>
      <c r="C37" s="289"/>
      <c r="D37" s="289"/>
      <c r="E37" s="289"/>
      <c r="F37" s="290"/>
      <c r="G37" s="265"/>
      <c r="H37" s="291"/>
      <c r="I37" s="270"/>
      <c r="N37" s="270"/>
    </row>
    <row r="38" spans="1:14" x14ac:dyDescent="0.2">
      <c r="F38" s="284"/>
      <c r="G38" s="273"/>
      <c r="H38" s="292"/>
      <c r="I38" s="275"/>
      <c r="N38" s="275"/>
    </row>
    <row r="39" spans="1:14" s="282" customFormat="1" ht="36" customHeight="1" x14ac:dyDescent="0.25">
      <c r="A39" s="250" t="s">
        <v>395</v>
      </c>
      <c r="B39" s="276"/>
      <c r="C39" s="277"/>
      <c r="D39" s="277"/>
      <c r="E39" s="277"/>
      <c r="F39" s="278"/>
      <c r="G39" s="279"/>
      <c r="H39" s="280" t="s">
        <v>68</v>
      </c>
      <c r="I39" s="281"/>
      <c r="J39" s="293" t="s">
        <v>396</v>
      </c>
      <c r="N39" s="283"/>
    </row>
    <row r="40" spans="1:14" ht="12" x14ac:dyDescent="0.25">
      <c r="A40" s="248" t="str">
        <f>A24</f>
        <v>DSRA</v>
      </c>
      <c r="B40" s="242" t="s">
        <v>397</v>
      </c>
      <c r="C40" s="243">
        <v>2</v>
      </c>
      <c r="D40" s="243">
        <f>C5</f>
        <v>60</v>
      </c>
      <c r="E40" s="243">
        <v>0.78</v>
      </c>
      <c r="F40" s="284">
        <v>0.15</v>
      </c>
      <c r="G40" s="273">
        <f>PRODUCT(C40:F40)</f>
        <v>14.040000000000001</v>
      </c>
      <c r="H40" s="286"/>
      <c r="I40" s="275">
        <f>E40*F40</f>
        <v>0.11699999999999999</v>
      </c>
      <c r="L40" s="256">
        <f>H41/415</f>
        <v>4.5036144578313259E-2</v>
      </c>
    </row>
    <row r="41" spans="1:14" ht="12" x14ac:dyDescent="0.25">
      <c r="A41" s="248" t="str">
        <f>A40</f>
        <v>DSRA</v>
      </c>
      <c r="B41" s="242" t="s">
        <v>398</v>
      </c>
      <c r="C41" s="243">
        <v>1</v>
      </c>
      <c r="D41" s="243">
        <f>D40</f>
        <v>60</v>
      </c>
      <c r="E41" s="243">
        <v>0.62</v>
      </c>
      <c r="F41" s="284">
        <v>0.125</v>
      </c>
      <c r="G41" s="273">
        <f>PRODUCT(C41:F41)</f>
        <v>4.6500000000000004</v>
      </c>
      <c r="H41" s="285">
        <f>SUM(G40:G41)</f>
        <v>18.690000000000001</v>
      </c>
      <c r="I41" s="275">
        <f>E41*F41</f>
        <v>7.7499999999999999E-2</v>
      </c>
      <c r="J41" s="256">
        <f>ROUNDUP(D40/6,0)</f>
        <v>10</v>
      </c>
    </row>
    <row r="42" spans="1:14" ht="12" x14ac:dyDescent="0.25">
      <c r="F42" s="284"/>
      <c r="G42" s="273"/>
      <c r="H42" s="286"/>
      <c r="I42" s="275">
        <f>SUM(I40:I41)</f>
        <v>0.19450000000000001</v>
      </c>
    </row>
    <row r="43" spans="1:14" ht="12" x14ac:dyDescent="0.25">
      <c r="A43" s="248" t="str">
        <f>A25</f>
        <v>Kerb</v>
      </c>
      <c r="B43" s="242" t="s">
        <v>397</v>
      </c>
      <c r="C43" s="243">
        <v>1</v>
      </c>
      <c r="D43" s="243">
        <f>C6</f>
        <v>114</v>
      </c>
      <c r="E43" s="243">
        <v>0.2</v>
      </c>
      <c r="F43" s="284">
        <v>0.1</v>
      </c>
      <c r="G43" s="273">
        <f>PRODUCT(C43:F43)</f>
        <v>2.2800000000000002</v>
      </c>
      <c r="H43" s="286"/>
      <c r="I43" s="275">
        <f>E43*F43</f>
        <v>2.0000000000000004E-2</v>
      </c>
      <c r="L43" s="256">
        <f>H44/415</f>
        <v>4.6698795180722896E-2</v>
      </c>
    </row>
    <row r="44" spans="1:14" ht="12" x14ac:dyDescent="0.25">
      <c r="A44" s="248" t="str">
        <f>A43</f>
        <v>Kerb</v>
      </c>
      <c r="B44" s="242" t="s">
        <v>398</v>
      </c>
      <c r="C44" s="243">
        <v>1</v>
      </c>
      <c r="D44" s="243">
        <f>D43</f>
        <v>114</v>
      </c>
      <c r="E44" s="243">
        <v>1.5</v>
      </c>
      <c r="F44" s="284">
        <v>0.1</v>
      </c>
      <c r="G44" s="273">
        <f>PRODUCT(C44:F44)</f>
        <v>17.100000000000001</v>
      </c>
      <c r="H44" s="285">
        <f>SUM(G43:G45)</f>
        <v>19.380000000000003</v>
      </c>
      <c r="I44" s="275">
        <f>E44*F44</f>
        <v>0.15000000000000002</v>
      </c>
      <c r="J44" s="256">
        <f>ROUNDUP(D43/6,0)</f>
        <v>19</v>
      </c>
    </row>
    <row r="45" spans="1:14" ht="12" x14ac:dyDescent="0.25">
      <c r="F45" s="284"/>
      <c r="G45" s="273"/>
      <c r="H45" s="286"/>
      <c r="I45" s="275"/>
      <c r="L45" s="256"/>
    </row>
    <row r="46" spans="1:14" ht="12" x14ac:dyDescent="0.25">
      <c r="F46" s="284"/>
      <c r="G46" s="273"/>
      <c r="H46" s="286"/>
      <c r="I46" s="275"/>
      <c r="J46" s="256"/>
    </row>
    <row r="47" spans="1:14" ht="12" x14ac:dyDescent="0.25">
      <c r="F47" s="284"/>
      <c r="G47" s="273"/>
      <c r="H47" s="286"/>
      <c r="I47" s="275"/>
      <c r="J47" s="294"/>
    </row>
    <row r="48" spans="1:14" ht="12" x14ac:dyDescent="0.25">
      <c r="F48" s="284"/>
      <c r="G48" s="273"/>
      <c r="H48" s="286"/>
      <c r="I48" s="275"/>
      <c r="L48" s="256">
        <f>H49/415</f>
        <v>0</v>
      </c>
    </row>
    <row r="49" spans="2:12" ht="12" x14ac:dyDescent="0.25">
      <c r="F49" s="284"/>
      <c r="G49" s="273"/>
      <c r="H49" s="286"/>
      <c r="I49" s="275"/>
      <c r="J49" s="256"/>
    </row>
    <row r="50" spans="2:12" ht="12" x14ac:dyDescent="0.25">
      <c r="F50" s="284"/>
      <c r="G50" s="273"/>
      <c r="H50" s="286"/>
      <c r="I50" s="275"/>
      <c r="L50" s="256"/>
    </row>
    <row r="51" spans="2:12" ht="12" x14ac:dyDescent="0.25">
      <c r="F51" s="284"/>
      <c r="G51" s="273"/>
      <c r="H51" s="286"/>
      <c r="I51" s="275"/>
      <c r="L51" s="256">
        <f>H52/415</f>
        <v>0</v>
      </c>
    </row>
    <row r="52" spans="2:12" ht="12" x14ac:dyDescent="0.25">
      <c r="F52" s="284"/>
      <c r="G52" s="273"/>
      <c r="H52" s="286"/>
      <c r="I52" s="275"/>
      <c r="J52" s="256"/>
    </row>
    <row r="53" spans="2:12" ht="12" x14ac:dyDescent="0.25">
      <c r="F53" s="284"/>
      <c r="G53" s="273"/>
      <c r="H53" s="286"/>
      <c r="I53" s="275"/>
    </row>
    <row r="54" spans="2:12" ht="12" x14ac:dyDescent="0.25">
      <c r="F54" s="284"/>
      <c r="G54" s="273"/>
      <c r="H54" s="286"/>
      <c r="I54" s="275"/>
    </row>
    <row r="55" spans="2:12" ht="12" x14ac:dyDescent="0.25">
      <c r="F55" s="284"/>
      <c r="G55" s="273"/>
      <c r="H55" s="286"/>
      <c r="I55" s="275"/>
    </row>
    <row r="56" spans="2:12" ht="12" x14ac:dyDescent="0.25">
      <c r="F56" s="284"/>
      <c r="G56" s="273"/>
      <c r="H56" s="286"/>
      <c r="I56" s="275"/>
      <c r="J56" s="294"/>
    </row>
    <row r="57" spans="2:12" ht="12" x14ac:dyDescent="0.25">
      <c r="F57" s="284"/>
      <c r="G57" s="273"/>
      <c r="H57" s="286"/>
      <c r="I57" s="275"/>
    </row>
    <row r="58" spans="2:12" ht="12" x14ac:dyDescent="0.25">
      <c r="F58" s="284"/>
      <c r="G58" s="273"/>
      <c r="H58" s="286"/>
      <c r="I58" s="275"/>
      <c r="J58" s="294"/>
    </row>
    <row r="59" spans="2:12" ht="12" x14ac:dyDescent="0.25">
      <c r="F59" s="284"/>
      <c r="G59" s="273"/>
      <c r="H59" s="286"/>
      <c r="I59" s="275"/>
      <c r="L59" s="256"/>
    </row>
    <row r="60" spans="2:12" ht="13.2" x14ac:dyDescent="0.25">
      <c r="B60"/>
      <c r="F60" s="284"/>
      <c r="G60" s="295"/>
      <c r="H60" s="286"/>
      <c r="I60" s="275"/>
      <c r="J60" s="294"/>
      <c r="K60"/>
      <c r="L60"/>
    </row>
    <row r="61" spans="2:12" ht="13.5" customHeight="1" x14ac:dyDescent="0.25">
      <c r="F61" s="284"/>
      <c r="G61" s="273"/>
      <c r="H61" s="286"/>
      <c r="I61" s="275"/>
      <c r="J61" s="294"/>
    </row>
    <row r="62" spans="2:12" ht="15" customHeight="1" x14ac:dyDescent="0.25">
      <c r="F62" s="284"/>
      <c r="G62" s="273"/>
      <c r="H62" s="286"/>
      <c r="I62" s="275"/>
      <c r="J62" s="294"/>
    </row>
    <row r="63" spans="2:12" ht="15" customHeight="1" x14ac:dyDescent="0.25">
      <c r="F63" s="284"/>
      <c r="G63" s="273"/>
      <c r="H63" s="286"/>
      <c r="I63" s="275"/>
      <c r="J63" s="294"/>
    </row>
    <row r="64" spans="2:12" ht="15" customHeight="1" x14ac:dyDescent="0.25">
      <c r="F64" s="284"/>
      <c r="G64" s="273"/>
      <c r="H64" s="286"/>
      <c r="I64" s="275"/>
      <c r="J64" s="294"/>
    </row>
    <row r="65" spans="1:15" ht="12" x14ac:dyDescent="0.25">
      <c r="F65" s="284"/>
      <c r="G65" s="273"/>
      <c r="H65" s="286"/>
      <c r="I65" s="275"/>
    </row>
    <row r="66" spans="1:15" ht="12" x14ac:dyDescent="0.25">
      <c r="F66" s="284"/>
      <c r="G66" s="273"/>
      <c r="H66" s="286"/>
      <c r="I66" s="275"/>
    </row>
    <row r="67" spans="1:15" ht="12" x14ac:dyDescent="0.25">
      <c r="F67" s="284"/>
      <c r="G67" s="273"/>
      <c r="H67" s="286"/>
      <c r="I67" s="275"/>
    </row>
    <row r="68" spans="1:15" ht="25.5" hidden="1" customHeight="1" x14ac:dyDescent="0.25">
      <c r="A68" s="241" t="s">
        <v>399</v>
      </c>
      <c r="C68" s="243" t="s">
        <v>400</v>
      </c>
      <c r="D68" s="243" t="s">
        <v>401</v>
      </c>
      <c r="E68" s="243" t="s">
        <v>402</v>
      </c>
      <c r="F68" s="284" t="s">
        <v>403</v>
      </c>
      <c r="G68" s="273" t="s">
        <v>68</v>
      </c>
      <c r="H68" s="286"/>
      <c r="I68" s="275"/>
    </row>
    <row r="69" spans="1:15" ht="12" hidden="1" x14ac:dyDescent="0.25">
      <c r="A69" s="248" t="s">
        <v>404</v>
      </c>
      <c r="C69" s="243">
        <v>1</v>
      </c>
      <c r="D69" s="243">
        <v>3</v>
      </c>
      <c r="E69" s="243">
        <v>0.8</v>
      </c>
      <c r="F69" s="284">
        <v>0.125</v>
      </c>
      <c r="G69" s="273">
        <f>PRODUCT(C69:F69)</f>
        <v>0.30000000000000004</v>
      </c>
      <c r="H69" s="286"/>
      <c r="I69" s="275"/>
      <c r="J69" s="294">
        <f>ROUNDUP(D69/6,0)</f>
        <v>1</v>
      </c>
    </row>
    <row r="70" spans="1:15" ht="12" hidden="1" x14ac:dyDescent="0.25">
      <c r="C70" s="243">
        <v>2</v>
      </c>
      <c r="D70" s="243">
        <v>3</v>
      </c>
      <c r="E70" s="243">
        <v>1.1000000000000001</v>
      </c>
      <c r="F70" s="284">
        <v>0.17499999999999999</v>
      </c>
      <c r="G70" s="273">
        <f>PRODUCT(C70:F70)</f>
        <v>1.155</v>
      </c>
      <c r="H70" s="286">
        <f>SUM(G69:G70)</f>
        <v>1.4550000000000001</v>
      </c>
      <c r="I70" s="275"/>
    </row>
    <row r="71" spans="1:15" s="268" customFormat="1" x14ac:dyDescent="0.2">
      <c r="A71" s="262"/>
      <c r="B71" s="288"/>
      <c r="C71" s="289"/>
      <c r="D71" s="289"/>
      <c r="E71" s="289"/>
      <c r="F71" s="290"/>
      <c r="G71" s="265"/>
      <c r="H71" s="291"/>
      <c r="I71" s="270"/>
      <c r="N71" s="270"/>
    </row>
    <row r="72" spans="1:15" x14ac:dyDescent="0.2">
      <c r="F72" s="284"/>
      <c r="G72" s="273"/>
      <c r="H72" s="292"/>
      <c r="I72" s="275"/>
      <c r="N72" s="275"/>
    </row>
    <row r="73" spans="1:15" ht="12" x14ac:dyDescent="0.25">
      <c r="F73" s="284"/>
      <c r="G73" s="273"/>
      <c r="H73" s="286"/>
      <c r="I73" s="275"/>
      <c r="J73" s="256"/>
    </row>
    <row r="74" spans="1:15" s="305" customFormat="1" ht="31.5" customHeight="1" x14ac:dyDescent="0.25">
      <c r="A74" s="250" t="s">
        <v>405</v>
      </c>
      <c r="B74" s="296"/>
      <c r="C74" s="297"/>
      <c r="D74" s="298" t="s">
        <v>406</v>
      </c>
      <c r="E74" s="299" t="s">
        <v>407</v>
      </c>
      <c r="F74" s="300" t="s">
        <v>408</v>
      </c>
      <c r="G74" s="301"/>
      <c r="H74" s="302" t="s">
        <v>409</v>
      </c>
      <c r="I74" s="303"/>
      <c r="J74" s="304" t="s">
        <v>410</v>
      </c>
      <c r="N74" s="306">
        <f>10*10</f>
        <v>100</v>
      </c>
      <c r="O74" s="305">
        <f>N74/158.158</f>
        <v>0.63227911329177156</v>
      </c>
    </row>
    <row r="75" spans="1:15" ht="17.25" hidden="1" customHeight="1" x14ac:dyDescent="0.2">
      <c r="F75" s="284"/>
      <c r="G75" s="273"/>
      <c r="H75" s="292"/>
      <c r="I75" s="275"/>
      <c r="J75" s="246">
        <f>230/6</f>
        <v>38.333333333333336</v>
      </c>
      <c r="K75" s="246">
        <v>39</v>
      </c>
    </row>
    <row r="76" spans="1:15" ht="13.5" hidden="1" customHeight="1" x14ac:dyDescent="0.2">
      <c r="F76" s="284"/>
      <c r="G76" s="273"/>
      <c r="H76" s="292"/>
      <c r="I76" s="275"/>
    </row>
    <row r="77" spans="1:15" ht="13.5" hidden="1" customHeight="1" x14ac:dyDescent="0.2">
      <c r="F77" s="284"/>
      <c r="G77" s="273"/>
      <c r="H77" s="292"/>
      <c r="I77" s="275"/>
    </row>
    <row r="78" spans="1:15" hidden="1" x14ac:dyDescent="0.2">
      <c r="F78" s="284"/>
      <c r="G78" s="273"/>
      <c r="H78" s="292"/>
      <c r="I78" s="275"/>
      <c r="J78" s="256">
        <f>D165/6</f>
        <v>39.166666666666664</v>
      </c>
      <c r="K78" s="246">
        <v>7</v>
      </c>
    </row>
    <row r="79" spans="1:15" ht="6.75" customHeight="1" x14ac:dyDescent="0.2">
      <c r="F79" s="284"/>
      <c r="G79" s="273"/>
      <c r="H79" s="292"/>
      <c r="I79" s="275"/>
    </row>
    <row r="80" spans="1:15" x14ac:dyDescent="0.2">
      <c r="F80" s="284"/>
      <c r="G80" s="273"/>
      <c r="H80" s="292"/>
      <c r="I80" s="275"/>
    </row>
    <row r="81" spans="1:10" ht="13.2" x14ac:dyDescent="0.25">
      <c r="A81" s="248" t="str">
        <f>A40</f>
        <v>DSRA</v>
      </c>
      <c r="B81" s="307" t="s">
        <v>411</v>
      </c>
      <c r="C81" s="243">
        <v>1</v>
      </c>
      <c r="D81" s="243">
        <f>D40/0.25+1</f>
        <v>241</v>
      </c>
      <c r="E81" s="243">
        <f>(620+2*780-8*50)/1000</f>
        <v>1.78</v>
      </c>
      <c r="F81" s="284">
        <v>0.62</v>
      </c>
      <c r="G81" s="273">
        <f>PRODUCT(C81:F81)</f>
        <v>265.9676</v>
      </c>
      <c r="H81" s="292"/>
      <c r="I81" s="275"/>
      <c r="J81" s="256">
        <f>D40/6</f>
        <v>10</v>
      </c>
    </row>
    <row r="82" spans="1:10" x14ac:dyDescent="0.2">
      <c r="A82" s="248" t="str">
        <f>A81</f>
        <v>DSRA</v>
      </c>
      <c r="B82" s="308" t="str">
        <f>B81</f>
        <v>Y10@ 250</v>
      </c>
      <c r="C82" s="243">
        <f>C41</f>
        <v>1</v>
      </c>
      <c r="D82" s="243">
        <f>E81/0.25+1</f>
        <v>8.120000000000001</v>
      </c>
      <c r="E82" s="243">
        <f>D40+(40*10*10/1000)</f>
        <v>64</v>
      </c>
      <c r="F82" s="284">
        <f>F81</f>
        <v>0.62</v>
      </c>
      <c r="G82" s="273">
        <f>PRODUCT(C82:F82)</f>
        <v>322.20160000000004</v>
      </c>
      <c r="H82" s="309">
        <f>SUM(G81:G82)</f>
        <v>588.16920000000005</v>
      </c>
      <c r="I82" s="275"/>
    </row>
    <row r="83" spans="1:10" x14ac:dyDescent="0.2">
      <c r="F83" s="284"/>
      <c r="G83" s="273"/>
      <c r="H83" s="292"/>
      <c r="I83" s="275"/>
    </row>
    <row r="84" spans="1:10" ht="13.2" x14ac:dyDescent="0.25">
      <c r="A84" s="248" t="str">
        <f>A43</f>
        <v>Kerb</v>
      </c>
      <c r="B84" s="307" t="str">
        <f>B82</f>
        <v>Y10@ 250</v>
      </c>
      <c r="C84" s="243">
        <v>1</v>
      </c>
      <c r="D84" s="243">
        <f>D43/0.25+1</f>
        <v>457</v>
      </c>
      <c r="E84" s="243">
        <f>(1500+300-6*50)/1000</f>
        <v>1.5</v>
      </c>
      <c r="F84" s="284">
        <v>0.62</v>
      </c>
      <c r="G84" s="273">
        <f>PRODUCT(C84:F84)</f>
        <v>425.01</v>
      </c>
      <c r="H84" s="292"/>
      <c r="I84" s="275"/>
      <c r="J84" s="256">
        <f>D43/6</f>
        <v>19</v>
      </c>
    </row>
    <row r="85" spans="1:10" x14ac:dyDescent="0.2">
      <c r="A85" s="248" t="str">
        <f>A84</f>
        <v>Kerb</v>
      </c>
      <c r="B85" s="308" t="str">
        <f>B84</f>
        <v>Y10@ 250</v>
      </c>
      <c r="C85" s="243">
        <f>C44</f>
        <v>1</v>
      </c>
      <c r="D85" s="243">
        <f>E84/0.25+1</f>
        <v>7</v>
      </c>
      <c r="E85" s="243">
        <f>D43+(40*10*19/1000)</f>
        <v>121.6</v>
      </c>
      <c r="F85" s="284">
        <f>F84</f>
        <v>0.62</v>
      </c>
      <c r="G85" s="273">
        <f>PRODUCT(C85:F85)</f>
        <v>527.74399999999991</v>
      </c>
      <c r="H85" s="309">
        <f>SUM(G84:G85)</f>
        <v>952.75399999999991</v>
      </c>
      <c r="I85" s="275"/>
    </row>
    <row r="86" spans="1:10" ht="13.2" x14ac:dyDescent="0.25">
      <c r="B86" s="307"/>
      <c r="F86" s="284"/>
      <c r="G86" s="273"/>
      <c r="H86" s="292"/>
      <c r="I86" s="275"/>
      <c r="J86" s="256"/>
    </row>
    <row r="87" spans="1:10" ht="13.2" x14ac:dyDescent="0.25">
      <c r="B87" s="307"/>
      <c r="F87" s="284"/>
      <c r="G87" s="273"/>
      <c r="H87" s="292"/>
      <c r="I87" s="275"/>
    </row>
    <row r="88" spans="1:10" x14ac:dyDescent="0.2">
      <c r="B88" s="308"/>
      <c r="F88" s="284"/>
      <c r="G88" s="273"/>
      <c r="H88" s="292"/>
      <c r="I88" s="275"/>
      <c r="J88" s="256"/>
    </row>
    <row r="89" spans="1:10" ht="13.2" x14ac:dyDescent="0.25">
      <c r="B89" s="307"/>
      <c r="F89" s="284"/>
      <c r="G89" s="273"/>
      <c r="H89" s="292"/>
      <c r="I89" s="275"/>
      <c r="J89" s="256"/>
    </row>
    <row r="90" spans="1:10" ht="12.75" customHeight="1" x14ac:dyDescent="0.2">
      <c r="B90" s="308"/>
      <c r="F90" s="284"/>
      <c r="G90" s="273"/>
      <c r="H90" s="292"/>
      <c r="I90" s="275"/>
    </row>
    <row r="91" spans="1:10" ht="13.2" x14ac:dyDescent="0.25">
      <c r="B91" s="307"/>
      <c r="F91" s="284"/>
      <c r="G91" s="273"/>
      <c r="H91" s="292"/>
      <c r="I91" s="275"/>
      <c r="J91" s="256"/>
    </row>
    <row r="92" spans="1:10" ht="13.2" x14ac:dyDescent="0.25">
      <c r="B92" s="307"/>
      <c r="F92" s="284"/>
      <c r="G92" s="273"/>
      <c r="H92" s="292"/>
      <c r="I92" s="275"/>
      <c r="J92" s="256"/>
    </row>
    <row r="93" spans="1:10" ht="12.75" customHeight="1" x14ac:dyDescent="0.2">
      <c r="B93" s="308"/>
      <c r="F93" s="284"/>
      <c r="G93" s="273"/>
      <c r="H93" s="292"/>
      <c r="I93" s="275"/>
    </row>
    <row r="94" spans="1:10" ht="13.2" x14ac:dyDescent="0.25">
      <c r="B94" s="307"/>
      <c r="F94" s="284"/>
      <c r="G94" s="273"/>
      <c r="H94" s="292"/>
      <c r="I94" s="275"/>
    </row>
    <row r="95" spans="1:10" x14ac:dyDescent="0.2">
      <c r="B95" s="308"/>
      <c r="F95" s="284"/>
      <c r="G95" s="273"/>
      <c r="H95" s="292"/>
      <c r="I95" s="275"/>
    </row>
    <row r="96" spans="1:10" x14ac:dyDescent="0.2">
      <c r="F96" s="284"/>
      <c r="G96" s="273"/>
      <c r="H96" s="292"/>
      <c r="I96" s="275"/>
    </row>
    <row r="97" spans="2:10" ht="13.2" x14ac:dyDescent="0.25">
      <c r="B97" s="307"/>
      <c r="F97" s="284"/>
      <c r="G97" s="273"/>
      <c r="H97" s="292"/>
      <c r="I97" s="275"/>
      <c r="J97" s="294"/>
    </row>
    <row r="98" spans="2:10" x14ac:dyDescent="0.2">
      <c r="B98" s="308"/>
      <c r="F98" s="284"/>
      <c r="G98" s="273"/>
      <c r="H98" s="292"/>
      <c r="I98" s="275"/>
    </row>
    <row r="99" spans="2:10" x14ac:dyDescent="0.2">
      <c r="F99" s="284"/>
      <c r="G99" s="273"/>
      <c r="H99" s="292"/>
      <c r="I99" s="275"/>
    </row>
    <row r="100" spans="2:10" x14ac:dyDescent="0.2">
      <c r="B100" s="308"/>
      <c r="F100" s="284"/>
      <c r="G100" s="273"/>
      <c r="H100" s="292"/>
      <c r="I100" s="275"/>
      <c r="J100" s="256"/>
    </row>
    <row r="101" spans="2:10" ht="13.2" x14ac:dyDescent="0.25">
      <c r="B101" s="307"/>
      <c r="F101" s="284"/>
      <c r="G101" s="273"/>
      <c r="H101" s="292"/>
      <c r="I101" s="275"/>
    </row>
    <row r="102" spans="2:10" x14ac:dyDescent="0.2">
      <c r="B102" s="308"/>
      <c r="F102" s="284"/>
      <c r="G102" s="273"/>
      <c r="H102" s="292"/>
      <c r="I102" s="275"/>
    </row>
    <row r="103" spans="2:10" ht="13.5" hidden="1" customHeight="1" x14ac:dyDescent="0.2">
      <c r="F103" s="284"/>
      <c r="G103" s="273"/>
      <c r="H103" s="292"/>
      <c r="I103" s="275"/>
      <c r="J103" s="256"/>
    </row>
    <row r="104" spans="2:10" ht="18.75" hidden="1" customHeight="1" x14ac:dyDescent="0.2">
      <c r="F104" s="284"/>
      <c r="G104" s="273"/>
      <c r="H104" s="292"/>
      <c r="I104" s="275"/>
    </row>
    <row r="105" spans="2:10" ht="13.5" hidden="1" customHeight="1" x14ac:dyDescent="0.2">
      <c r="B105" s="308"/>
      <c r="F105" s="284"/>
      <c r="G105" s="273"/>
      <c r="H105" s="292"/>
      <c r="I105" s="275"/>
      <c r="J105" s="256"/>
    </row>
    <row r="106" spans="2:10" ht="18.75" hidden="1" customHeight="1" x14ac:dyDescent="0.2">
      <c r="F106" s="284"/>
      <c r="G106" s="273"/>
      <c r="H106" s="292"/>
      <c r="I106" s="275"/>
    </row>
    <row r="107" spans="2:10" ht="18.75" hidden="1" customHeight="1" x14ac:dyDescent="0.2">
      <c r="B107" s="308"/>
      <c r="F107" s="284"/>
      <c r="G107" s="273"/>
      <c r="H107" s="292"/>
      <c r="I107" s="275"/>
    </row>
    <row r="108" spans="2:10" hidden="1" x14ac:dyDescent="0.2">
      <c r="B108" s="308"/>
      <c r="F108" s="284"/>
      <c r="G108" s="273"/>
      <c r="H108" s="292"/>
      <c r="I108" s="275"/>
      <c r="J108" s="256"/>
    </row>
    <row r="109" spans="2:10" hidden="1" x14ac:dyDescent="0.2">
      <c r="F109" s="284"/>
      <c r="G109" s="273"/>
      <c r="H109" s="292"/>
      <c r="I109" s="275"/>
    </row>
    <row r="110" spans="2:10" hidden="1" x14ac:dyDescent="0.2">
      <c r="B110" s="308"/>
      <c r="F110" s="284"/>
      <c r="G110" s="273"/>
      <c r="H110" s="292"/>
      <c r="I110" s="275"/>
      <c r="J110" s="256"/>
    </row>
    <row r="111" spans="2:10" hidden="1" x14ac:dyDescent="0.2">
      <c r="B111" s="308"/>
      <c r="F111" s="284"/>
      <c r="G111" s="273"/>
      <c r="H111" s="292"/>
      <c r="I111" s="275"/>
      <c r="J111" s="256"/>
    </row>
    <row r="112" spans="2:10" hidden="1" x14ac:dyDescent="0.2">
      <c r="F112" s="284"/>
      <c r="G112" s="273"/>
      <c r="H112" s="292"/>
      <c r="I112" s="275"/>
    </row>
    <row r="113" spans="1:14" x14ac:dyDescent="0.2">
      <c r="B113" s="308"/>
      <c r="F113" s="284"/>
      <c r="G113" s="273"/>
      <c r="H113" s="292"/>
      <c r="I113" s="275"/>
      <c r="J113" s="256"/>
    </row>
    <row r="114" spans="1:14" ht="13.2" x14ac:dyDescent="0.25">
      <c r="B114" s="308"/>
      <c r="F114" s="284"/>
      <c r="G114" s="273"/>
      <c r="H114" s="292"/>
      <c r="I114" s="275"/>
      <c r="J114" s="256"/>
      <c r="K114"/>
      <c r="L114"/>
    </row>
    <row r="115" spans="1:14" ht="13.2" x14ac:dyDescent="0.25">
      <c r="B115" s="308"/>
      <c r="F115" s="284"/>
      <c r="G115" s="273"/>
      <c r="H115" s="292"/>
      <c r="I115" s="275"/>
      <c r="J115" s="256"/>
      <c r="K115"/>
      <c r="L115"/>
    </row>
    <row r="116" spans="1:14" x14ac:dyDescent="0.2">
      <c r="B116" s="308"/>
      <c r="F116" s="284"/>
      <c r="G116" s="273"/>
      <c r="H116" s="292"/>
      <c r="I116" s="275"/>
    </row>
    <row r="117" spans="1:14" x14ac:dyDescent="0.2">
      <c r="B117" s="308"/>
      <c r="F117" s="284"/>
      <c r="G117" s="273"/>
      <c r="H117" s="292"/>
      <c r="I117" s="275"/>
      <c r="J117" s="256"/>
    </row>
    <row r="118" spans="1:14" x14ac:dyDescent="0.2">
      <c r="B118" s="308"/>
      <c r="F118" s="284"/>
      <c r="G118" s="273"/>
      <c r="H118" s="274"/>
      <c r="I118" s="275"/>
    </row>
    <row r="119" spans="1:14" x14ac:dyDescent="0.2">
      <c r="B119" s="308"/>
      <c r="F119" s="284"/>
      <c r="G119" s="273"/>
      <c r="H119" s="292"/>
      <c r="I119" s="275"/>
      <c r="J119" s="256"/>
    </row>
    <row r="120" spans="1:14" x14ac:dyDescent="0.2">
      <c r="B120" s="308"/>
      <c r="F120" s="284"/>
      <c r="G120" s="273"/>
      <c r="H120" s="292"/>
      <c r="I120" s="275"/>
    </row>
    <row r="121" spans="1:14" s="268" customFormat="1" ht="15" customHeight="1" x14ac:dyDescent="0.2">
      <c r="A121" s="262"/>
      <c r="B121" s="288"/>
      <c r="C121" s="264"/>
      <c r="D121" s="264"/>
      <c r="E121" s="264"/>
      <c r="F121" s="310"/>
      <c r="G121" s="265"/>
      <c r="H121" s="291"/>
      <c r="I121" s="270"/>
      <c r="K121" s="269"/>
      <c r="N121" s="270"/>
    </row>
    <row r="122" spans="1:14" s="282" customFormat="1" ht="33" customHeight="1" x14ac:dyDescent="0.25">
      <c r="A122" s="250" t="s">
        <v>412</v>
      </c>
      <c r="B122" s="276"/>
      <c r="C122" s="277"/>
      <c r="D122" s="277"/>
      <c r="E122" s="277"/>
      <c r="F122" s="278"/>
      <c r="G122" s="279"/>
      <c r="H122" s="280" t="s">
        <v>59</v>
      </c>
      <c r="I122" s="281"/>
      <c r="N122" s="283"/>
    </row>
    <row r="123" spans="1:14" ht="13.5" customHeight="1" x14ac:dyDescent="0.2">
      <c r="A123" s="248" t="str">
        <f>A81</f>
        <v>DSRA</v>
      </c>
      <c r="C123" s="243">
        <v>2</v>
      </c>
      <c r="D123" s="243">
        <f>C5</f>
        <v>60</v>
      </c>
      <c r="E123" s="243">
        <v>0.78</v>
      </c>
      <c r="F123" s="284"/>
      <c r="G123" s="273">
        <f>PRODUCT(C123:F123)</f>
        <v>93.600000000000009</v>
      </c>
      <c r="H123" s="292"/>
      <c r="I123" s="275"/>
    </row>
    <row r="124" spans="1:14" ht="13.5" customHeight="1" x14ac:dyDescent="0.2">
      <c r="A124" s="248" t="str">
        <f>A123</f>
        <v>DSRA</v>
      </c>
      <c r="C124" s="243">
        <v>2</v>
      </c>
      <c r="D124" s="243">
        <f>D123</f>
        <v>60</v>
      </c>
      <c r="E124" s="243">
        <v>0.65</v>
      </c>
      <c r="F124" s="284"/>
      <c r="G124" s="273">
        <f>PRODUCT(C124:F124)</f>
        <v>78</v>
      </c>
      <c r="H124" s="309">
        <f>SUM(G123:G124)</f>
        <v>171.60000000000002</v>
      </c>
      <c r="I124" s="275"/>
    </row>
    <row r="125" spans="1:14" ht="13.5" customHeight="1" x14ac:dyDescent="0.2">
      <c r="F125" s="284"/>
      <c r="G125" s="273"/>
      <c r="H125" s="292"/>
      <c r="I125" s="275"/>
    </row>
    <row r="126" spans="1:14" ht="13.5" customHeight="1" x14ac:dyDescent="0.2">
      <c r="A126" s="248" t="str">
        <f>A84</f>
        <v>Kerb</v>
      </c>
      <c r="C126" s="243">
        <v>2</v>
      </c>
      <c r="D126" s="243">
        <f>D43</f>
        <v>114</v>
      </c>
      <c r="E126" s="243">
        <v>0.3</v>
      </c>
      <c r="F126" s="284"/>
      <c r="G126" s="273">
        <f>PRODUCT(C126:F126)</f>
        <v>68.399999999999991</v>
      </c>
      <c r="H126" s="292"/>
      <c r="I126" s="275"/>
    </row>
    <row r="127" spans="1:14" ht="13.5" customHeight="1" x14ac:dyDescent="0.2">
      <c r="A127" s="248" t="str">
        <f>A126</f>
        <v>Kerb</v>
      </c>
      <c r="C127" s="243">
        <v>2</v>
      </c>
      <c r="D127" s="243">
        <f>D126</f>
        <v>114</v>
      </c>
      <c r="E127" s="243">
        <v>0.2</v>
      </c>
      <c r="F127" s="284"/>
      <c r="G127" s="273">
        <f>PRODUCT(C127:F127)</f>
        <v>45.6</v>
      </c>
      <c r="H127" s="309">
        <f>SUM(G126:G129)</f>
        <v>114</v>
      </c>
      <c r="I127" s="275"/>
    </row>
    <row r="128" spans="1:14" ht="13.5" customHeight="1" x14ac:dyDescent="0.2">
      <c r="F128" s="284"/>
      <c r="G128" s="273"/>
      <c r="H128" s="292"/>
      <c r="I128" s="275"/>
    </row>
    <row r="129" spans="2:11" ht="13.5" customHeight="1" x14ac:dyDescent="0.2">
      <c r="F129" s="284"/>
      <c r="G129" s="273"/>
      <c r="H129" s="292"/>
      <c r="I129" s="275"/>
    </row>
    <row r="130" spans="2:11" ht="13.5" customHeight="1" x14ac:dyDescent="0.2">
      <c r="F130" s="284"/>
      <c r="G130" s="273"/>
      <c r="H130" s="292"/>
      <c r="I130" s="275"/>
    </row>
    <row r="131" spans="2:11" ht="13.5" customHeight="1" x14ac:dyDescent="0.2">
      <c r="F131" s="284"/>
      <c r="G131" s="273"/>
      <c r="H131" s="292"/>
      <c r="I131" s="275"/>
    </row>
    <row r="132" spans="2:11" ht="13.5" customHeight="1" x14ac:dyDescent="0.2">
      <c r="F132" s="284"/>
      <c r="G132" s="273"/>
      <c r="H132" s="292"/>
      <c r="I132" s="275"/>
    </row>
    <row r="133" spans="2:11" ht="13.5" customHeight="1" x14ac:dyDescent="0.2">
      <c r="F133" s="284"/>
      <c r="G133" s="273"/>
      <c r="H133" s="292"/>
      <c r="I133" s="275"/>
    </row>
    <row r="134" spans="2:11" ht="13.5" customHeight="1" x14ac:dyDescent="0.2">
      <c r="F134" s="284"/>
      <c r="G134" s="273"/>
      <c r="H134" s="292"/>
      <c r="I134" s="275"/>
    </row>
    <row r="135" spans="2:11" ht="13.5" customHeight="1" x14ac:dyDescent="0.2">
      <c r="F135" s="284"/>
      <c r="G135" s="273"/>
      <c r="H135" s="292"/>
      <c r="I135" s="275"/>
    </row>
    <row r="136" spans="2:11" ht="13.5" customHeight="1" x14ac:dyDescent="0.2">
      <c r="F136" s="284"/>
      <c r="G136" s="273"/>
      <c r="H136" s="292"/>
      <c r="I136" s="275"/>
    </row>
    <row r="137" spans="2:11" ht="13.5" customHeight="1" x14ac:dyDescent="0.2">
      <c r="F137" s="284"/>
      <c r="G137" s="273"/>
      <c r="H137" s="292"/>
      <c r="I137" s="275"/>
    </row>
    <row r="138" spans="2:11" ht="13.5" customHeight="1" x14ac:dyDescent="0.2">
      <c r="F138" s="284"/>
      <c r="G138" s="273"/>
      <c r="H138" s="292"/>
      <c r="I138" s="275"/>
    </row>
    <row r="139" spans="2:11" ht="15" customHeight="1" x14ac:dyDescent="0.2">
      <c r="F139" s="284"/>
      <c r="G139" s="273"/>
      <c r="H139" s="292"/>
      <c r="I139" s="275"/>
    </row>
    <row r="140" spans="2:11" x14ac:dyDescent="0.2">
      <c r="F140" s="284"/>
      <c r="G140" s="273"/>
      <c r="H140" s="292"/>
      <c r="I140" s="275"/>
    </row>
    <row r="141" spans="2:11" x14ac:dyDescent="0.2">
      <c r="F141" s="284"/>
      <c r="G141" s="273"/>
      <c r="H141" s="292"/>
      <c r="I141" s="275"/>
    </row>
    <row r="142" spans="2:11" x14ac:dyDescent="0.2">
      <c r="F142" s="284"/>
      <c r="G142" s="273"/>
      <c r="H142" s="292"/>
      <c r="I142" s="275"/>
    </row>
    <row r="143" spans="2:11" x14ac:dyDescent="0.2">
      <c r="F143" s="284"/>
      <c r="G143" s="273"/>
      <c r="H143" s="292"/>
      <c r="I143" s="275"/>
      <c r="J143" s="256"/>
    </row>
    <row r="144" spans="2:11" ht="13.2" x14ac:dyDescent="0.25">
      <c r="B144"/>
      <c r="F144" s="284"/>
      <c r="G144" s="273"/>
      <c r="H144" s="292"/>
      <c r="I144" s="275"/>
      <c r="K144"/>
    </row>
    <row r="145" spans="1:14" ht="13.2" x14ac:dyDescent="0.25">
      <c r="B145"/>
      <c r="F145" s="284"/>
      <c r="G145" s="273"/>
      <c r="H145" s="292"/>
      <c r="I145" s="275"/>
      <c r="K145"/>
    </row>
    <row r="146" spans="1:14" x14ac:dyDescent="0.2">
      <c r="F146" s="284"/>
      <c r="G146" s="273"/>
      <c r="H146" s="292"/>
      <c r="I146" s="275"/>
    </row>
    <row r="147" spans="1:14" x14ac:dyDescent="0.2">
      <c r="F147" s="284"/>
      <c r="G147" s="273"/>
      <c r="H147" s="292"/>
      <c r="I147" s="275"/>
    </row>
    <row r="148" spans="1:14" x14ac:dyDescent="0.2">
      <c r="F148" s="284"/>
      <c r="G148" s="273"/>
      <c r="H148" s="292"/>
      <c r="I148" s="275"/>
    </row>
    <row r="149" spans="1:14" x14ac:dyDescent="0.2">
      <c r="F149" s="284"/>
      <c r="G149" s="273"/>
      <c r="H149" s="292"/>
      <c r="I149" s="275"/>
    </row>
    <row r="150" spans="1:14" hidden="1" x14ac:dyDescent="0.2">
      <c r="A150" s="248" t="s">
        <v>413</v>
      </c>
      <c r="C150" s="243">
        <v>2</v>
      </c>
      <c r="D150" s="243">
        <v>10</v>
      </c>
      <c r="E150" s="243">
        <v>0.65</v>
      </c>
      <c r="F150" s="284"/>
      <c r="G150" s="273">
        <f>PRODUCT(C150:F150)</f>
        <v>13</v>
      </c>
      <c r="H150" s="292"/>
      <c r="I150" s="275"/>
    </row>
    <row r="151" spans="1:14" hidden="1" x14ac:dyDescent="0.2">
      <c r="A151" s="248" t="s">
        <v>413</v>
      </c>
      <c r="C151" s="243">
        <v>2</v>
      </c>
      <c r="D151" s="243">
        <v>10</v>
      </c>
      <c r="E151" s="243">
        <v>0.5</v>
      </c>
      <c r="F151" s="284"/>
      <c r="G151" s="273">
        <f>PRODUCT(C151:F151)</f>
        <v>10</v>
      </c>
      <c r="H151" s="292"/>
      <c r="I151" s="275"/>
    </row>
    <row r="152" spans="1:14" hidden="1" x14ac:dyDescent="0.2">
      <c r="F152" s="284"/>
      <c r="G152" s="273"/>
      <c r="H152" s="292"/>
      <c r="I152" s="275"/>
    </row>
    <row r="153" spans="1:14" hidden="1" x14ac:dyDescent="0.2">
      <c r="A153" s="248" t="s">
        <v>414</v>
      </c>
      <c r="B153" s="242">
        <v>1</v>
      </c>
      <c r="C153" s="243">
        <v>1</v>
      </c>
      <c r="D153" s="243">
        <v>3</v>
      </c>
      <c r="E153" s="243">
        <v>0.8</v>
      </c>
      <c r="F153" s="284"/>
      <c r="G153" s="273">
        <f>PRODUCT(B153:F153)</f>
        <v>2.4000000000000004</v>
      </c>
      <c r="H153" s="292"/>
      <c r="I153" s="275"/>
      <c r="J153" s="256">
        <f>D109/6</f>
        <v>0</v>
      </c>
    </row>
    <row r="154" spans="1:14" hidden="1" x14ac:dyDescent="0.2">
      <c r="A154" s="248" t="s">
        <v>415</v>
      </c>
      <c r="B154" s="242">
        <v>1</v>
      </c>
      <c r="C154" s="243">
        <v>2</v>
      </c>
      <c r="D154" s="243">
        <v>3</v>
      </c>
      <c r="E154" s="243">
        <v>0.1</v>
      </c>
      <c r="F154" s="284"/>
      <c r="G154" s="273">
        <f>PRODUCT(B154:F154)</f>
        <v>0.60000000000000009</v>
      </c>
      <c r="H154" s="292"/>
      <c r="I154" s="275"/>
      <c r="K154" s="246">
        <v>4</v>
      </c>
    </row>
    <row r="155" spans="1:14" hidden="1" x14ac:dyDescent="0.2">
      <c r="A155" s="248" t="s">
        <v>414</v>
      </c>
      <c r="B155" s="242">
        <v>2</v>
      </c>
      <c r="C155" s="243">
        <v>1</v>
      </c>
      <c r="D155" s="243">
        <v>3</v>
      </c>
      <c r="E155" s="243">
        <v>1.1000000000000001</v>
      </c>
      <c r="F155" s="284"/>
      <c r="G155" s="273">
        <f>PRODUCT(B155:F155)</f>
        <v>6.6000000000000005</v>
      </c>
      <c r="H155" s="292"/>
      <c r="I155" s="275"/>
      <c r="J155" s="256">
        <f>D111/6</f>
        <v>0</v>
      </c>
    </row>
    <row r="156" spans="1:14" hidden="1" x14ac:dyDescent="0.2">
      <c r="A156" s="248" t="s">
        <v>415</v>
      </c>
      <c r="B156" s="242">
        <v>2</v>
      </c>
      <c r="C156" s="243">
        <v>2</v>
      </c>
      <c r="D156" s="243">
        <v>3</v>
      </c>
      <c r="E156" s="243">
        <v>0.15</v>
      </c>
      <c r="F156" s="284"/>
      <c r="G156" s="273">
        <f>PRODUCT(B156:F156)</f>
        <v>1.7999999999999998</v>
      </c>
      <c r="H156" s="292">
        <f>SUM(G153:G156)</f>
        <v>11.400000000000002</v>
      </c>
      <c r="I156" s="275"/>
      <c r="K156" s="246">
        <v>4</v>
      </c>
    </row>
    <row r="157" spans="1:14" s="268" customFormat="1" x14ac:dyDescent="0.2">
      <c r="A157" s="262"/>
      <c r="B157" s="288"/>
      <c r="C157" s="289"/>
      <c r="D157" s="289"/>
      <c r="E157" s="289"/>
      <c r="F157" s="290"/>
      <c r="G157" s="265"/>
      <c r="H157" s="291"/>
      <c r="I157" s="270"/>
      <c r="N157" s="270"/>
    </row>
    <row r="158" spans="1:14" ht="15" hidden="1" customHeight="1" x14ac:dyDescent="0.2">
      <c r="B158" s="252"/>
      <c r="C158" s="253"/>
      <c r="D158" s="253"/>
      <c r="E158" s="253"/>
      <c r="J158" s="256"/>
    </row>
    <row r="159" spans="1:14" ht="15" hidden="1" customHeight="1" x14ac:dyDescent="0.2">
      <c r="B159" s="252"/>
      <c r="C159" s="253"/>
      <c r="D159" s="253"/>
      <c r="E159" s="253"/>
      <c r="J159" s="256"/>
    </row>
    <row r="160" spans="1:14" ht="15" hidden="1" customHeight="1" x14ac:dyDescent="0.2">
      <c r="A160" s="248" t="s">
        <v>416</v>
      </c>
      <c r="B160" s="252"/>
      <c r="C160" s="253"/>
      <c r="D160" s="253"/>
      <c r="E160" s="253"/>
      <c r="H160" s="245" t="s">
        <v>68</v>
      </c>
      <c r="J160" s="256"/>
    </row>
    <row r="161" spans="1:10" ht="17.25" hidden="1" customHeight="1" x14ac:dyDescent="0.25">
      <c r="A161" s="248" t="e">
        <f>#REF!</f>
        <v>#REF!</v>
      </c>
      <c r="B161" s="242" t="s">
        <v>397</v>
      </c>
      <c r="C161" s="243">
        <v>1</v>
      </c>
      <c r="D161" s="243" t="e">
        <f>#REF!</f>
        <v>#REF!</v>
      </c>
      <c r="E161" s="243">
        <v>2.7</v>
      </c>
      <c r="F161" s="284"/>
      <c r="G161" s="295" t="e">
        <f>PRODUCT(C161:F161)</f>
        <v>#REF!</v>
      </c>
      <c r="H161" s="292"/>
      <c r="I161" s="275"/>
    </row>
    <row r="162" spans="1:10" ht="18" hidden="1" customHeight="1" x14ac:dyDescent="0.2">
      <c r="A162" s="248" t="e">
        <f>A161</f>
        <v>#REF!</v>
      </c>
      <c r="B162" s="242" t="s">
        <v>397</v>
      </c>
      <c r="C162" s="243">
        <v>1</v>
      </c>
      <c r="D162" s="243" t="e">
        <f>D161</f>
        <v>#REF!</v>
      </c>
      <c r="E162" s="243">
        <v>0.25</v>
      </c>
      <c r="F162" s="284">
        <v>0.754</v>
      </c>
      <c r="G162" s="273" t="e">
        <f>PRODUCT(C162:F162)</f>
        <v>#REF!</v>
      </c>
      <c r="H162" s="292"/>
      <c r="I162" s="275"/>
    </row>
    <row r="163" spans="1:10" ht="13.5" hidden="1" customHeight="1" x14ac:dyDescent="0.25">
      <c r="A163" s="248" t="e">
        <f>A161</f>
        <v>#REF!</v>
      </c>
      <c r="B163" s="242" t="s">
        <v>398</v>
      </c>
      <c r="C163" s="243">
        <v>1</v>
      </c>
      <c r="D163" s="243" t="e">
        <f>D162</f>
        <v>#REF!</v>
      </c>
      <c r="E163" s="243">
        <v>1.0580000000000001</v>
      </c>
      <c r="F163" s="284">
        <v>0.25</v>
      </c>
      <c r="G163" s="273" t="e">
        <f>PRODUCT(C163:F163)</f>
        <v>#REF!</v>
      </c>
      <c r="H163" s="286" t="e">
        <f>SUM(G161:G163)</f>
        <v>#REF!</v>
      </c>
      <c r="I163" s="275"/>
      <c r="J163" s="246">
        <f>ROUNDUP(70/6,0)</f>
        <v>12</v>
      </c>
    </row>
    <row r="164" spans="1:10" ht="13.5" hidden="1" customHeight="1" x14ac:dyDescent="0.25">
      <c r="F164" s="284"/>
      <c r="G164" s="273"/>
      <c r="H164" s="286"/>
      <c r="I164" s="275"/>
    </row>
    <row r="165" spans="1:10" ht="12" hidden="1" x14ac:dyDescent="0.25">
      <c r="A165" s="248">
        <f>A29</f>
        <v>0</v>
      </c>
      <c r="B165" s="242" t="s">
        <v>397</v>
      </c>
      <c r="C165" s="243">
        <v>2</v>
      </c>
      <c r="D165" s="243">
        <v>235</v>
      </c>
      <c r="E165" s="243">
        <v>0.25</v>
      </c>
      <c r="F165" s="284">
        <v>0.75</v>
      </c>
      <c r="G165" s="273">
        <f>PRODUCT(C165:F165)</f>
        <v>88.125</v>
      </c>
      <c r="H165" s="286"/>
      <c r="I165" s="275"/>
      <c r="J165" s="256">
        <f>ROUNDUP(D165/6,0)</f>
        <v>40</v>
      </c>
    </row>
    <row r="166" spans="1:10" ht="12" hidden="1" x14ac:dyDescent="0.25">
      <c r="A166" s="248">
        <f>A165</f>
        <v>0</v>
      </c>
      <c r="B166" s="242" t="s">
        <v>398</v>
      </c>
      <c r="C166" s="243">
        <v>1</v>
      </c>
      <c r="D166" s="243">
        <v>235</v>
      </c>
      <c r="E166" s="243">
        <v>1</v>
      </c>
      <c r="F166" s="284">
        <v>0.25</v>
      </c>
      <c r="G166" s="273">
        <f>PRODUCT(C166:F166)</f>
        <v>58.75</v>
      </c>
      <c r="H166" s="286">
        <f>SUM(G165:G166)</f>
        <v>146.875</v>
      </c>
      <c r="I166" s="275"/>
    </row>
    <row r="167" spans="1:10" ht="12" hidden="1" x14ac:dyDescent="0.25">
      <c r="F167" s="284"/>
      <c r="G167" s="273"/>
      <c r="H167" s="286"/>
      <c r="I167" s="275"/>
    </row>
    <row r="168" spans="1:10" ht="12" hidden="1" x14ac:dyDescent="0.25">
      <c r="A168" s="248" t="s">
        <v>417</v>
      </c>
      <c r="B168" s="242" t="s">
        <v>397</v>
      </c>
      <c r="C168" s="243">
        <v>2</v>
      </c>
      <c r="D168" s="243">
        <v>44</v>
      </c>
      <c r="E168" s="243">
        <v>0.3</v>
      </c>
      <c r="F168" s="284">
        <v>1.1919999999999999</v>
      </c>
      <c r="G168" s="273">
        <f>PRODUCT(C168:F168)</f>
        <v>31.468799999999998</v>
      </c>
      <c r="H168" s="286"/>
      <c r="I168" s="275"/>
      <c r="J168" s="256">
        <f>ROUNDUP(D168/6,0)</f>
        <v>8</v>
      </c>
    </row>
    <row r="169" spans="1:10" ht="12" hidden="1" x14ac:dyDescent="0.25">
      <c r="A169" s="248" t="str">
        <f>A168</f>
        <v>DSMD</v>
      </c>
      <c r="B169" s="242" t="s">
        <v>398</v>
      </c>
      <c r="C169" s="243">
        <v>1</v>
      </c>
      <c r="D169" s="243">
        <v>44</v>
      </c>
      <c r="E169" s="243">
        <v>1.7</v>
      </c>
      <c r="F169" s="284">
        <v>0.25</v>
      </c>
      <c r="G169" s="273">
        <f>PRODUCT(C169:F169)</f>
        <v>18.7</v>
      </c>
      <c r="H169" s="286">
        <f>SUM(G168:G169)</f>
        <v>50.168799999999997</v>
      </c>
      <c r="I169" s="275"/>
    </row>
    <row r="170" spans="1:10" ht="12" hidden="1" x14ac:dyDescent="0.25">
      <c r="F170" s="284"/>
      <c r="G170" s="273"/>
      <c r="H170" s="286"/>
      <c r="I170" s="275"/>
    </row>
    <row r="171" spans="1:10" ht="12" hidden="1" x14ac:dyDescent="0.25">
      <c r="A171" s="248" t="s">
        <v>418</v>
      </c>
      <c r="B171" s="242" t="s">
        <v>397</v>
      </c>
      <c r="C171" s="243">
        <v>2</v>
      </c>
      <c r="D171" s="243">
        <v>20</v>
      </c>
      <c r="E171" s="243">
        <v>0.6</v>
      </c>
      <c r="F171" s="284">
        <v>0.25</v>
      </c>
      <c r="G171" s="273">
        <f>PRODUCT(C171:F171)</f>
        <v>6</v>
      </c>
      <c r="H171" s="286"/>
      <c r="I171" s="275"/>
      <c r="J171" s="294">
        <f>ROUNDUP(D171/6,0)</f>
        <v>4</v>
      </c>
    </row>
    <row r="172" spans="1:10" ht="12" hidden="1" x14ac:dyDescent="0.25">
      <c r="A172" s="248" t="str">
        <f>A171</f>
        <v>cascade</v>
      </c>
      <c r="B172" s="242" t="s">
        <v>398</v>
      </c>
      <c r="C172" s="243">
        <v>1</v>
      </c>
      <c r="D172" s="243">
        <v>20</v>
      </c>
      <c r="E172" s="243">
        <v>1</v>
      </c>
      <c r="F172" s="284">
        <v>0.25</v>
      </c>
      <c r="G172" s="273">
        <f>PRODUCT(C172:F172)</f>
        <v>5</v>
      </c>
      <c r="H172" s="286">
        <f>SUM(G171:G172)</f>
        <v>11</v>
      </c>
      <c r="I172" s="275"/>
    </row>
    <row r="173" spans="1:10" ht="15" hidden="1" customHeight="1" x14ac:dyDescent="0.2">
      <c r="B173" s="252">
        <v>2</v>
      </c>
      <c r="C173" s="253">
        <v>15</v>
      </c>
      <c r="D173" s="253">
        <f>+D160</f>
        <v>0</v>
      </c>
      <c r="E173" s="253">
        <f>+E160</f>
        <v>0</v>
      </c>
      <c r="F173" s="244">
        <f>E173*D173*C173*B173</f>
        <v>0</v>
      </c>
      <c r="H173" s="245">
        <f t="shared" ref="H173:H190" si="0">C173*B173</f>
        <v>30</v>
      </c>
      <c r="J173" s="256"/>
    </row>
    <row r="174" spans="1:10" ht="15" hidden="1" customHeight="1" x14ac:dyDescent="0.2">
      <c r="B174" s="252">
        <v>1</v>
      </c>
      <c r="C174" s="253">
        <v>18</v>
      </c>
      <c r="D174" s="253">
        <f t="shared" ref="D174:E180" si="1">+D173</f>
        <v>0</v>
      </c>
      <c r="E174" s="253">
        <f t="shared" si="1"/>
        <v>0</v>
      </c>
      <c r="F174" s="244">
        <f>+E174*D174*C174*B174</f>
        <v>0</v>
      </c>
      <c r="H174" s="245">
        <f t="shared" si="0"/>
        <v>18</v>
      </c>
      <c r="J174" s="256"/>
    </row>
    <row r="175" spans="1:10" ht="15" hidden="1" customHeight="1" x14ac:dyDescent="0.2">
      <c r="B175" s="252">
        <v>1</v>
      </c>
      <c r="C175" s="253">
        <v>4</v>
      </c>
      <c r="D175" s="253">
        <f t="shared" si="1"/>
        <v>0</v>
      </c>
      <c r="E175" s="253">
        <f t="shared" si="1"/>
        <v>0</v>
      </c>
      <c r="F175" s="244">
        <f>E175*D175*C175</f>
        <v>0</v>
      </c>
      <c r="H175" s="245">
        <f t="shared" si="0"/>
        <v>4</v>
      </c>
      <c r="J175" s="256"/>
    </row>
    <row r="176" spans="1:10" ht="15" hidden="1" customHeight="1" x14ac:dyDescent="0.2">
      <c r="B176" s="252">
        <v>1</v>
      </c>
      <c r="C176" s="253">
        <v>6.2</v>
      </c>
      <c r="D176" s="253">
        <f t="shared" si="1"/>
        <v>0</v>
      </c>
      <c r="E176" s="253">
        <f t="shared" si="1"/>
        <v>0</v>
      </c>
      <c r="F176" s="244">
        <f t="shared" ref="F176:F190" si="2">E176*D176*C176</f>
        <v>0</v>
      </c>
      <c r="H176" s="245">
        <f t="shared" si="0"/>
        <v>6.2</v>
      </c>
      <c r="J176" s="256"/>
    </row>
    <row r="177" spans="1:14" ht="15" hidden="1" customHeight="1" x14ac:dyDescent="0.2">
      <c r="B177" s="252">
        <v>1</v>
      </c>
      <c r="C177" s="253">
        <v>3.3</v>
      </c>
      <c r="D177" s="253">
        <f t="shared" si="1"/>
        <v>0</v>
      </c>
      <c r="E177" s="253">
        <f t="shared" si="1"/>
        <v>0</v>
      </c>
      <c r="F177" s="244">
        <f t="shared" si="2"/>
        <v>0</v>
      </c>
      <c r="H177" s="245">
        <f t="shared" si="0"/>
        <v>3.3</v>
      </c>
      <c r="J177" s="256"/>
    </row>
    <row r="178" spans="1:14" ht="15" hidden="1" customHeight="1" x14ac:dyDescent="0.2">
      <c r="B178" s="252">
        <v>1</v>
      </c>
      <c r="C178" s="253">
        <v>8.3000000000000007</v>
      </c>
      <c r="D178" s="253">
        <f t="shared" si="1"/>
        <v>0</v>
      </c>
      <c r="E178" s="253">
        <f t="shared" si="1"/>
        <v>0</v>
      </c>
      <c r="F178" s="244">
        <f t="shared" si="2"/>
        <v>0</v>
      </c>
      <c r="H178" s="245">
        <f t="shared" si="0"/>
        <v>8.3000000000000007</v>
      </c>
      <c r="J178" s="256"/>
    </row>
    <row r="179" spans="1:14" ht="15" hidden="1" customHeight="1" x14ac:dyDescent="0.2">
      <c r="B179" s="252">
        <v>1</v>
      </c>
      <c r="C179" s="253">
        <v>9</v>
      </c>
      <c r="D179" s="253">
        <f>+D178</f>
        <v>0</v>
      </c>
      <c r="E179" s="253">
        <f t="shared" si="1"/>
        <v>0</v>
      </c>
      <c r="F179" s="244">
        <f t="shared" si="2"/>
        <v>0</v>
      </c>
      <c r="H179" s="245">
        <f t="shared" si="0"/>
        <v>9</v>
      </c>
      <c r="J179" s="256"/>
    </row>
    <row r="180" spans="1:14" ht="15" hidden="1" customHeight="1" x14ac:dyDescent="0.2">
      <c r="B180" s="252">
        <v>3</v>
      </c>
      <c r="C180" s="258">
        <v>7</v>
      </c>
      <c r="D180" s="253">
        <f>+D179</f>
        <v>0</v>
      </c>
      <c r="E180" s="253">
        <f t="shared" si="1"/>
        <v>0</v>
      </c>
      <c r="F180" s="244">
        <f t="shared" si="2"/>
        <v>0</v>
      </c>
      <c r="H180" s="245">
        <f t="shared" si="0"/>
        <v>21</v>
      </c>
      <c r="J180" s="256"/>
    </row>
    <row r="181" spans="1:14" ht="15" hidden="1" customHeight="1" x14ac:dyDescent="0.2">
      <c r="B181" s="252">
        <v>1</v>
      </c>
      <c r="C181" s="253">
        <v>6</v>
      </c>
      <c r="D181" s="253">
        <f>+D179</f>
        <v>0</v>
      </c>
      <c r="E181" s="253">
        <f>+E179</f>
        <v>0</v>
      </c>
      <c r="F181" s="244">
        <f t="shared" si="2"/>
        <v>0</v>
      </c>
      <c r="H181" s="245">
        <f t="shared" si="0"/>
        <v>6</v>
      </c>
      <c r="J181" s="256"/>
    </row>
    <row r="182" spans="1:14" ht="15" hidden="1" customHeight="1" x14ac:dyDescent="0.2">
      <c r="B182" s="252">
        <v>1</v>
      </c>
      <c r="C182" s="253">
        <v>4</v>
      </c>
      <c r="D182" s="253">
        <f>+D181</f>
        <v>0</v>
      </c>
      <c r="E182" s="253">
        <f>+E181</f>
        <v>0</v>
      </c>
      <c r="F182" s="244">
        <f t="shared" si="2"/>
        <v>0</v>
      </c>
      <c r="H182" s="245">
        <f t="shared" si="0"/>
        <v>4</v>
      </c>
      <c r="J182" s="256"/>
    </row>
    <row r="183" spans="1:14" ht="15" hidden="1" customHeight="1" x14ac:dyDescent="0.2">
      <c r="B183" s="252">
        <v>2</v>
      </c>
      <c r="C183" s="253">
        <v>5</v>
      </c>
      <c r="D183" s="253">
        <f>+D178</f>
        <v>0</v>
      </c>
      <c r="E183" s="253">
        <f>+E178</f>
        <v>0</v>
      </c>
      <c r="F183" s="244">
        <f t="shared" si="2"/>
        <v>0</v>
      </c>
      <c r="H183" s="245">
        <f t="shared" si="0"/>
        <v>10</v>
      </c>
      <c r="J183" s="256"/>
    </row>
    <row r="184" spans="1:14" ht="15" hidden="1" customHeight="1" x14ac:dyDescent="0.2">
      <c r="B184" s="252">
        <v>1</v>
      </c>
      <c r="C184" s="253">
        <v>2.1</v>
      </c>
      <c r="D184" s="253">
        <f>+D183</f>
        <v>0</v>
      </c>
      <c r="E184" s="253">
        <f>+E179</f>
        <v>0</v>
      </c>
      <c r="F184" s="244">
        <f t="shared" si="2"/>
        <v>0</v>
      </c>
      <c r="H184" s="245">
        <f t="shared" si="0"/>
        <v>2.1</v>
      </c>
      <c r="J184" s="256"/>
    </row>
    <row r="185" spans="1:14" ht="15" hidden="1" customHeight="1" x14ac:dyDescent="0.2">
      <c r="B185" s="252">
        <v>1</v>
      </c>
      <c r="C185" s="253">
        <v>2.8</v>
      </c>
      <c r="D185" s="253">
        <f>+D184</f>
        <v>0</v>
      </c>
      <c r="E185" s="253">
        <f>+E181</f>
        <v>0</v>
      </c>
      <c r="F185" s="244">
        <f t="shared" si="2"/>
        <v>0</v>
      </c>
      <c r="H185" s="245">
        <f t="shared" si="0"/>
        <v>2.8</v>
      </c>
      <c r="J185" s="256"/>
    </row>
    <row r="186" spans="1:14" ht="15" hidden="1" customHeight="1" x14ac:dyDescent="0.2">
      <c r="B186" s="252">
        <v>2</v>
      </c>
      <c r="C186" s="253">
        <v>3.9</v>
      </c>
      <c r="D186" s="253">
        <f>+D185</f>
        <v>0</v>
      </c>
      <c r="E186" s="253">
        <f>+E182</f>
        <v>0</v>
      </c>
      <c r="F186" s="244">
        <f t="shared" si="2"/>
        <v>0</v>
      </c>
      <c r="H186" s="245">
        <f t="shared" si="0"/>
        <v>7.8</v>
      </c>
      <c r="J186" s="256"/>
    </row>
    <row r="187" spans="1:14" ht="15" hidden="1" customHeight="1" x14ac:dyDescent="0.2">
      <c r="B187" s="252">
        <v>1</v>
      </c>
      <c r="C187" s="253">
        <v>2</v>
      </c>
      <c r="D187" s="253">
        <f>+D186</f>
        <v>0</v>
      </c>
      <c r="E187" s="253">
        <f>+E183</f>
        <v>0</v>
      </c>
      <c r="F187" s="244">
        <f t="shared" si="2"/>
        <v>0</v>
      </c>
      <c r="H187" s="245">
        <f t="shared" si="0"/>
        <v>2</v>
      </c>
      <c r="J187" s="256"/>
    </row>
    <row r="188" spans="1:14" ht="15" hidden="1" customHeight="1" x14ac:dyDescent="0.2">
      <c r="B188" s="252">
        <v>2</v>
      </c>
      <c r="C188" s="253">
        <v>2.8</v>
      </c>
      <c r="D188" s="253">
        <f>+D186</f>
        <v>0</v>
      </c>
      <c r="E188" s="253">
        <f>+E183</f>
        <v>0</v>
      </c>
      <c r="F188" s="244">
        <f t="shared" si="2"/>
        <v>0</v>
      </c>
      <c r="H188" s="245">
        <f t="shared" si="0"/>
        <v>5.6</v>
      </c>
      <c r="J188" s="256"/>
    </row>
    <row r="189" spans="1:14" ht="15" hidden="1" customHeight="1" x14ac:dyDescent="0.2">
      <c r="B189" s="311">
        <v>2</v>
      </c>
      <c r="C189" s="258">
        <v>5</v>
      </c>
      <c r="D189" s="258">
        <f>+D187</f>
        <v>0</v>
      </c>
      <c r="E189" s="258">
        <f>+E184</f>
        <v>0</v>
      </c>
      <c r="F189" s="312">
        <f t="shared" si="2"/>
        <v>0</v>
      </c>
      <c r="H189" s="245">
        <f t="shared" si="0"/>
        <v>10</v>
      </c>
      <c r="J189" s="256"/>
    </row>
    <row r="190" spans="1:14" ht="15" hidden="1" customHeight="1" x14ac:dyDescent="0.2">
      <c r="B190" s="252">
        <v>1</v>
      </c>
      <c r="C190" s="253">
        <v>1</v>
      </c>
      <c r="D190" s="253">
        <f>+D189</f>
        <v>0</v>
      </c>
      <c r="E190" s="253">
        <f>+E189</f>
        <v>0</v>
      </c>
      <c r="F190" s="244">
        <f t="shared" si="2"/>
        <v>0</v>
      </c>
      <c r="H190" s="245">
        <f t="shared" si="0"/>
        <v>1</v>
      </c>
      <c r="J190" s="256"/>
    </row>
    <row r="191" spans="1:14" ht="15" hidden="1" customHeight="1" x14ac:dyDescent="0.2">
      <c r="B191" s="252">
        <v>5</v>
      </c>
      <c r="C191" s="253"/>
      <c r="D191" s="253"/>
      <c r="E191" s="253"/>
      <c r="F191" s="244" t="e">
        <f>SUM(F5:F190)</f>
        <v>#REF!</v>
      </c>
      <c r="H191" s="245" t="e">
        <f>SUM(H160:H190)</f>
        <v>#REF!</v>
      </c>
    </row>
    <row r="192" spans="1:14" s="268" customFormat="1" ht="12.75" hidden="1" customHeight="1" x14ac:dyDescent="0.2">
      <c r="A192" s="262"/>
      <c r="B192" s="288"/>
      <c r="C192" s="289"/>
      <c r="D192" s="289"/>
      <c r="E192" s="289"/>
      <c r="F192" s="313"/>
      <c r="G192" s="288"/>
      <c r="H192" s="267"/>
      <c r="N192" s="270"/>
    </row>
    <row r="193" spans="1:14" s="320" customFormat="1" ht="15" hidden="1" customHeight="1" x14ac:dyDescent="0.2">
      <c r="A193" s="314"/>
      <c r="B193" s="315"/>
      <c r="C193" s="316"/>
      <c r="D193" s="316"/>
      <c r="E193" s="316"/>
      <c r="F193" s="317"/>
      <c r="G193" s="318"/>
      <c r="H193" s="319"/>
      <c r="N193" s="321"/>
    </row>
    <row r="194" spans="1:14" s="248" customFormat="1" hidden="1" x14ac:dyDescent="0.2">
      <c r="A194" s="248" t="s">
        <v>419</v>
      </c>
      <c r="B194" s="242"/>
      <c r="C194" s="243"/>
      <c r="D194" s="243"/>
      <c r="E194" s="243"/>
      <c r="F194" s="273"/>
      <c r="G194" s="322"/>
      <c r="H194" s="292" t="s">
        <v>59</v>
      </c>
      <c r="N194" s="323"/>
    </row>
    <row r="195" spans="1:14" s="248" customFormat="1" hidden="1" x14ac:dyDescent="0.2">
      <c r="A195" s="248" t="s">
        <v>420</v>
      </c>
      <c r="B195" s="242">
        <v>105</v>
      </c>
      <c r="C195" s="243">
        <f>0.25+0.75+0.6+0.754+0.25</f>
        <v>2.6040000000000001</v>
      </c>
      <c r="D195" s="243"/>
      <c r="E195" s="243"/>
      <c r="F195" s="273">
        <f>C195*B195</f>
        <v>273.42</v>
      </c>
      <c r="G195" s="322"/>
      <c r="H195" s="292">
        <f>F195</f>
        <v>273.42</v>
      </c>
      <c r="N195" s="323"/>
    </row>
    <row r="196" spans="1:14" s="248" customFormat="1" hidden="1" x14ac:dyDescent="0.2">
      <c r="A196" s="248" t="s">
        <v>421</v>
      </c>
      <c r="B196" s="242">
        <v>235</v>
      </c>
      <c r="C196" s="243">
        <f>0.25*2+0.75*2+0.6</f>
        <v>2.6</v>
      </c>
      <c r="D196" s="243"/>
      <c r="E196" s="243"/>
      <c r="F196" s="273">
        <f>C196*B196</f>
        <v>611</v>
      </c>
      <c r="G196" s="322"/>
      <c r="H196" s="292">
        <f>F196</f>
        <v>611</v>
      </c>
      <c r="N196" s="323"/>
    </row>
    <row r="197" spans="1:14" s="248" customFormat="1" hidden="1" x14ac:dyDescent="0.2">
      <c r="A197" s="248" t="s">
        <v>417</v>
      </c>
      <c r="B197" s="242">
        <v>44</v>
      </c>
      <c r="C197" s="243">
        <f>0.3*2+1+1.192*2</f>
        <v>3.984</v>
      </c>
      <c r="D197" s="243"/>
      <c r="E197" s="243"/>
      <c r="F197" s="273">
        <f>C197*B197</f>
        <v>175.29599999999999</v>
      </c>
      <c r="G197" s="322"/>
      <c r="H197" s="292">
        <f>F197</f>
        <v>175.29599999999999</v>
      </c>
      <c r="N197" s="323"/>
    </row>
    <row r="198" spans="1:14" s="248" customFormat="1" hidden="1" x14ac:dyDescent="0.2">
      <c r="A198" s="248" t="s">
        <v>422</v>
      </c>
      <c r="B198" s="242">
        <v>22</v>
      </c>
      <c r="C198" s="243">
        <f>0.6+0.1*2</f>
        <v>0.8</v>
      </c>
      <c r="D198" s="243"/>
      <c r="E198" s="243"/>
      <c r="F198" s="273">
        <f>C198*B198</f>
        <v>17.600000000000001</v>
      </c>
      <c r="G198" s="322"/>
      <c r="H198" s="292">
        <f>F198</f>
        <v>17.600000000000001</v>
      </c>
      <c r="N198" s="323"/>
    </row>
    <row r="199" spans="1:14" s="248" customFormat="1" hidden="1" x14ac:dyDescent="0.2">
      <c r="A199" s="248" t="s">
        <v>418</v>
      </c>
      <c r="B199" s="242">
        <v>20</v>
      </c>
      <c r="C199" s="243">
        <f>C196</f>
        <v>2.6</v>
      </c>
      <c r="D199" s="243"/>
      <c r="E199" s="243"/>
      <c r="F199" s="273">
        <f>C199*B199</f>
        <v>52</v>
      </c>
      <c r="G199" s="322"/>
      <c r="H199" s="292">
        <f>F199</f>
        <v>52</v>
      </c>
      <c r="N199" s="323"/>
    </row>
    <row r="200" spans="1:14" s="248" customFormat="1" hidden="1" x14ac:dyDescent="0.2">
      <c r="B200" s="242"/>
      <c r="C200" s="243"/>
      <c r="D200" s="243"/>
      <c r="E200" s="243"/>
      <c r="F200" s="273"/>
      <c r="G200" s="322"/>
      <c r="H200" s="292"/>
      <c r="N200" s="323"/>
    </row>
    <row r="201" spans="1:14" s="248" customFormat="1" hidden="1" x14ac:dyDescent="0.2">
      <c r="B201" s="242"/>
      <c r="C201" s="243"/>
      <c r="D201" s="243"/>
      <c r="E201" s="243"/>
      <c r="F201" s="273"/>
      <c r="G201" s="322"/>
      <c r="H201" s="292"/>
      <c r="N201" s="323"/>
    </row>
    <row r="202" spans="1:14" s="248" customFormat="1" hidden="1" x14ac:dyDescent="0.2">
      <c r="B202" s="242"/>
      <c r="C202" s="243"/>
      <c r="D202" s="243"/>
      <c r="E202" s="243"/>
      <c r="F202" s="273"/>
      <c r="G202" s="322"/>
      <c r="H202" s="292"/>
      <c r="N202" s="323"/>
    </row>
    <row r="203" spans="1:14" s="248" customFormat="1" hidden="1" x14ac:dyDescent="0.2">
      <c r="B203" s="242"/>
      <c r="C203" s="243"/>
      <c r="D203" s="243"/>
      <c r="E203" s="243"/>
      <c r="F203" s="273"/>
      <c r="G203" s="322"/>
      <c r="H203" s="292"/>
      <c r="N203" s="323"/>
    </row>
    <row r="204" spans="1:14" s="248" customFormat="1" hidden="1" x14ac:dyDescent="0.2">
      <c r="B204" s="242"/>
      <c r="C204" s="243"/>
      <c r="D204" s="243"/>
      <c r="E204" s="243"/>
      <c r="F204" s="273"/>
      <c r="G204" s="322"/>
      <c r="H204" s="292"/>
      <c r="N204" s="323"/>
    </row>
    <row r="205" spans="1:14" ht="15" hidden="1" customHeight="1" x14ac:dyDescent="0.2">
      <c r="A205" s="248" t="s">
        <v>423</v>
      </c>
      <c r="B205" s="252"/>
      <c r="C205" s="253"/>
      <c r="D205" s="253"/>
      <c r="E205" s="253"/>
    </row>
    <row r="206" spans="1:14" ht="15" hidden="1" customHeight="1" x14ac:dyDescent="0.2">
      <c r="B206" s="252">
        <f>+B5</f>
        <v>1</v>
      </c>
      <c r="C206" s="253">
        <f>+C5</f>
        <v>60</v>
      </c>
      <c r="D206" s="253">
        <f>+D5</f>
        <v>1.5</v>
      </c>
      <c r="E206" s="253">
        <f>+E5</f>
        <v>0.58125000000000004</v>
      </c>
      <c r="F206" s="244">
        <f>+E206*D206*C206*B206</f>
        <v>52.312500000000007</v>
      </c>
    </row>
    <row r="207" spans="1:14" ht="15" hidden="1" customHeight="1" x14ac:dyDescent="0.2">
      <c r="B207" s="252">
        <f>+B206</f>
        <v>1</v>
      </c>
      <c r="C207" s="253">
        <f>+C206</f>
        <v>60</v>
      </c>
      <c r="D207" s="253">
        <f>+D206</f>
        <v>1.5</v>
      </c>
      <c r="E207" s="253">
        <v>0.35</v>
      </c>
      <c r="F207" s="244">
        <f>-E207*D207*C207*B207</f>
        <v>-31.499999999999993</v>
      </c>
    </row>
    <row r="208" spans="1:14" ht="15" hidden="1" customHeight="1" x14ac:dyDescent="0.2">
      <c r="B208" s="252">
        <f>+B207</f>
        <v>1</v>
      </c>
      <c r="C208" s="253">
        <v>0.4</v>
      </c>
      <c r="D208" s="253">
        <v>0.55000000000000004</v>
      </c>
      <c r="E208" s="253">
        <f>+E206-E207</f>
        <v>0.23125000000000007</v>
      </c>
      <c r="F208" s="244">
        <f>-E208*D208*C208*B208</f>
        <v>-5.0875000000000017E-2</v>
      </c>
    </row>
    <row r="209" spans="1:14" ht="15" hidden="1" customHeight="1" x14ac:dyDescent="0.2">
      <c r="B209" s="252"/>
      <c r="C209" s="253"/>
      <c r="D209" s="253"/>
      <c r="E209" s="253"/>
      <c r="F209" s="244">
        <f>SUM(F206:F208)</f>
        <v>20.761625000000013</v>
      </c>
    </row>
    <row r="210" spans="1:14" ht="15" hidden="1" customHeight="1" x14ac:dyDescent="0.2">
      <c r="B210" s="252"/>
      <c r="C210" s="253"/>
      <c r="D210" s="253"/>
      <c r="E210" s="253"/>
    </row>
    <row r="211" spans="1:14" s="268" customFormat="1" ht="15" hidden="1" customHeight="1" x14ac:dyDescent="0.2">
      <c r="A211" s="262"/>
      <c r="B211" s="263"/>
      <c r="C211" s="264"/>
      <c r="D211" s="264"/>
      <c r="E211" s="264"/>
      <c r="F211" s="265"/>
      <c r="G211" s="288"/>
      <c r="H211" s="267"/>
      <c r="N211" s="270"/>
    </row>
    <row r="212" spans="1:14" ht="15" hidden="1" customHeight="1" x14ac:dyDescent="0.2">
      <c r="A212" s="248" t="s">
        <v>416</v>
      </c>
      <c r="B212" s="252">
        <v>1</v>
      </c>
      <c r="C212" s="253" t="e">
        <f>+H191</f>
        <v>#REF!</v>
      </c>
      <c r="D212" s="253">
        <v>0.5</v>
      </c>
      <c r="E212" s="253">
        <f>0.6+0.35</f>
        <v>0.95</v>
      </c>
      <c r="F212" s="244" t="e">
        <f>E212*D212*C212*B212</f>
        <v>#REF!</v>
      </c>
    </row>
    <row r="213" spans="1:14" ht="15" hidden="1" customHeight="1" x14ac:dyDescent="0.2">
      <c r="A213" s="246"/>
      <c r="B213" s="252"/>
      <c r="C213" s="253"/>
      <c r="F213" s="242"/>
      <c r="H213" s="324"/>
      <c r="I213" s="325"/>
    </row>
    <row r="214" spans="1:14" s="332" customFormat="1" ht="16.5" hidden="1" customHeight="1" x14ac:dyDescent="0.25">
      <c r="A214" s="326"/>
      <c r="B214" s="327"/>
      <c r="C214" s="328"/>
      <c r="D214" s="328"/>
      <c r="E214" s="328"/>
      <c r="F214" s="329" t="e">
        <f>SUM(F212:F213)</f>
        <v>#REF!</v>
      </c>
      <c r="G214" s="242" t="s">
        <v>68</v>
      </c>
      <c r="H214" s="330"/>
      <c r="I214" s="331"/>
      <c r="J214" s="331"/>
      <c r="N214" s="333"/>
    </row>
    <row r="215" spans="1:14" hidden="1" x14ac:dyDescent="0.2">
      <c r="A215" s="262"/>
      <c r="B215" s="288"/>
      <c r="C215" s="289"/>
      <c r="D215" s="289"/>
      <c r="E215" s="289"/>
      <c r="F215" s="265"/>
      <c r="G215" s="288"/>
      <c r="H215" s="267"/>
      <c r="I215" s="268"/>
      <c r="N215" s="275"/>
    </row>
    <row r="216" spans="1:14" ht="12.75" hidden="1" customHeight="1" x14ac:dyDescent="0.2">
      <c r="A216" s="334"/>
      <c r="B216" s="335"/>
      <c r="C216" s="336"/>
      <c r="D216" s="336"/>
      <c r="E216" s="336"/>
      <c r="F216" s="337"/>
      <c r="G216" s="335"/>
      <c r="H216" s="338"/>
      <c r="I216" s="339"/>
      <c r="N216" s="275"/>
    </row>
    <row r="217" spans="1:14" ht="12.75" hidden="1" customHeight="1" x14ac:dyDescent="0.2">
      <c r="F217" s="340"/>
      <c r="H217" s="274"/>
      <c r="N217" s="275"/>
    </row>
    <row r="218" spans="1:14" ht="12.75" hidden="1" customHeight="1" x14ac:dyDescent="0.2">
      <c r="F218" s="340"/>
      <c r="H218" s="274"/>
      <c r="N218" s="275"/>
    </row>
    <row r="219" spans="1:14" s="248" customFormat="1" ht="12.75" hidden="1" customHeight="1" x14ac:dyDescent="0.2">
      <c r="A219" s="248" t="s">
        <v>424</v>
      </c>
      <c r="B219" s="242"/>
      <c r="C219" s="243">
        <v>15</v>
      </c>
      <c r="D219" s="243">
        <v>18</v>
      </c>
      <c r="E219" s="243">
        <v>0.5</v>
      </c>
      <c r="F219" s="341">
        <f>+E219*D219*C219</f>
        <v>135</v>
      </c>
      <c r="G219" s="242"/>
      <c r="H219" s="292">
        <f>125+175</f>
        <v>300</v>
      </c>
      <c r="N219" s="342"/>
    </row>
    <row r="220" spans="1:14" s="248" customFormat="1" ht="12.75" hidden="1" customHeight="1" x14ac:dyDescent="0.2">
      <c r="B220" s="242"/>
      <c r="C220" s="243">
        <v>12</v>
      </c>
      <c r="D220" s="243">
        <v>10</v>
      </c>
      <c r="E220" s="243">
        <f>+E219</f>
        <v>0.5</v>
      </c>
      <c r="F220" s="341">
        <f>+E220*D220*C220</f>
        <v>60</v>
      </c>
      <c r="G220" s="242"/>
      <c r="H220" s="292"/>
      <c r="N220" s="342"/>
    </row>
    <row r="221" spans="1:14" s="248" customFormat="1" ht="12.75" hidden="1" customHeight="1" x14ac:dyDescent="0.2">
      <c r="B221" s="242"/>
      <c r="C221" s="243">
        <v>5</v>
      </c>
      <c r="D221" s="243">
        <v>6</v>
      </c>
      <c r="E221" s="243">
        <f>+E220</f>
        <v>0.5</v>
      </c>
      <c r="F221" s="341">
        <f>+E221*D221*C221</f>
        <v>15</v>
      </c>
      <c r="G221" s="242"/>
      <c r="H221" s="292"/>
      <c r="N221" s="342"/>
    </row>
    <row r="222" spans="1:14" s="248" customFormat="1" ht="12.75" hidden="1" customHeight="1" x14ac:dyDescent="0.2">
      <c r="B222" s="242"/>
      <c r="C222" s="243"/>
      <c r="D222" s="243"/>
      <c r="E222" s="243"/>
      <c r="F222" s="341"/>
      <c r="G222" s="242"/>
      <c r="H222" s="292"/>
      <c r="N222" s="342"/>
    </row>
    <row r="223" spans="1:14" s="248" customFormat="1" ht="12.75" hidden="1" customHeight="1" x14ac:dyDescent="0.2">
      <c r="B223" s="242"/>
      <c r="C223" s="243"/>
      <c r="D223" s="243"/>
      <c r="E223" s="243"/>
      <c r="F223" s="341"/>
      <c r="G223" s="242"/>
      <c r="H223" s="292"/>
      <c r="N223" s="342"/>
    </row>
    <row r="224" spans="1:14" ht="12.75" hidden="1" customHeight="1" x14ac:dyDescent="0.2">
      <c r="A224" s="343"/>
      <c r="B224" s="344"/>
      <c r="C224" s="345"/>
      <c r="D224" s="345"/>
      <c r="E224" s="345"/>
      <c r="F224" s="340">
        <f>SUM(F219:F223)</f>
        <v>210</v>
      </c>
      <c r="G224" s="242" t="s">
        <v>68</v>
      </c>
      <c r="H224" s="274"/>
      <c r="N224" s="275"/>
    </row>
    <row r="225" spans="1:14" ht="12.75" hidden="1" customHeight="1" x14ac:dyDescent="0.2">
      <c r="F225" s="340"/>
      <c r="H225" s="274"/>
      <c r="I225" s="325"/>
      <c r="N225" s="275"/>
    </row>
    <row r="226" spans="1:14" ht="15.75" hidden="1" customHeight="1" x14ac:dyDescent="0.25">
      <c r="A226" s="262"/>
      <c r="B226" s="288"/>
      <c r="C226" s="289"/>
      <c r="D226" s="289"/>
      <c r="E226" s="289"/>
      <c r="F226" s="346"/>
      <c r="G226" s="288"/>
      <c r="H226" s="267"/>
      <c r="I226" s="268"/>
      <c r="N226" s="275"/>
    </row>
    <row r="227" spans="1:14" ht="12" hidden="1" x14ac:dyDescent="0.25">
      <c r="F227" s="295"/>
      <c r="H227" s="274"/>
      <c r="N227" s="275"/>
    </row>
    <row r="228" spans="1:14" s="248" customFormat="1" hidden="1" x14ac:dyDescent="0.2">
      <c r="A228" s="248" t="s">
        <v>425</v>
      </c>
      <c r="B228" s="242"/>
      <c r="C228" s="243"/>
      <c r="D228" s="243"/>
      <c r="E228" s="243"/>
      <c r="F228" s="273"/>
      <c r="G228" s="242"/>
      <c r="H228" s="292"/>
      <c r="N228" s="342"/>
    </row>
    <row r="229" spans="1:14" s="248" customFormat="1" hidden="1" x14ac:dyDescent="0.2">
      <c r="B229" s="271"/>
      <c r="C229" s="243"/>
      <c r="D229" s="243"/>
      <c r="E229" s="243"/>
      <c r="F229" s="273">
        <f>+F224</f>
        <v>210</v>
      </c>
      <c r="G229" s="242"/>
      <c r="H229" s="292"/>
      <c r="N229" s="342"/>
    </row>
    <row r="230" spans="1:14" s="248" customFormat="1" hidden="1" x14ac:dyDescent="0.2">
      <c r="B230" s="242"/>
      <c r="C230" s="243"/>
      <c r="D230" s="243"/>
      <c r="E230" s="243"/>
      <c r="F230" s="273"/>
      <c r="G230" s="242"/>
      <c r="H230" s="292"/>
      <c r="N230" s="342"/>
    </row>
    <row r="231" spans="1:14" s="248" customFormat="1" ht="12" hidden="1" x14ac:dyDescent="0.25">
      <c r="B231" s="242"/>
      <c r="C231" s="243"/>
      <c r="D231" s="243"/>
      <c r="E231" s="243"/>
      <c r="F231" s="329">
        <f>SUM(F229:F230)*1.05</f>
        <v>220.5</v>
      </c>
      <c r="G231" s="242" t="s">
        <v>59</v>
      </c>
      <c r="H231" s="292"/>
      <c r="N231" s="342"/>
    </row>
    <row r="232" spans="1:14" s="248" customFormat="1" ht="12" hidden="1" x14ac:dyDescent="0.25">
      <c r="B232" s="242"/>
      <c r="C232" s="243"/>
      <c r="D232" s="243"/>
      <c r="E232" s="243"/>
      <c r="F232" s="295"/>
      <c r="G232" s="242"/>
      <c r="H232" s="292"/>
      <c r="N232" s="342"/>
    </row>
    <row r="233" spans="1:14" ht="14.25" hidden="1" customHeight="1" x14ac:dyDescent="0.25">
      <c r="A233" s="262"/>
      <c r="B233" s="288"/>
      <c r="C233" s="289"/>
      <c r="D233" s="289"/>
      <c r="E233" s="289"/>
      <c r="F233" s="346"/>
      <c r="G233" s="288"/>
      <c r="H233" s="267"/>
      <c r="I233" s="268"/>
      <c r="N233" s="275"/>
    </row>
    <row r="234" spans="1:14" ht="12" hidden="1" x14ac:dyDescent="0.25">
      <c r="A234" s="241" t="s">
        <v>390</v>
      </c>
      <c r="F234" s="273"/>
      <c r="H234" s="274"/>
    </row>
    <row r="235" spans="1:14" hidden="1" x14ac:dyDescent="0.2">
      <c r="A235" s="248" t="s">
        <v>426</v>
      </c>
      <c r="B235" s="242">
        <f>+B5</f>
        <v>1</v>
      </c>
      <c r="C235" s="243">
        <f>+C5</f>
        <v>60</v>
      </c>
      <c r="D235" s="243">
        <v>2.2000000000000002</v>
      </c>
      <c r="E235" s="243">
        <v>0.05</v>
      </c>
      <c r="F235" s="273">
        <f>+D235*C235*B235*E235</f>
        <v>6.6000000000000005</v>
      </c>
      <c r="H235" s="274"/>
    </row>
    <row r="236" spans="1:14" hidden="1" x14ac:dyDescent="0.2">
      <c r="F236" s="273"/>
      <c r="H236" s="274"/>
    </row>
    <row r="237" spans="1:14" hidden="1" x14ac:dyDescent="0.2">
      <c r="F237" s="273"/>
      <c r="H237" s="274"/>
    </row>
    <row r="238" spans="1:14" hidden="1" x14ac:dyDescent="0.2">
      <c r="F238" s="273"/>
      <c r="H238" s="274"/>
    </row>
    <row r="239" spans="1:14" ht="12" hidden="1" x14ac:dyDescent="0.25">
      <c r="A239" s="241" t="s">
        <v>427</v>
      </c>
      <c r="F239" s="273"/>
      <c r="H239" s="274"/>
    </row>
    <row r="240" spans="1:14" ht="19.5" hidden="1" customHeight="1" x14ac:dyDescent="0.2">
      <c r="B240" s="252">
        <v>1</v>
      </c>
      <c r="C240" s="253">
        <v>26</v>
      </c>
      <c r="D240" s="253">
        <v>1.4</v>
      </c>
      <c r="E240" s="253">
        <v>1</v>
      </c>
      <c r="F240" s="244">
        <f>B240*C240*D240*E240</f>
        <v>36.4</v>
      </c>
    </row>
    <row r="241" spans="1:14" ht="18" hidden="1" customHeight="1" x14ac:dyDescent="0.2">
      <c r="B241" s="252">
        <v>1</v>
      </c>
      <c r="C241" s="253">
        <v>26</v>
      </c>
      <c r="D241" s="253">
        <v>1</v>
      </c>
      <c r="E241" s="253">
        <v>1</v>
      </c>
      <c r="F241" s="244">
        <f>B241*C241*D241*E241</f>
        <v>26</v>
      </c>
    </row>
    <row r="242" spans="1:14" ht="18" hidden="1" customHeight="1" x14ac:dyDescent="0.25">
      <c r="B242" s="252">
        <f>+B241</f>
        <v>1</v>
      </c>
      <c r="C242" s="253">
        <v>26</v>
      </c>
      <c r="D242" s="253">
        <v>0.6</v>
      </c>
      <c r="E242" s="253">
        <v>1</v>
      </c>
      <c r="F242" s="244">
        <f>B242*C242*D242*E242</f>
        <v>15.6</v>
      </c>
      <c r="G242" s="257">
        <f>SUM(F240:F242)</f>
        <v>78</v>
      </c>
    </row>
    <row r="243" spans="1:14" s="268" customFormat="1" hidden="1" x14ac:dyDescent="0.2">
      <c r="A243" s="262"/>
      <c r="B243" s="288"/>
      <c r="C243" s="289"/>
      <c r="D243" s="289"/>
      <c r="E243" s="289"/>
      <c r="F243" s="265"/>
      <c r="G243" s="288"/>
      <c r="H243" s="267"/>
      <c r="N243" s="270"/>
    </row>
    <row r="244" spans="1:14" hidden="1" x14ac:dyDescent="0.2">
      <c r="F244" s="273"/>
      <c r="H244" s="274"/>
    </row>
    <row r="245" spans="1:14" hidden="1" x14ac:dyDescent="0.2">
      <c r="A245" s="248" t="s">
        <v>428</v>
      </c>
    </row>
    <row r="246" spans="1:14" ht="12" hidden="1" customHeight="1" x14ac:dyDescent="0.2"/>
    <row r="247" spans="1:14" ht="23.25" hidden="1" customHeight="1" x14ac:dyDescent="0.25">
      <c r="A247" s="241" t="s">
        <v>426</v>
      </c>
      <c r="B247" s="252">
        <f>+B5</f>
        <v>1</v>
      </c>
      <c r="C247" s="253">
        <f>+C235</f>
        <v>60</v>
      </c>
      <c r="D247" s="253">
        <v>2</v>
      </c>
      <c r="E247" s="253">
        <v>0.3</v>
      </c>
      <c r="F247" s="244">
        <f>B247*C247*D247*E247</f>
        <v>36</v>
      </c>
      <c r="I247" s="246">
        <v>26</v>
      </c>
      <c r="J247" s="246">
        <v>3.59</v>
      </c>
      <c r="K247" s="246">
        <f>J247*I247</f>
        <v>93.34</v>
      </c>
    </row>
    <row r="248" spans="1:14" ht="18" hidden="1" customHeight="1" x14ac:dyDescent="0.25">
      <c r="B248" s="252"/>
      <c r="C248" s="253"/>
      <c r="D248" s="253"/>
      <c r="E248" s="253"/>
      <c r="G248" s="257">
        <f>SUM(F247:F247)</f>
        <v>36</v>
      </c>
    </row>
    <row r="249" spans="1:14" ht="23.25" hidden="1" customHeight="1" x14ac:dyDescent="0.2">
      <c r="A249" s="248" t="e">
        <f>+#REF!</f>
        <v>#REF!</v>
      </c>
      <c r="B249" s="252" t="e">
        <f>+#REF!</f>
        <v>#REF!</v>
      </c>
      <c r="C249" s="253">
        <f>+C237</f>
        <v>0</v>
      </c>
      <c r="D249" s="253">
        <f>+D237</f>
        <v>0</v>
      </c>
      <c r="E249" s="253">
        <v>0.3</v>
      </c>
      <c r="F249" s="244" t="e">
        <f>B249*C249*D249*E249</f>
        <v>#REF!</v>
      </c>
    </row>
    <row r="250" spans="1:14" ht="18" hidden="1" customHeight="1" x14ac:dyDescent="0.2">
      <c r="B250" s="252" t="e">
        <f>+B249</f>
        <v>#REF!</v>
      </c>
      <c r="C250" s="253">
        <v>0.4</v>
      </c>
      <c r="D250" s="253">
        <v>0.4</v>
      </c>
      <c r="E250" s="253">
        <f>1.1+0.65-0.3-0.35</f>
        <v>1.1000000000000001</v>
      </c>
      <c r="F250" s="244" t="e">
        <f>B250*C250*D250*E250</f>
        <v>#REF!</v>
      </c>
    </row>
    <row r="251" spans="1:14" ht="23.25" hidden="1" customHeight="1" x14ac:dyDescent="0.2">
      <c r="A251" s="248">
        <f>+A11</f>
        <v>0</v>
      </c>
      <c r="B251" s="252">
        <f>+B11</f>
        <v>0</v>
      </c>
      <c r="C251" s="253">
        <f>+C239</f>
        <v>0</v>
      </c>
      <c r="D251" s="253">
        <f>+D239</f>
        <v>0</v>
      </c>
      <c r="E251" s="253">
        <v>0.3</v>
      </c>
      <c r="F251" s="244">
        <f>B251*C251*D251*E251</f>
        <v>0</v>
      </c>
    </row>
    <row r="252" spans="1:14" ht="18" hidden="1" customHeight="1" x14ac:dyDescent="0.2">
      <c r="B252" s="252">
        <f>+B251</f>
        <v>0</v>
      </c>
      <c r="C252" s="253">
        <v>0.4</v>
      </c>
      <c r="D252" s="253">
        <v>0.4</v>
      </c>
      <c r="E252" s="253">
        <f>1.1+0.65-0.3-0.35</f>
        <v>1.1000000000000001</v>
      </c>
      <c r="F252" s="244">
        <f>B252*C252*D252*E252</f>
        <v>0</v>
      </c>
    </row>
    <row r="253" spans="1:14" ht="24" hidden="1" customHeight="1" x14ac:dyDescent="0.2">
      <c r="B253" s="252"/>
      <c r="C253" s="253"/>
      <c r="D253" s="253"/>
      <c r="E253" s="253"/>
    </row>
    <row r="254" spans="1:14" s="268" customFormat="1" ht="24" hidden="1" customHeight="1" x14ac:dyDescent="0.2">
      <c r="A254" s="262"/>
      <c r="B254" s="263"/>
      <c r="C254" s="264"/>
      <c r="D254" s="264"/>
      <c r="E254" s="264"/>
      <c r="F254" s="265"/>
      <c r="G254" s="288"/>
      <c r="H254" s="267"/>
      <c r="N254" s="270"/>
    </row>
    <row r="255" spans="1:14" ht="24" hidden="1" customHeight="1" x14ac:dyDescent="0.25">
      <c r="A255" s="241" t="s">
        <v>429</v>
      </c>
      <c r="B255" s="252"/>
      <c r="C255" s="253"/>
      <c r="D255" s="253"/>
      <c r="E255" s="253"/>
    </row>
    <row r="256" spans="1:14" ht="18" hidden="1" customHeight="1" x14ac:dyDescent="0.2">
      <c r="B256" s="252"/>
      <c r="C256" s="253"/>
      <c r="D256" s="253"/>
      <c r="E256" s="253"/>
      <c r="F256" s="244" t="s">
        <v>68</v>
      </c>
    </row>
    <row r="257" spans="1:16" ht="18" hidden="1" customHeight="1" x14ac:dyDescent="0.25">
      <c r="A257" s="248" t="s">
        <v>426</v>
      </c>
      <c r="B257" s="347"/>
      <c r="C257" s="243">
        <f>D67</f>
        <v>0</v>
      </c>
      <c r="D257" s="243" t="e">
        <f>-#REF!</f>
        <v>#REF!</v>
      </c>
      <c r="E257" s="348"/>
      <c r="F257" s="257" t="e">
        <f>D257*C257</f>
        <v>#REF!</v>
      </c>
      <c r="G257" s="347"/>
    </row>
    <row r="258" spans="1:16" ht="15.75" hidden="1" customHeight="1" x14ac:dyDescent="0.2">
      <c r="B258" s="252"/>
      <c r="C258" s="253"/>
      <c r="D258" s="253"/>
      <c r="E258" s="253"/>
    </row>
    <row r="259" spans="1:16" ht="15.75" hidden="1" customHeight="1" x14ac:dyDescent="0.2">
      <c r="B259" s="252"/>
      <c r="C259" s="253"/>
      <c r="D259" s="253"/>
      <c r="E259" s="253"/>
    </row>
    <row r="260" spans="1:16" ht="12" hidden="1" x14ac:dyDescent="0.25">
      <c r="A260" s="262"/>
      <c r="B260" s="288"/>
      <c r="C260" s="289"/>
      <c r="D260" s="289"/>
      <c r="E260" s="289"/>
      <c r="F260" s="346"/>
      <c r="G260" s="288"/>
      <c r="H260" s="267"/>
      <c r="I260" s="268"/>
    </row>
    <row r="261" spans="1:16" ht="24" hidden="1" customHeight="1" x14ac:dyDescent="0.25">
      <c r="A261" s="241" t="s">
        <v>430</v>
      </c>
      <c r="B261" s="252"/>
      <c r="C261" s="253"/>
      <c r="D261" s="253"/>
      <c r="E261" s="253"/>
      <c r="M261" s="246" t="s">
        <v>431</v>
      </c>
    </row>
    <row r="262" spans="1:16" ht="18" hidden="1" customHeight="1" x14ac:dyDescent="0.2">
      <c r="B262" s="252"/>
      <c r="C262" s="253"/>
      <c r="D262" s="253"/>
      <c r="E262" s="253"/>
      <c r="F262" s="244" t="s">
        <v>59</v>
      </c>
      <c r="I262" s="246" t="s">
        <v>432</v>
      </c>
      <c r="M262" s="246" t="s">
        <v>432</v>
      </c>
      <c r="N262" s="247" t="s">
        <v>433</v>
      </c>
    </row>
    <row r="263" spans="1:16" ht="18" hidden="1" customHeight="1" x14ac:dyDescent="0.25">
      <c r="A263" s="248" t="s">
        <v>426</v>
      </c>
      <c r="B263" s="347"/>
      <c r="C263" s="243">
        <f>C257</f>
        <v>0</v>
      </c>
      <c r="D263" s="243">
        <v>1.9</v>
      </c>
      <c r="E263" s="348"/>
      <c r="F263" s="257">
        <f>D263*C263</f>
        <v>0</v>
      </c>
      <c r="G263" s="347"/>
      <c r="I263" s="246">
        <f>(22/7*25*25)/1000000</f>
        <v>1.9642857142857144E-3</v>
      </c>
      <c r="J263" s="246">
        <v>0.6</v>
      </c>
      <c r="K263" s="246">
        <f>J263*I263</f>
        <v>1.1785714285714286E-3</v>
      </c>
      <c r="M263" s="246">
        <f>(22/7*25*25)/1000000</f>
        <v>1.9642857142857144E-3</v>
      </c>
      <c r="N263" s="247">
        <f>M263*2*2</f>
        <v>7.8571428571428577E-3</v>
      </c>
    </row>
    <row r="264" spans="1:16" ht="15.75" hidden="1" customHeight="1" x14ac:dyDescent="0.2">
      <c r="B264" s="252"/>
      <c r="C264" s="253"/>
      <c r="D264" s="253"/>
      <c r="E264" s="253"/>
      <c r="K264" s="246">
        <f>SUM(K263:K263)</f>
        <v>1.1785714285714286E-3</v>
      </c>
    </row>
    <row r="265" spans="1:16" ht="15.75" hidden="1" customHeight="1" x14ac:dyDescent="0.2">
      <c r="B265" s="252"/>
      <c r="C265" s="253"/>
      <c r="D265" s="253"/>
      <c r="E265" s="253"/>
    </row>
    <row r="266" spans="1:16" ht="12" hidden="1" x14ac:dyDescent="0.25">
      <c r="A266" s="262"/>
      <c r="B266" s="288"/>
      <c r="C266" s="289"/>
      <c r="D266" s="289"/>
      <c r="E266" s="289"/>
      <c r="F266" s="346"/>
      <c r="G266" s="288"/>
      <c r="H266" s="267"/>
      <c r="I266" s="268"/>
      <c r="N266" s="247">
        <f>22</f>
        <v>22</v>
      </c>
      <c r="O266" s="246">
        <v>0.6</v>
      </c>
      <c r="P266" s="246">
        <f>O266*N266</f>
        <v>13.2</v>
      </c>
    </row>
    <row r="267" spans="1:16" ht="24" hidden="1" customHeight="1" x14ac:dyDescent="0.25">
      <c r="A267" s="241" t="s">
        <v>434</v>
      </c>
      <c r="B267" s="252"/>
      <c r="C267" s="253"/>
      <c r="D267" s="253"/>
      <c r="E267" s="253"/>
      <c r="N267" s="247">
        <v>22</v>
      </c>
      <c r="O267" s="246">
        <v>1</v>
      </c>
      <c r="P267" s="246">
        <f>O267*N267</f>
        <v>22</v>
      </c>
    </row>
    <row r="268" spans="1:16" ht="18" hidden="1" customHeight="1" x14ac:dyDescent="0.2">
      <c r="B268" s="252"/>
      <c r="C268" s="253"/>
      <c r="D268" s="253"/>
      <c r="E268" s="253"/>
      <c r="F268" s="244" t="s">
        <v>59</v>
      </c>
      <c r="P268" s="246">
        <f>SUM(P266:P267)</f>
        <v>35.200000000000003</v>
      </c>
    </row>
    <row r="269" spans="1:16" ht="18" hidden="1" customHeight="1" x14ac:dyDescent="0.25">
      <c r="A269" s="248" t="s">
        <v>426</v>
      </c>
      <c r="B269" s="347"/>
      <c r="C269" s="243">
        <f>C263</f>
        <v>0</v>
      </c>
      <c r="D269" s="243">
        <v>0.5</v>
      </c>
      <c r="E269" s="348"/>
      <c r="F269" s="257">
        <f>D269*C269</f>
        <v>0</v>
      </c>
      <c r="G269" s="347"/>
    </row>
    <row r="270" spans="1:16" ht="15.75" hidden="1" customHeight="1" x14ac:dyDescent="0.2">
      <c r="B270" s="252"/>
      <c r="C270" s="253"/>
      <c r="D270" s="253"/>
      <c r="E270" s="253"/>
    </row>
    <row r="271" spans="1:16" ht="18" hidden="1" customHeight="1" x14ac:dyDescent="0.25">
      <c r="A271" s="248" t="s">
        <v>435</v>
      </c>
      <c r="B271" s="347"/>
      <c r="C271" s="243">
        <v>10</v>
      </c>
      <c r="D271" s="243">
        <v>0.8</v>
      </c>
      <c r="E271" s="348"/>
      <c r="F271" s="257">
        <f>D271*C271</f>
        <v>8</v>
      </c>
      <c r="G271" s="347"/>
    </row>
    <row r="272" spans="1:16" ht="15.75" hidden="1" customHeight="1" x14ac:dyDescent="0.2">
      <c r="B272" s="252"/>
      <c r="C272" s="253"/>
      <c r="D272" s="253"/>
      <c r="E272" s="253"/>
    </row>
    <row r="273" spans="1:11" ht="14.25" hidden="1" customHeight="1" x14ac:dyDescent="0.25">
      <c r="F273" s="329"/>
      <c r="H273" s="274"/>
    </row>
    <row r="274" spans="1:11" ht="12" hidden="1" x14ac:dyDescent="0.25">
      <c r="A274" s="262"/>
      <c r="B274" s="288"/>
      <c r="C274" s="289"/>
      <c r="D274" s="289"/>
      <c r="E274" s="289"/>
      <c r="F274" s="346"/>
      <c r="G274" s="288"/>
      <c r="H274" s="267"/>
      <c r="I274" s="268"/>
    </row>
    <row r="275" spans="1:11" ht="12" hidden="1" customHeight="1" x14ac:dyDescent="0.2">
      <c r="A275" s="246"/>
      <c r="B275" s="347"/>
      <c r="C275" s="348"/>
      <c r="D275" s="348"/>
      <c r="E275" s="348"/>
      <c r="F275" s="312"/>
      <c r="G275" s="347"/>
    </row>
    <row r="276" spans="1:11" ht="24" hidden="1" customHeight="1" x14ac:dyDescent="0.25">
      <c r="A276" s="241" t="s">
        <v>436</v>
      </c>
      <c r="B276" s="252"/>
      <c r="C276" s="253"/>
      <c r="D276" s="253"/>
      <c r="E276" s="253"/>
    </row>
    <row r="277" spans="1:11" ht="18" hidden="1" customHeight="1" x14ac:dyDescent="0.2">
      <c r="B277" s="252"/>
      <c r="C277" s="253" t="s">
        <v>400</v>
      </c>
      <c r="D277" s="253"/>
      <c r="E277" s="253"/>
      <c r="F277" s="244" t="s">
        <v>10</v>
      </c>
    </row>
    <row r="278" spans="1:11" ht="18" hidden="1" customHeight="1" x14ac:dyDescent="0.25">
      <c r="A278" s="248" t="s">
        <v>426</v>
      </c>
      <c r="B278" s="347"/>
      <c r="C278" s="243">
        <f>(C257/1.5)*2</f>
        <v>0</v>
      </c>
      <c r="D278" s="243">
        <f>0.5+0.9</f>
        <v>1.4</v>
      </c>
      <c r="E278" s="348"/>
      <c r="F278" s="257">
        <f>D278*C278</f>
        <v>0</v>
      </c>
      <c r="G278" s="347"/>
      <c r="I278" s="246">
        <f>609+776</f>
        <v>1385</v>
      </c>
      <c r="J278" s="246">
        <f>I278/2</f>
        <v>692.5</v>
      </c>
    </row>
    <row r="279" spans="1:11" ht="15.75" hidden="1" customHeight="1" x14ac:dyDescent="0.2">
      <c r="B279" s="252"/>
      <c r="C279" s="253"/>
      <c r="D279" s="253"/>
      <c r="E279" s="253"/>
    </row>
    <row r="280" spans="1:11" ht="15.75" hidden="1" customHeight="1" x14ac:dyDescent="0.2">
      <c r="B280" s="252"/>
      <c r="C280" s="253"/>
      <c r="D280" s="253"/>
      <c r="E280" s="253"/>
    </row>
    <row r="281" spans="1:11" ht="19.5" hidden="1" customHeight="1" x14ac:dyDescent="0.25">
      <c r="A281" s="262"/>
      <c r="B281" s="288"/>
      <c r="C281" s="289"/>
      <c r="D281" s="289"/>
      <c r="E281" s="289"/>
      <c r="F281" s="346"/>
      <c r="G281" s="288"/>
      <c r="H281" s="267"/>
      <c r="I281" s="268"/>
    </row>
    <row r="282" spans="1:11" ht="24" hidden="1" customHeight="1" x14ac:dyDescent="0.25">
      <c r="A282" s="241" t="s">
        <v>437</v>
      </c>
      <c r="B282" s="252"/>
      <c r="C282" s="253"/>
      <c r="D282" s="253"/>
      <c r="E282" s="253"/>
    </row>
    <row r="283" spans="1:11" ht="18" hidden="1" customHeight="1" x14ac:dyDescent="0.2">
      <c r="B283" s="252"/>
      <c r="C283" s="253"/>
      <c r="D283" s="253"/>
      <c r="E283" s="253"/>
      <c r="F283" s="244" t="s">
        <v>10</v>
      </c>
    </row>
    <row r="284" spans="1:11" ht="18" hidden="1" customHeight="1" x14ac:dyDescent="0.25">
      <c r="A284" s="248" t="s">
        <v>426</v>
      </c>
      <c r="B284" s="242">
        <v>7.33</v>
      </c>
      <c r="C284" s="243">
        <f>3+0.6</f>
        <v>3.6</v>
      </c>
      <c r="E284" s="348"/>
      <c r="F284" s="257">
        <f>C284*B284</f>
        <v>26.388000000000002</v>
      </c>
      <c r="G284" s="347"/>
      <c r="I284" s="246">
        <f>609+776</f>
        <v>1385</v>
      </c>
      <c r="J284" s="246">
        <f>I284/2</f>
        <v>692.5</v>
      </c>
      <c r="K284" s="246">
        <f>22/3</f>
        <v>7.333333333333333</v>
      </c>
    </row>
    <row r="285" spans="1:11" ht="15.75" hidden="1" customHeight="1" x14ac:dyDescent="0.25">
      <c r="A285" s="248" t="s">
        <v>420</v>
      </c>
      <c r="B285" s="252">
        <f>105/3</f>
        <v>35</v>
      </c>
      <c r="C285" s="253">
        <f>1+1.058+0.6+0.25+0.05</f>
        <v>2.9579999999999997</v>
      </c>
      <c r="D285" s="253"/>
      <c r="E285" s="253"/>
      <c r="F285" s="257">
        <f>C285*B285</f>
        <v>103.52999999999999</v>
      </c>
    </row>
    <row r="286" spans="1:11" ht="15.75" hidden="1" customHeight="1" x14ac:dyDescent="0.25">
      <c r="A286" s="248" t="s">
        <v>421</v>
      </c>
      <c r="B286" s="252">
        <f>235/3</f>
        <v>78.333333333333329</v>
      </c>
      <c r="C286" s="253">
        <f>1+0.75*2+0.25*2+0.05*2</f>
        <v>3.1</v>
      </c>
      <c r="D286" s="253"/>
      <c r="E286" s="253"/>
      <c r="F286" s="257">
        <f>C286*B286</f>
        <v>242.83333333333331</v>
      </c>
    </row>
    <row r="287" spans="1:11" ht="15.75" hidden="1" customHeight="1" x14ac:dyDescent="0.25">
      <c r="A287" s="248" t="s">
        <v>417</v>
      </c>
      <c r="B287" s="252">
        <f>44/3</f>
        <v>14.666666666666666</v>
      </c>
      <c r="C287" s="253">
        <f>1.3*2+1+0.05*2</f>
        <v>3.7</v>
      </c>
      <c r="D287" s="253"/>
      <c r="E287" s="253"/>
      <c r="F287" s="257">
        <f>C287*B287</f>
        <v>54.266666666666666</v>
      </c>
    </row>
    <row r="288" spans="1:11" ht="15.75" hidden="1" customHeight="1" x14ac:dyDescent="0.25">
      <c r="A288" s="248" t="s">
        <v>418</v>
      </c>
      <c r="B288" s="252">
        <f>20/3</f>
        <v>6.666666666666667</v>
      </c>
      <c r="C288" s="253">
        <f>0.65*2+0.8</f>
        <v>2.1</v>
      </c>
      <c r="D288" s="253"/>
      <c r="E288" s="253"/>
      <c r="F288" s="257">
        <f>C288*B288</f>
        <v>14.000000000000002</v>
      </c>
    </row>
    <row r="289" spans="1:14" ht="38.25" customHeight="1" x14ac:dyDescent="0.2">
      <c r="A289" s="250" t="s">
        <v>438</v>
      </c>
      <c r="B289" s="252"/>
      <c r="C289" s="253"/>
      <c r="D289" s="253"/>
      <c r="E289" s="253"/>
    </row>
    <row r="290" spans="1:14" ht="18" customHeight="1" x14ac:dyDescent="0.2">
      <c r="B290" s="252"/>
      <c r="C290" s="253"/>
      <c r="D290" s="253"/>
      <c r="E290" s="253"/>
      <c r="F290" s="244" t="s">
        <v>10</v>
      </c>
    </row>
    <row r="291" spans="1:14" ht="18" hidden="1" customHeight="1" x14ac:dyDescent="0.2">
      <c r="A291" s="248" t="s">
        <v>426</v>
      </c>
      <c r="B291" s="347">
        <f>2/0.3</f>
        <v>6.666666666666667</v>
      </c>
      <c r="C291" s="243">
        <v>0.6</v>
      </c>
      <c r="E291" s="348"/>
      <c r="F291" s="322">
        <f>C291*B291</f>
        <v>4</v>
      </c>
      <c r="G291" s="347"/>
      <c r="I291" s="246">
        <f>609+776</f>
        <v>1385</v>
      </c>
      <c r="J291" s="246">
        <f>I291/2</f>
        <v>692.5</v>
      </c>
      <c r="K291" s="246">
        <f>22/3</f>
        <v>7.333333333333333</v>
      </c>
    </row>
    <row r="292" spans="1:14" ht="15.75" hidden="1" customHeight="1" x14ac:dyDescent="0.25">
      <c r="B292" s="252">
        <f>22/0.3</f>
        <v>73.333333333333343</v>
      </c>
      <c r="C292" s="253">
        <v>0.6</v>
      </c>
      <c r="D292" s="253"/>
      <c r="E292" s="253"/>
      <c r="F292" s="322">
        <f>C292*B292</f>
        <v>44.000000000000007</v>
      </c>
      <c r="G292" s="257">
        <f>SUM(F291:F292)</f>
        <v>48.000000000000007</v>
      </c>
    </row>
    <row r="293" spans="1:14" ht="15.75" customHeight="1" x14ac:dyDescent="0.2">
      <c r="B293" s="252"/>
      <c r="C293" s="253"/>
      <c r="D293" s="253"/>
      <c r="E293" s="253"/>
    </row>
    <row r="294" spans="1:14" ht="18" customHeight="1" x14ac:dyDescent="0.2">
      <c r="A294" s="248" t="str">
        <f>A123</f>
        <v>DSRA</v>
      </c>
      <c r="B294" s="242">
        <f>60*3</f>
        <v>180</v>
      </c>
      <c r="C294" s="243">
        <v>1</v>
      </c>
      <c r="E294" s="348"/>
      <c r="F294" s="322">
        <f>C294*B294</f>
        <v>180</v>
      </c>
      <c r="G294" s="347"/>
      <c r="I294" s="246">
        <f>609+776</f>
        <v>1385</v>
      </c>
      <c r="J294" s="246">
        <f>I294/2</f>
        <v>692.5</v>
      </c>
      <c r="K294" s="246">
        <f>22/3</f>
        <v>7.333333333333333</v>
      </c>
    </row>
    <row r="295" spans="1:14" ht="15.75" customHeight="1" x14ac:dyDescent="0.25">
      <c r="B295" s="252"/>
      <c r="C295" s="253"/>
      <c r="D295" s="253"/>
      <c r="E295" s="253"/>
      <c r="F295" s="322"/>
      <c r="G295" s="257"/>
    </row>
    <row r="296" spans="1:14" ht="18" customHeight="1" x14ac:dyDescent="0.2">
      <c r="E296" s="348"/>
      <c r="F296" s="322"/>
      <c r="G296" s="347"/>
    </row>
    <row r="297" spans="1:14" ht="15.75" customHeight="1" x14ac:dyDescent="0.25">
      <c r="B297" s="252"/>
      <c r="C297" s="253"/>
      <c r="D297" s="253"/>
      <c r="E297" s="253"/>
      <c r="F297" s="322"/>
      <c r="G297" s="257"/>
    </row>
    <row r="298" spans="1:14" ht="15.75" customHeight="1" x14ac:dyDescent="0.25">
      <c r="B298" s="252"/>
      <c r="C298" s="253"/>
      <c r="D298" s="253"/>
      <c r="E298" s="253"/>
      <c r="F298" s="322"/>
      <c r="G298" s="257"/>
    </row>
    <row r="299" spans="1:14" ht="14.25" customHeight="1" x14ac:dyDescent="0.25">
      <c r="F299" s="295"/>
      <c r="H299" s="274"/>
    </row>
    <row r="300" spans="1:14" s="268" customFormat="1" ht="12" x14ac:dyDescent="0.25">
      <c r="A300" s="262"/>
      <c r="B300" s="288"/>
      <c r="C300" s="289"/>
      <c r="D300" s="289"/>
      <c r="E300" s="289"/>
      <c r="F300" s="346"/>
      <c r="G300" s="288"/>
      <c r="H300" s="267"/>
      <c r="N300" s="270"/>
    </row>
    <row r="301" spans="1:14" s="248" customFormat="1" ht="14.25" hidden="1" customHeight="1" x14ac:dyDescent="0.25">
      <c r="A301" s="241" t="s">
        <v>439</v>
      </c>
      <c r="B301" s="242"/>
      <c r="C301" s="243"/>
      <c r="D301" s="249" t="s">
        <v>440</v>
      </c>
      <c r="E301" s="249" t="s">
        <v>441</v>
      </c>
      <c r="F301" s="244" t="s">
        <v>442</v>
      </c>
      <c r="G301" s="242"/>
      <c r="H301" s="324"/>
      <c r="N301" s="323"/>
    </row>
    <row r="302" spans="1:14" s="248" customFormat="1" ht="14.25" hidden="1" customHeight="1" x14ac:dyDescent="0.25">
      <c r="A302" s="241" t="s">
        <v>443</v>
      </c>
      <c r="B302" s="242"/>
      <c r="C302" s="243"/>
      <c r="D302" s="249"/>
      <c r="E302" s="249"/>
      <c r="F302" s="244"/>
      <c r="G302" s="242"/>
      <c r="H302" s="324"/>
      <c r="N302" s="323"/>
    </row>
    <row r="303" spans="1:14" s="248" customFormat="1" ht="15" hidden="1" customHeight="1" x14ac:dyDescent="0.2">
      <c r="A303" s="248" t="s">
        <v>444</v>
      </c>
      <c r="B303" s="242">
        <f>2/0.2+1</f>
        <v>11</v>
      </c>
      <c r="C303" s="349">
        <v>26</v>
      </c>
      <c r="D303" s="243">
        <f>+C303*B303</f>
        <v>286</v>
      </c>
      <c r="E303" s="243">
        <v>0.88800000000000001</v>
      </c>
      <c r="F303" s="244">
        <f>D303*E303</f>
        <v>253.96799999999999</v>
      </c>
      <c r="G303" s="242"/>
      <c r="H303" s="324"/>
      <c r="N303" s="323"/>
    </row>
    <row r="304" spans="1:14" s="248" customFormat="1" hidden="1" x14ac:dyDescent="0.2">
      <c r="B304" s="350">
        <f>26/0.2+1</f>
        <v>131</v>
      </c>
      <c r="C304" s="349">
        <v>2</v>
      </c>
      <c r="D304" s="243">
        <f>+C304*B304</f>
        <v>262</v>
      </c>
      <c r="E304" s="243">
        <v>0.88800000000000001</v>
      </c>
      <c r="F304" s="244">
        <f>D304*E304</f>
        <v>232.65600000000001</v>
      </c>
      <c r="G304" s="322"/>
      <c r="H304" s="324"/>
      <c r="N304" s="323"/>
    </row>
    <row r="305" spans="1:14" s="248" customFormat="1" ht="15" hidden="1" customHeight="1" x14ac:dyDescent="0.2">
      <c r="B305" s="350"/>
      <c r="C305" s="349"/>
      <c r="D305" s="243"/>
      <c r="E305" s="243"/>
      <c r="F305" s="244"/>
      <c r="G305" s="322">
        <f>SUM(F303:F305)</f>
        <v>486.62400000000002</v>
      </c>
      <c r="H305" s="292"/>
      <c r="N305" s="323"/>
    </row>
    <row r="306" spans="1:14" s="248" customFormat="1" ht="15" hidden="1" customHeight="1" x14ac:dyDescent="0.2">
      <c r="B306" s="350"/>
      <c r="C306" s="349"/>
      <c r="D306" s="243"/>
      <c r="E306" s="243"/>
      <c r="F306" s="244"/>
      <c r="G306" s="322"/>
      <c r="H306" s="292"/>
      <c r="N306" s="323"/>
    </row>
    <row r="307" spans="1:14" s="248" customFormat="1" ht="12" hidden="1" customHeight="1" x14ac:dyDescent="0.2">
      <c r="A307" s="262"/>
      <c r="B307" s="288"/>
      <c r="C307" s="289"/>
      <c r="D307" s="289"/>
      <c r="E307" s="289"/>
      <c r="F307" s="265"/>
      <c r="G307" s="288"/>
      <c r="H307" s="291"/>
      <c r="I307" s="262"/>
      <c r="N307" s="323"/>
    </row>
    <row r="308" spans="1:14" hidden="1" x14ac:dyDescent="0.2">
      <c r="F308" s="273"/>
      <c r="H308" s="274"/>
    </row>
    <row r="309" spans="1:14" hidden="1" x14ac:dyDescent="0.2">
      <c r="A309" s="248" t="s">
        <v>445</v>
      </c>
      <c r="H309" s="324"/>
    </row>
    <row r="310" spans="1:14" ht="10.5" hidden="1" customHeight="1" x14ac:dyDescent="0.2">
      <c r="H310" s="324"/>
    </row>
    <row r="311" spans="1:14" ht="15.75" hidden="1" customHeight="1" x14ac:dyDescent="0.2">
      <c r="B311" s="351" t="e">
        <f>+#REF!</f>
        <v>#REF!</v>
      </c>
      <c r="D311" s="253">
        <f>+C5*2+D5*2</f>
        <v>123</v>
      </c>
      <c r="E311" s="253">
        <v>0.4</v>
      </c>
      <c r="F311" s="244" t="e">
        <f>B311*D311*E311</f>
        <v>#REF!</v>
      </c>
      <c r="H311" s="324"/>
    </row>
    <row r="312" spans="1:14" ht="13.5" hidden="1" customHeight="1" x14ac:dyDescent="0.2">
      <c r="B312" s="252" t="e">
        <f>+B311</f>
        <v>#REF!</v>
      </c>
      <c r="D312" s="253">
        <f>0.4*4</f>
        <v>1.6</v>
      </c>
      <c r="E312" s="253" t="e">
        <f>+#REF!</f>
        <v>#REF!</v>
      </c>
      <c r="F312" s="244" t="e">
        <f>B312*D312*E312</f>
        <v>#REF!</v>
      </c>
      <c r="H312" s="324"/>
    </row>
    <row r="313" spans="1:14" ht="13.5" hidden="1" customHeight="1" x14ac:dyDescent="0.2">
      <c r="B313" s="252"/>
      <c r="D313" s="253"/>
      <c r="E313" s="253"/>
      <c r="H313" s="324"/>
    </row>
    <row r="314" spans="1:14" ht="12" hidden="1" x14ac:dyDescent="0.25">
      <c r="F314" s="352" t="e">
        <f>SUM(F310:F312)</f>
        <v>#REF!</v>
      </c>
      <c r="G314" s="242" t="s">
        <v>59</v>
      </c>
      <c r="H314" s="324"/>
    </row>
    <row r="315" spans="1:14" ht="15.75" hidden="1" customHeight="1" x14ac:dyDescent="0.2">
      <c r="A315" s="262"/>
      <c r="B315" s="288"/>
      <c r="C315" s="289"/>
      <c r="D315" s="289"/>
      <c r="E315" s="289"/>
      <c r="F315" s="265"/>
      <c r="G315" s="288"/>
      <c r="H315" s="267"/>
      <c r="I315" s="268"/>
    </row>
    <row r="316" spans="1:14" ht="11.25" hidden="1" customHeight="1" x14ac:dyDescent="0.2"/>
    <row r="317" spans="1:14" ht="15" hidden="1" customHeight="1" x14ac:dyDescent="0.25">
      <c r="A317" s="248" t="s">
        <v>446</v>
      </c>
      <c r="B317" s="242" t="s">
        <v>447</v>
      </c>
      <c r="F317" s="352"/>
      <c r="J317" s="246">
        <v>42</v>
      </c>
      <c r="K317" s="246">
        <v>18</v>
      </c>
    </row>
    <row r="318" spans="1:14" ht="14.25" hidden="1" customHeight="1" x14ac:dyDescent="0.2">
      <c r="A318" s="248" t="s">
        <v>448</v>
      </c>
      <c r="F318" s="244" t="e">
        <f>+H191</f>
        <v>#REF!</v>
      </c>
      <c r="H318" s="274"/>
    </row>
    <row r="319" spans="1:14" ht="14.25" hidden="1" customHeight="1" x14ac:dyDescent="0.2">
      <c r="H319" s="274"/>
    </row>
    <row r="320" spans="1:14" ht="14.25" hidden="1" customHeight="1" x14ac:dyDescent="0.2">
      <c r="H320" s="274"/>
    </row>
    <row r="321" spans="1:12" ht="14.25" hidden="1" customHeight="1" x14ac:dyDescent="0.2">
      <c r="F321" s="244" t="e">
        <f>SUM(F318:F320)</f>
        <v>#REF!</v>
      </c>
      <c r="H321" s="274"/>
    </row>
    <row r="322" spans="1:12" ht="14.25" hidden="1" customHeight="1" x14ac:dyDescent="0.2">
      <c r="H322" s="274"/>
    </row>
    <row r="323" spans="1:12" ht="14.25" hidden="1" customHeight="1" x14ac:dyDescent="0.2">
      <c r="A323" s="248" t="s">
        <v>449</v>
      </c>
      <c r="H323" s="274"/>
    </row>
    <row r="324" spans="1:12" hidden="1" x14ac:dyDescent="0.2">
      <c r="A324" s="248" t="s">
        <v>450</v>
      </c>
      <c r="B324" s="252"/>
      <c r="C324" s="253">
        <v>1</v>
      </c>
      <c r="D324" s="253">
        <v>0.3</v>
      </c>
      <c r="E324" s="253">
        <v>0.3</v>
      </c>
      <c r="F324" s="244">
        <f>C324*D324*E324</f>
        <v>0.09</v>
      </c>
      <c r="G324" s="244"/>
      <c r="H324" s="292"/>
      <c r="I324" s="353"/>
      <c r="K324" s="348"/>
    </row>
    <row r="325" spans="1:12" hidden="1" x14ac:dyDescent="0.2">
      <c r="A325" s="248" t="s">
        <v>451</v>
      </c>
      <c r="B325" s="252">
        <v>2</v>
      </c>
      <c r="C325" s="253">
        <v>1</v>
      </c>
      <c r="D325" s="253"/>
      <c r="E325" s="253">
        <f>+E324</f>
        <v>0.3</v>
      </c>
      <c r="F325" s="244">
        <f>B325*C325*E325</f>
        <v>0.6</v>
      </c>
      <c r="G325" s="322"/>
      <c r="H325" s="292"/>
      <c r="I325" s="353"/>
    </row>
    <row r="326" spans="1:12" ht="12" hidden="1" x14ac:dyDescent="0.25">
      <c r="B326" s="252"/>
      <c r="C326" s="253"/>
      <c r="D326" s="253"/>
      <c r="E326" s="253"/>
      <c r="H326" s="286"/>
      <c r="I326" s="353"/>
    </row>
    <row r="327" spans="1:12" hidden="1" x14ac:dyDescent="0.2">
      <c r="A327" s="248" t="s">
        <v>452</v>
      </c>
      <c r="D327" s="253">
        <v>4</v>
      </c>
      <c r="E327" s="243">
        <v>0.88800000000000001</v>
      </c>
      <c r="F327" s="244">
        <f>D327*E327</f>
        <v>3.552</v>
      </c>
      <c r="G327" s="244"/>
      <c r="H327" s="292"/>
      <c r="I327" s="353"/>
    </row>
    <row r="328" spans="1:12" hidden="1" x14ac:dyDescent="0.2">
      <c r="A328" s="248" t="s">
        <v>453</v>
      </c>
      <c r="C328" s="253">
        <v>7</v>
      </c>
      <c r="D328" s="243">
        <v>1.1200000000000001</v>
      </c>
      <c r="E328" s="253">
        <v>0.61699999999999999</v>
      </c>
      <c r="F328" s="265">
        <f>C328*D328*E328</f>
        <v>4.8372800000000007</v>
      </c>
      <c r="G328" s="244"/>
      <c r="H328" s="292"/>
      <c r="I328" s="353"/>
      <c r="K328" s="348"/>
    </row>
    <row r="329" spans="1:12" ht="17.25" hidden="1" customHeight="1" x14ac:dyDescent="0.25">
      <c r="H329" s="354"/>
      <c r="I329" s="355"/>
      <c r="K329" s="256"/>
    </row>
    <row r="330" spans="1:12" ht="12" hidden="1" x14ac:dyDescent="0.25">
      <c r="A330" s="262"/>
      <c r="B330" s="288"/>
      <c r="C330" s="289"/>
      <c r="D330" s="289"/>
      <c r="E330" s="289"/>
      <c r="F330" s="265"/>
      <c r="G330" s="288"/>
      <c r="H330" s="356"/>
      <c r="I330" s="268"/>
      <c r="J330" s="268"/>
      <c r="K330" s="268"/>
      <c r="L330" s="268"/>
    </row>
    <row r="331" spans="1:12" hidden="1" x14ac:dyDescent="0.2">
      <c r="B331" s="344"/>
      <c r="C331" s="345"/>
      <c r="D331" s="345"/>
      <c r="E331" s="345"/>
      <c r="F331" s="273"/>
      <c r="H331" s="274"/>
    </row>
    <row r="332" spans="1:12" hidden="1" x14ac:dyDescent="0.2">
      <c r="A332" s="248" t="s">
        <v>454</v>
      </c>
      <c r="F332" s="341"/>
      <c r="G332" s="347"/>
      <c r="H332" s="274"/>
    </row>
    <row r="333" spans="1:12" hidden="1" x14ac:dyDescent="0.2">
      <c r="C333" s="243">
        <v>5</v>
      </c>
      <c r="D333" s="243">
        <v>6</v>
      </c>
      <c r="F333" s="341">
        <f>+D333*C333</f>
        <v>30</v>
      </c>
      <c r="G333" s="347"/>
      <c r="H333" s="274"/>
    </row>
    <row r="334" spans="1:12" hidden="1" x14ac:dyDescent="0.2">
      <c r="C334" s="243">
        <v>12</v>
      </c>
      <c r="D334" s="243">
        <v>10</v>
      </c>
      <c r="F334" s="341">
        <f>+D334*C334</f>
        <v>120</v>
      </c>
      <c r="G334" s="347"/>
      <c r="H334" s="274"/>
    </row>
    <row r="335" spans="1:12" hidden="1" x14ac:dyDescent="0.2">
      <c r="C335" s="243">
        <v>18</v>
      </c>
      <c r="D335" s="243">
        <v>15</v>
      </c>
      <c r="F335" s="341">
        <f>+D335*C335</f>
        <v>270</v>
      </c>
      <c r="G335" s="347"/>
      <c r="H335" s="274"/>
    </row>
    <row r="336" spans="1:12" ht="12" hidden="1" x14ac:dyDescent="0.2">
      <c r="A336" s="343"/>
      <c r="B336" s="344"/>
      <c r="C336" s="345"/>
      <c r="D336" s="345"/>
      <c r="E336" s="345"/>
      <c r="F336" s="340">
        <f>SUM(F333:F335)</f>
        <v>420</v>
      </c>
      <c r="H336" s="274"/>
    </row>
    <row r="337" spans="1:14" ht="14.25" hidden="1" customHeight="1" x14ac:dyDescent="0.2">
      <c r="A337" s="246"/>
      <c r="B337" s="344"/>
      <c r="C337" s="345"/>
      <c r="D337" s="345"/>
      <c r="E337" s="357"/>
      <c r="F337" s="273"/>
      <c r="H337" s="274"/>
    </row>
    <row r="338" spans="1:14" ht="14.25" hidden="1" customHeight="1" x14ac:dyDescent="0.25">
      <c r="C338" s="272"/>
      <c r="E338" s="272"/>
      <c r="F338" s="273"/>
      <c r="G338" s="257"/>
      <c r="H338" s="274"/>
    </row>
    <row r="339" spans="1:14" ht="14.25" hidden="1" customHeight="1" x14ac:dyDescent="0.25">
      <c r="A339" s="262"/>
      <c r="B339" s="288"/>
      <c r="C339" s="358"/>
      <c r="D339" s="359"/>
      <c r="E339" s="358"/>
      <c r="F339" s="265"/>
      <c r="G339" s="360"/>
      <c r="H339" s="267"/>
      <c r="I339" s="268"/>
      <c r="J339" s="268"/>
      <c r="K339" s="268"/>
    </row>
    <row r="340" spans="1:14" ht="14.25" hidden="1" customHeight="1" x14ac:dyDescent="0.25">
      <c r="A340" s="248" t="s">
        <v>455</v>
      </c>
      <c r="C340" s="357"/>
      <c r="D340" s="345"/>
      <c r="E340" s="357"/>
      <c r="F340" s="295">
        <f>+F336</f>
        <v>420</v>
      </c>
      <c r="G340" s="257" t="s">
        <v>59</v>
      </c>
      <c r="H340" s="274"/>
    </row>
    <row r="341" spans="1:14" ht="14.25" hidden="1" customHeight="1" x14ac:dyDescent="0.25">
      <c r="A341" s="262"/>
      <c r="B341" s="288"/>
      <c r="C341" s="264"/>
      <c r="D341" s="289"/>
      <c r="E341" s="264"/>
      <c r="F341" s="265"/>
      <c r="G341" s="360"/>
      <c r="H341" s="267"/>
      <c r="I341" s="268"/>
      <c r="J341" s="268"/>
      <c r="K341" s="268"/>
    </row>
    <row r="342" spans="1:14" s="248" customFormat="1" ht="15.75" hidden="1" customHeight="1" x14ac:dyDescent="0.2">
      <c r="B342" s="242"/>
      <c r="C342" s="243"/>
      <c r="D342" s="243"/>
      <c r="E342" s="272"/>
      <c r="F342" s="273"/>
      <c r="G342" s="242"/>
      <c r="H342" s="292"/>
      <c r="N342" s="323"/>
    </row>
    <row r="343" spans="1:14" s="248" customFormat="1" ht="16.5" hidden="1" customHeight="1" x14ac:dyDescent="0.2">
      <c r="A343" s="248" t="s">
        <v>456</v>
      </c>
      <c r="B343" s="242"/>
      <c r="C343" s="243"/>
      <c r="D343" s="243"/>
      <c r="E343" s="272"/>
      <c r="F343" s="273"/>
      <c r="G343" s="242"/>
      <c r="H343" s="292"/>
      <c r="N343" s="323"/>
    </row>
    <row r="344" spans="1:14" s="248" customFormat="1" ht="16.5" hidden="1" customHeight="1" x14ac:dyDescent="0.2">
      <c r="B344" s="242"/>
      <c r="C344" s="243">
        <v>2</v>
      </c>
      <c r="D344" s="243">
        <v>6</v>
      </c>
      <c r="E344" s="272">
        <v>0.61699999999999999</v>
      </c>
      <c r="F344" s="273">
        <f>+E344*D344*C344*1.05</f>
        <v>7.7742000000000004</v>
      </c>
      <c r="G344" s="242"/>
      <c r="H344" s="292"/>
      <c r="N344" s="323"/>
    </row>
    <row r="345" spans="1:14" s="248" customFormat="1" ht="16.5" hidden="1" customHeight="1" x14ac:dyDescent="0.2">
      <c r="B345" s="242"/>
      <c r="C345" s="243"/>
      <c r="D345" s="243"/>
      <c r="E345" s="272"/>
      <c r="F345" s="273"/>
      <c r="G345" s="242"/>
      <c r="H345" s="292"/>
      <c r="N345" s="323"/>
    </row>
    <row r="346" spans="1:14" s="248" customFormat="1" ht="15.75" hidden="1" customHeight="1" x14ac:dyDescent="0.25">
      <c r="A346" s="361" t="s">
        <v>457</v>
      </c>
      <c r="B346" s="242"/>
      <c r="C346" s="272"/>
      <c r="D346" s="243"/>
      <c r="E346" s="272"/>
      <c r="F346" s="295">
        <f>+F344*F340</f>
        <v>3265.1640000000002</v>
      </c>
      <c r="G346" s="242" t="s">
        <v>19</v>
      </c>
      <c r="H346" s="286"/>
      <c r="N346" s="323"/>
    </row>
    <row r="347" spans="1:14" s="248" customFormat="1" ht="15.75" hidden="1" customHeight="1" x14ac:dyDescent="0.25">
      <c r="B347" s="242"/>
      <c r="C347" s="272"/>
      <c r="D347" s="243"/>
      <c r="E347" s="272"/>
      <c r="F347" s="295"/>
      <c r="G347" s="242"/>
      <c r="H347" s="292"/>
      <c r="N347" s="323"/>
    </row>
    <row r="348" spans="1:14" hidden="1" x14ac:dyDescent="0.2">
      <c r="A348" s="262"/>
      <c r="B348" s="288"/>
      <c r="C348" s="289"/>
      <c r="D348" s="289"/>
      <c r="E348" s="289"/>
      <c r="F348" s="265"/>
      <c r="G348" s="288"/>
      <c r="H348" s="291"/>
      <c r="I348" s="262"/>
    </row>
    <row r="349" spans="1:14" ht="15.75" hidden="1" customHeight="1" x14ac:dyDescent="0.25">
      <c r="A349" s="248" t="s">
        <v>458</v>
      </c>
      <c r="D349" s="272"/>
      <c r="E349" s="272"/>
      <c r="F349" s="295"/>
      <c r="H349" s="292"/>
      <c r="I349" s="248"/>
    </row>
    <row r="350" spans="1:14" ht="17.25" hidden="1" customHeight="1" x14ac:dyDescent="0.2">
      <c r="A350" s="248" t="s">
        <v>459</v>
      </c>
      <c r="C350" s="243" t="e">
        <f>+H191</f>
        <v>#REF!</v>
      </c>
      <c r="D350" s="272">
        <v>0.6</v>
      </c>
      <c r="E350" s="272"/>
      <c r="F350" s="273" t="e">
        <f>+D350*C350</f>
        <v>#REF!</v>
      </c>
      <c r="H350" s="292"/>
      <c r="I350" s="248"/>
    </row>
    <row r="351" spans="1:14" ht="17.25" hidden="1" customHeight="1" x14ac:dyDescent="0.2">
      <c r="D351" s="272"/>
      <c r="E351" s="272"/>
      <c r="F351" s="273" t="e">
        <f>SUM(F350:F350)</f>
        <v>#REF!</v>
      </c>
      <c r="H351" s="292"/>
      <c r="I351" s="248"/>
    </row>
    <row r="352" spans="1:14" hidden="1" x14ac:dyDescent="0.2">
      <c r="A352" s="262"/>
      <c r="B352" s="288"/>
      <c r="C352" s="289"/>
      <c r="D352" s="289"/>
      <c r="E352" s="289"/>
      <c r="F352" s="265"/>
      <c r="G352" s="288"/>
      <c r="H352" s="291"/>
      <c r="I352" s="262"/>
    </row>
    <row r="353" spans="1:14" hidden="1" x14ac:dyDescent="0.2">
      <c r="A353" s="248" t="s">
        <v>460</v>
      </c>
      <c r="F353" s="273"/>
      <c r="H353" s="292"/>
      <c r="I353" s="248"/>
    </row>
    <row r="354" spans="1:14" hidden="1" x14ac:dyDescent="0.2">
      <c r="B354" s="242">
        <v>2</v>
      </c>
      <c r="C354" s="243">
        <v>36</v>
      </c>
      <c r="D354" s="243">
        <v>0.67500000000000004</v>
      </c>
      <c r="F354" s="273">
        <f>+D354*C354*B354</f>
        <v>48.6</v>
      </c>
      <c r="H354" s="292"/>
      <c r="I354" s="248"/>
    </row>
    <row r="355" spans="1:14" hidden="1" x14ac:dyDescent="0.2">
      <c r="B355" s="242">
        <v>1</v>
      </c>
      <c r="C355" s="243">
        <v>15</v>
      </c>
      <c r="D355" s="243">
        <f>+D354</f>
        <v>0.67500000000000004</v>
      </c>
      <c r="F355" s="273">
        <f>+D355*C355*B355</f>
        <v>10.125</v>
      </c>
      <c r="H355" s="292"/>
      <c r="I355" s="248"/>
    </row>
    <row r="356" spans="1:14" hidden="1" x14ac:dyDescent="0.2">
      <c r="F356" s="273">
        <f>SUM(F354:F355)</f>
        <v>58.725000000000001</v>
      </c>
      <c r="H356" s="292"/>
      <c r="I356" s="248"/>
    </row>
    <row r="357" spans="1:14" hidden="1" x14ac:dyDescent="0.2">
      <c r="F357" s="273"/>
      <c r="H357" s="292"/>
      <c r="I357" s="248"/>
    </row>
    <row r="358" spans="1:14" s="268" customFormat="1" hidden="1" x14ac:dyDescent="0.2">
      <c r="A358" s="262"/>
      <c r="B358" s="288"/>
      <c r="C358" s="289"/>
      <c r="D358" s="289"/>
      <c r="E358" s="289"/>
      <c r="F358" s="265"/>
      <c r="G358" s="288"/>
      <c r="H358" s="291"/>
      <c r="I358" s="262"/>
      <c r="N358" s="270"/>
    </row>
    <row r="359" spans="1:14" s="248" customFormat="1" hidden="1" x14ac:dyDescent="0.2">
      <c r="A359" s="248" t="s">
        <v>461</v>
      </c>
      <c r="B359" s="242"/>
      <c r="C359" s="243"/>
      <c r="D359" s="243"/>
      <c r="E359" s="243"/>
      <c r="F359" s="273"/>
      <c r="G359" s="242"/>
      <c r="H359" s="292" t="s">
        <v>462</v>
      </c>
      <c r="N359" s="323"/>
    </row>
    <row r="360" spans="1:14" s="248" customFormat="1" hidden="1" x14ac:dyDescent="0.2">
      <c r="B360" s="242">
        <v>1</v>
      </c>
      <c r="C360" s="243">
        <v>6</v>
      </c>
      <c r="D360" s="243">
        <v>3</v>
      </c>
      <c r="E360" s="243"/>
      <c r="F360" s="273">
        <f>+D360*C360*B360</f>
        <v>18</v>
      </c>
      <c r="G360" s="242"/>
      <c r="H360" s="292"/>
      <c r="N360" s="323"/>
    </row>
    <row r="361" spans="1:14" s="248" customFormat="1" hidden="1" x14ac:dyDescent="0.2">
      <c r="B361" s="242">
        <v>1</v>
      </c>
      <c r="C361" s="243">
        <v>5</v>
      </c>
      <c r="D361" s="243">
        <v>3.8</v>
      </c>
      <c r="E361" s="243"/>
      <c r="F361" s="273">
        <f t="shared" ref="F361:F367" si="3">+D361*C361*B361</f>
        <v>19</v>
      </c>
      <c r="G361" s="242"/>
      <c r="H361" s="292"/>
      <c r="N361" s="323"/>
    </row>
    <row r="362" spans="1:14" s="248" customFormat="1" hidden="1" x14ac:dyDescent="0.2">
      <c r="B362" s="242">
        <v>1</v>
      </c>
      <c r="C362" s="243">
        <v>6</v>
      </c>
      <c r="D362" s="243">
        <f>+D361</f>
        <v>3.8</v>
      </c>
      <c r="E362" s="243"/>
      <c r="F362" s="273">
        <f t="shared" si="3"/>
        <v>22.799999999999997</v>
      </c>
      <c r="G362" s="242"/>
      <c r="H362" s="292"/>
      <c r="N362" s="323"/>
    </row>
    <row r="363" spans="1:14" s="248" customFormat="1" hidden="1" x14ac:dyDescent="0.2">
      <c r="B363" s="242">
        <v>1</v>
      </c>
      <c r="C363" s="243">
        <v>5</v>
      </c>
      <c r="D363" s="243">
        <v>3.8</v>
      </c>
      <c r="E363" s="243"/>
      <c r="F363" s="273">
        <f t="shared" si="3"/>
        <v>19</v>
      </c>
      <c r="G363" s="242"/>
      <c r="H363" s="292"/>
      <c r="N363" s="323"/>
    </row>
    <row r="364" spans="1:14" s="248" customFormat="1" hidden="1" x14ac:dyDescent="0.2">
      <c r="B364" s="242">
        <v>1</v>
      </c>
      <c r="C364" s="243">
        <v>16</v>
      </c>
      <c r="D364" s="243">
        <f>+D363</f>
        <v>3.8</v>
      </c>
      <c r="E364" s="243"/>
      <c r="F364" s="273">
        <f t="shared" si="3"/>
        <v>60.8</v>
      </c>
      <c r="G364" s="242"/>
      <c r="H364" s="292"/>
      <c r="N364" s="323"/>
    </row>
    <row r="365" spans="1:14" s="248" customFormat="1" hidden="1" x14ac:dyDescent="0.2">
      <c r="B365" s="242">
        <v>1</v>
      </c>
      <c r="C365" s="243">
        <f>30-C364</f>
        <v>14</v>
      </c>
      <c r="D365" s="243">
        <v>1.2</v>
      </c>
      <c r="E365" s="243"/>
      <c r="F365" s="273">
        <f t="shared" si="3"/>
        <v>16.8</v>
      </c>
      <c r="G365" s="242"/>
      <c r="H365" s="292"/>
      <c r="N365" s="323"/>
    </row>
    <row r="366" spans="1:14" s="248" customFormat="1" hidden="1" x14ac:dyDescent="0.2">
      <c r="B366" s="242">
        <v>1</v>
      </c>
      <c r="C366" s="243">
        <v>5</v>
      </c>
      <c r="D366" s="243">
        <f>+D364</f>
        <v>3.8</v>
      </c>
      <c r="E366" s="243"/>
      <c r="F366" s="273">
        <f t="shared" si="3"/>
        <v>19</v>
      </c>
      <c r="G366" s="242"/>
      <c r="H366" s="292"/>
      <c r="N366" s="323"/>
    </row>
    <row r="367" spans="1:14" s="248" customFormat="1" hidden="1" x14ac:dyDescent="0.2">
      <c r="B367" s="242">
        <v>1</v>
      </c>
      <c r="C367" s="243">
        <v>15</v>
      </c>
      <c r="D367" s="243">
        <f>+D366</f>
        <v>3.8</v>
      </c>
      <c r="E367" s="243"/>
      <c r="F367" s="273">
        <f t="shared" si="3"/>
        <v>57</v>
      </c>
      <c r="G367" s="242"/>
      <c r="H367" s="292"/>
      <c r="N367" s="323"/>
    </row>
    <row r="368" spans="1:14" s="248" customFormat="1" hidden="1" x14ac:dyDescent="0.2">
      <c r="A368" s="248" t="s">
        <v>463</v>
      </c>
      <c r="B368" s="242"/>
      <c r="C368" s="243"/>
      <c r="D368" s="243"/>
      <c r="E368" s="243"/>
      <c r="F368" s="273"/>
      <c r="G368" s="242"/>
      <c r="H368" s="292"/>
      <c r="N368" s="323"/>
    </row>
    <row r="369" spans="1:14" s="248" customFormat="1" hidden="1" x14ac:dyDescent="0.2">
      <c r="A369" s="248" t="s">
        <v>464</v>
      </c>
      <c r="B369" s="242">
        <v>1</v>
      </c>
      <c r="C369" s="243">
        <v>1.2</v>
      </c>
      <c r="D369" s="243">
        <v>1.2</v>
      </c>
      <c r="E369" s="243"/>
      <c r="F369" s="273">
        <f>-D369*C369*B369</f>
        <v>-1.44</v>
      </c>
      <c r="G369" s="242"/>
      <c r="H369" s="292"/>
      <c r="N369" s="323"/>
    </row>
    <row r="370" spans="1:14" s="248" customFormat="1" hidden="1" x14ac:dyDescent="0.2">
      <c r="A370" s="248" t="s">
        <v>465</v>
      </c>
      <c r="B370" s="242">
        <v>2</v>
      </c>
      <c r="C370" s="243">
        <v>1</v>
      </c>
      <c r="D370" s="243">
        <v>2</v>
      </c>
      <c r="E370" s="243"/>
      <c r="F370" s="273">
        <f>-D370*C370*B370</f>
        <v>-4</v>
      </c>
      <c r="G370" s="242"/>
      <c r="H370" s="292"/>
      <c r="N370" s="323"/>
    </row>
    <row r="371" spans="1:14" s="248" customFormat="1" hidden="1" x14ac:dyDescent="0.2">
      <c r="A371" s="248" t="s">
        <v>466</v>
      </c>
      <c r="B371" s="242">
        <v>14</v>
      </c>
      <c r="C371" s="243">
        <v>0.6</v>
      </c>
      <c r="D371" s="243">
        <v>1</v>
      </c>
      <c r="E371" s="243"/>
      <c r="F371" s="273">
        <f>-D371*C371*B371</f>
        <v>-8.4</v>
      </c>
      <c r="G371" s="242"/>
      <c r="H371" s="292"/>
      <c r="N371" s="323"/>
    </row>
    <row r="372" spans="1:14" s="248" customFormat="1" hidden="1" x14ac:dyDescent="0.2">
      <c r="A372" s="248" t="s">
        <v>467</v>
      </c>
      <c r="B372" s="242">
        <v>1</v>
      </c>
      <c r="C372" s="243">
        <v>0.9</v>
      </c>
      <c r="D372" s="243">
        <v>2.1</v>
      </c>
      <c r="E372" s="243"/>
      <c r="F372" s="273">
        <f>-D372*C372*B372</f>
        <v>-1.8900000000000001</v>
      </c>
      <c r="G372" s="242"/>
      <c r="H372" s="292"/>
      <c r="N372" s="323"/>
    </row>
    <row r="373" spans="1:14" s="248" customFormat="1" hidden="1" x14ac:dyDescent="0.2">
      <c r="B373" s="242"/>
      <c r="C373" s="243"/>
      <c r="D373" s="243"/>
      <c r="E373" s="243"/>
      <c r="F373" s="273">
        <f>SUM(F360:F372)</f>
        <v>216.67000000000002</v>
      </c>
      <c r="G373" s="242"/>
      <c r="H373" s="292"/>
      <c r="N373" s="323"/>
    </row>
    <row r="374" spans="1:14" s="248" customFormat="1" hidden="1" x14ac:dyDescent="0.2">
      <c r="B374" s="242"/>
      <c r="C374" s="243"/>
      <c r="D374" s="243"/>
      <c r="E374" s="243"/>
      <c r="F374" s="273"/>
      <c r="G374" s="242"/>
      <c r="H374" s="292"/>
      <c r="N374" s="323"/>
    </row>
    <row r="375" spans="1:14" s="262" customFormat="1" hidden="1" x14ac:dyDescent="0.2">
      <c r="B375" s="288"/>
      <c r="C375" s="289"/>
      <c r="D375" s="289"/>
      <c r="E375" s="289"/>
      <c r="F375" s="265"/>
      <c r="G375" s="288"/>
      <c r="H375" s="291"/>
      <c r="N375" s="362"/>
    </row>
    <row r="376" spans="1:14" s="248" customFormat="1" hidden="1" x14ac:dyDescent="0.2">
      <c r="B376" s="242"/>
      <c r="C376" s="243"/>
      <c r="D376" s="243"/>
      <c r="E376" s="243"/>
      <c r="F376" s="273"/>
      <c r="G376" s="242"/>
      <c r="H376" s="292"/>
      <c r="N376" s="342"/>
    </row>
    <row r="377" spans="1:14" s="248" customFormat="1" hidden="1" x14ac:dyDescent="0.2">
      <c r="A377" s="248" t="s">
        <v>468</v>
      </c>
      <c r="B377" s="242">
        <v>1</v>
      </c>
      <c r="C377" s="243">
        <v>14</v>
      </c>
      <c r="D377" s="243">
        <v>1.2</v>
      </c>
      <c r="E377" s="243"/>
      <c r="F377" s="273">
        <f>+D377*C377*B377</f>
        <v>16.8</v>
      </c>
      <c r="G377" s="242"/>
      <c r="H377" s="292"/>
      <c r="N377" s="342"/>
    </row>
    <row r="378" spans="1:14" s="248" customFormat="1" hidden="1" x14ac:dyDescent="0.2">
      <c r="B378" s="242">
        <v>1</v>
      </c>
      <c r="C378" s="243">
        <v>3.3</v>
      </c>
      <c r="D378" s="243">
        <v>3.5</v>
      </c>
      <c r="E378" s="243"/>
      <c r="F378" s="273">
        <f t="shared" ref="F378:F391" si="4">+D378*C378*B378</f>
        <v>11.549999999999999</v>
      </c>
      <c r="G378" s="242"/>
      <c r="H378" s="292"/>
      <c r="N378" s="342"/>
    </row>
    <row r="379" spans="1:14" s="248" customFormat="1" hidden="1" x14ac:dyDescent="0.2">
      <c r="B379" s="242">
        <v>2</v>
      </c>
      <c r="C379" s="243">
        <v>4</v>
      </c>
      <c r="D379" s="243">
        <f t="shared" ref="D379:D391" si="5">+D378</f>
        <v>3.5</v>
      </c>
      <c r="E379" s="243"/>
      <c r="F379" s="273">
        <f t="shared" si="4"/>
        <v>28</v>
      </c>
      <c r="G379" s="242"/>
      <c r="H379" s="292"/>
      <c r="N379" s="342"/>
    </row>
    <row r="380" spans="1:14" s="248" customFormat="1" hidden="1" x14ac:dyDescent="0.2">
      <c r="B380" s="242">
        <v>1</v>
      </c>
      <c r="C380" s="243">
        <v>6.2</v>
      </c>
      <c r="D380" s="243">
        <f t="shared" si="5"/>
        <v>3.5</v>
      </c>
      <c r="E380" s="243"/>
      <c r="F380" s="273">
        <f t="shared" si="4"/>
        <v>21.7</v>
      </c>
      <c r="G380" s="242"/>
      <c r="H380" s="292"/>
      <c r="N380" s="342"/>
    </row>
    <row r="381" spans="1:14" s="248" customFormat="1" hidden="1" x14ac:dyDescent="0.2">
      <c r="B381" s="242">
        <v>1</v>
      </c>
      <c r="C381" s="243">
        <v>8.3000000000000007</v>
      </c>
      <c r="D381" s="243">
        <f t="shared" si="5"/>
        <v>3.5</v>
      </c>
      <c r="E381" s="243"/>
      <c r="F381" s="273">
        <f t="shared" si="4"/>
        <v>29.050000000000004</v>
      </c>
      <c r="G381" s="242"/>
      <c r="H381" s="292"/>
      <c r="N381" s="342"/>
    </row>
    <row r="382" spans="1:14" s="248" customFormat="1" hidden="1" x14ac:dyDescent="0.2">
      <c r="B382" s="242">
        <v>1</v>
      </c>
      <c r="C382" s="243">
        <v>9</v>
      </c>
      <c r="D382" s="243">
        <f t="shared" si="5"/>
        <v>3.5</v>
      </c>
      <c r="E382" s="243"/>
      <c r="F382" s="273">
        <f t="shared" si="4"/>
        <v>31.5</v>
      </c>
      <c r="G382" s="242"/>
      <c r="H382" s="292"/>
      <c r="N382" s="342"/>
    </row>
    <row r="383" spans="1:14" s="248" customFormat="1" hidden="1" x14ac:dyDescent="0.2">
      <c r="B383" s="242">
        <v>3</v>
      </c>
      <c r="C383" s="243">
        <v>7</v>
      </c>
      <c r="D383" s="243">
        <f t="shared" si="5"/>
        <v>3.5</v>
      </c>
      <c r="E383" s="243"/>
      <c r="F383" s="273">
        <f t="shared" si="4"/>
        <v>73.5</v>
      </c>
      <c r="G383" s="242"/>
      <c r="H383" s="292"/>
      <c r="N383" s="342"/>
    </row>
    <row r="384" spans="1:14" s="248" customFormat="1" hidden="1" x14ac:dyDescent="0.2">
      <c r="B384" s="242">
        <v>1</v>
      </c>
      <c r="C384" s="243">
        <v>6</v>
      </c>
      <c r="D384" s="243">
        <f t="shared" si="5"/>
        <v>3.5</v>
      </c>
      <c r="E384" s="243"/>
      <c r="F384" s="273">
        <f t="shared" si="4"/>
        <v>21</v>
      </c>
      <c r="G384" s="242"/>
      <c r="H384" s="292"/>
      <c r="N384" s="323"/>
    </row>
    <row r="385" spans="1:14" s="248" customFormat="1" hidden="1" x14ac:dyDescent="0.2">
      <c r="B385" s="242">
        <v>2</v>
      </c>
      <c r="C385" s="243">
        <v>5</v>
      </c>
      <c r="D385" s="243">
        <f t="shared" si="5"/>
        <v>3.5</v>
      </c>
      <c r="E385" s="243"/>
      <c r="F385" s="273">
        <f t="shared" si="4"/>
        <v>35</v>
      </c>
      <c r="G385" s="242"/>
      <c r="H385" s="292"/>
      <c r="N385" s="323"/>
    </row>
    <row r="386" spans="1:14" s="248" customFormat="1" hidden="1" x14ac:dyDescent="0.2">
      <c r="B386" s="242">
        <v>1</v>
      </c>
      <c r="C386" s="243">
        <v>4</v>
      </c>
      <c r="D386" s="243">
        <f t="shared" si="5"/>
        <v>3.5</v>
      </c>
      <c r="E386" s="243"/>
      <c r="F386" s="273">
        <f t="shared" si="4"/>
        <v>14</v>
      </c>
      <c r="G386" s="242"/>
      <c r="H386" s="292"/>
      <c r="N386" s="323"/>
    </row>
    <row r="387" spans="1:14" s="248" customFormat="1" hidden="1" x14ac:dyDescent="0.2">
      <c r="B387" s="242">
        <v>2</v>
      </c>
      <c r="C387" s="243">
        <v>3.9</v>
      </c>
      <c r="D387" s="243">
        <f t="shared" si="5"/>
        <v>3.5</v>
      </c>
      <c r="E387" s="243"/>
      <c r="F387" s="273">
        <f t="shared" si="4"/>
        <v>27.3</v>
      </c>
      <c r="G387" s="242"/>
      <c r="H387" s="292"/>
      <c r="N387" s="323"/>
    </row>
    <row r="388" spans="1:14" s="248" customFormat="1" hidden="1" x14ac:dyDescent="0.2">
      <c r="B388" s="242">
        <v>2</v>
      </c>
      <c r="C388" s="243">
        <v>5</v>
      </c>
      <c r="D388" s="243">
        <f t="shared" si="5"/>
        <v>3.5</v>
      </c>
      <c r="E388" s="243"/>
      <c r="F388" s="273">
        <f t="shared" si="4"/>
        <v>35</v>
      </c>
      <c r="G388" s="242"/>
      <c r="H388" s="292"/>
      <c r="N388" s="323"/>
    </row>
    <row r="389" spans="1:14" s="248" customFormat="1" hidden="1" x14ac:dyDescent="0.2">
      <c r="B389" s="242">
        <v>3</v>
      </c>
      <c r="C389" s="243">
        <v>2.8</v>
      </c>
      <c r="D389" s="243">
        <f t="shared" si="5"/>
        <v>3.5</v>
      </c>
      <c r="E389" s="243"/>
      <c r="F389" s="273">
        <f t="shared" si="4"/>
        <v>29.4</v>
      </c>
      <c r="G389" s="242"/>
      <c r="H389" s="292"/>
      <c r="N389" s="323"/>
    </row>
    <row r="390" spans="1:14" s="248" customFormat="1" hidden="1" x14ac:dyDescent="0.2">
      <c r="B390" s="242">
        <v>1</v>
      </c>
      <c r="C390" s="243">
        <v>3</v>
      </c>
      <c r="D390" s="243">
        <f t="shared" si="5"/>
        <v>3.5</v>
      </c>
      <c r="E390" s="243"/>
      <c r="F390" s="273">
        <f t="shared" si="4"/>
        <v>10.5</v>
      </c>
      <c r="G390" s="242"/>
      <c r="H390" s="292"/>
      <c r="N390" s="323"/>
    </row>
    <row r="391" spans="1:14" s="248" customFormat="1" hidden="1" x14ac:dyDescent="0.2">
      <c r="B391" s="242">
        <v>1</v>
      </c>
      <c r="C391" s="243">
        <v>2</v>
      </c>
      <c r="D391" s="243">
        <f t="shared" si="5"/>
        <v>3.5</v>
      </c>
      <c r="E391" s="243"/>
      <c r="F391" s="273">
        <f t="shared" si="4"/>
        <v>7</v>
      </c>
      <c r="G391" s="242"/>
      <c r="H391" s="292"/>
      <c r="N391" s="323"/>
    </row>
    <row r="392" spans="1:14" s="248" customFormat="1" ht="12" hidden="1" x14ac:dyDescent="0.25">
      <c r="A392" s="241" t="s">
        <v>463</v>
      </c>
      <c r="B392" s="242"/>
      <c r="C392" s="243"/>
      <c r="D392" s="243"/>
      <c r="E392" s="243"/>
      <c r="F392" s="273"/>
      <c r="G392" s="242"/>
      <c r="H392" s="292"/>
      <c r="N392" s="323"/>
    </row>
    <row r="393" spans="1:14" s="248" customFormat="1" ht="12" hidden="1" x14ac:dyDescent="0.25">
      <c r="A393" s="241" t="s">
        <v>469</v>
      </c>
      <c r="B393" s="242">
        <v>1</v>
      </c>
      <c r="C393" s="243">
        <v>3</v>
      </c>
      <c r="D393" s="243">
        <v>1.2</v>
      </c>
      <c r="E393" s="243"/>
      <c r="F393" s="273">
        <f>-D393*C393*B393</f>
        <v>-3.5999999999999996</v>
      </c>
      <c r="G393" s="242"/>
      <c r="H393" s="292">
        <f t="shared" ref="H393:H398" si="6">+F393</f>
        <v>-3.5999999999999996</v>
      </c>
      <c r="N393" s="323"/>
    </row>
    <row r="394" spans="1:14" s="248" customFormat="1" ht="12" hidden="1" x14ac:dyDescent="0.25">
      <c r="A394" s="241" t="s">
        <v>467</v>
      </c>
      <c r="B394" s="242">
        <v>1</v>
      </c>
      <c r="C394" s="243">
        <v>0.9</v>
      </c>
      <c r="D394" s="243">
        <v>2.1</v>
      </c>
      <c r="E394" s="243"/>
      <c r="F394" s="273">
        <f t="shared" ref="F394:F399" si="7">-D394*C394*B394</f>
        <v>-1.8900000000000001</v>
      </c>
      <c r="G394" s="242"/>
      <c r="H394" s="292">
        <f t="shared" si="6"/>
        <v>-1.8900000000000001</v>
      </c>
      <c r="N394" s="323"/>
    </row>
    <row r="395" spans="1:14" s="248" customFormat="1" ht="12" hidden="1" x14ac:dyDescent="0.25">
      <c r="A395" s="241" t="s">
        <v>470</v>
      </c>
      <c r="B395" s="242">
        <v>3</v>
      </c>
      <c r="C395" s="243">
        <v>0.85</v>
      </c>
      <c r="D395" s="243">
        <v>2.1</v>
      </c>
      <c r="E395" s="243"/>
      <c r="F395" s="273">
        <f t="shared" si="7"/>
        <v>-5.3549999999999995</v>
      </c>
      <c r="G395" s="242"/>
      <c r="H395" s="292">
        <f t="shared" si="6"/>
        <v>-5.3549999999999995</v>
      </c>
      <c r="N395" s="323"/>
    </row>
    <row r="396" spans="1:14" s="248" customFormat="1" ht="12" hidden="1" x14ac:dyDescent="0.25">
      <c r="A396" s="241" t="s">
        <v>471</v>
      </c>
      <c r="B396" s="242">
        <v>28</v>
      </c>
      <c r="C396" s="243">
        <v>0.75</v>
      </c>
      <c r="D396" s="243">
        <v>2.1</v>
      </c>
      <c r="E396" s="243"/>
      <c r="F396" s="273">
        <f t="shared" si="7"/>
        <v>-44.100000000000009</v>
      </c>
      <c r="G396" s="242"/>
      <c r="H396" s="292">
        <f t="shared" si="6"/>
        <v>-44.100000000000009</v>
      </c>
      <c r="N396" s="323"/>
    </row>
    <row r="397" spans="1:14" s="248" customFormat="1" ht="12" hidden="1" x14ac:dyDescent="0.25">
      <c r="A397" s="241" t="s">
        <v>465</v>
      </c>
      <c r="B397" s="242">
        <v>1</v>
      </c>
      <c r="C397" s="243">
        <v>2</v>
      </c>
      <c r="D397" s="243">
        <v>1</v>
      </c>
      <c r="E397" s="243"/>
      <c r="F397" s="273">
        <f t="shared" si="7"/>
        <v>-2</v>
      </c>
      <c r="G397" s="242"/>
      <c r="H397" s="292">
        <f t="shared" si="6"/>
        <v>-2</v>
      </c>
      <c r="N397" s="323"/>
    </row>
    <row r="398" spans="1:14" s="248" customFormat="1" ht="12" hidden="1" x14ac:dyDescent="0.25">
      <c r="A398" s="241" t="s">
        <v>466</v>
      </c>
      <c r="B398" s="242">
        <v>5</v>
      </c>
      <c r="C398" s="243">
        <v>0.6</v>
      </c>
      <c r="D398" s="243">
        <v>1</v>
      </c>
      <c r="E398" s="243"/>
      <c r="F398" s="273">
        <f t="shared" si="7"/>
        <v>-3</v>
      </c>
      <c r="G398" s="242"/>
      <c r="H398" s="292">
        <f t="shared" si="6"/>
        <v>-3</v>
      </c>
      <c r="N398" s="323"/>
    </row>
    <row r="399" spans="1:14" s="248" customFormat="1" ht="12" hidden="1" x14ac:dyDescent="0.25">
      <c r="A399" s="241" t="s">
        <v>464</v>
      </c>
      <c r="B399" s="242">
        <v>1</v>
      </c>
      <c r="C399" s="243">
        <v>1.2</v>
      </c>
      <c r="D399" s="243">
        <v>1.2</v>
      </c>
      <c r="E399" s="243"/>
      <c r="F399" s="273">
        <f t="shared" si="7"/>
        <v>-1.44</v>
      </c>
      <c r="G399" s="242"/>
      <c r="H399" s="292"/>
      <c r="N399" s="323"/>
    </row>
    <row r="400" spans="1:14" s="248" customFormat="1" ht="12" hidden="1" x14ac:dyDescent="0.25">
      <c r="A400" s="241"/>
      <c r="B400" s="242"/>
      <c r="C400" s="243"/>
      <c r="D400" s="243"/>
      <c r="E400" s="243"/>
      <c r="F400" s="273"/>
      <c r="G400" s="242"/>
      <c r="H400" s="292"/>
      <c r="N400" s="323"/>
    </row>
    <row r="401" spans="1:14" s="248" customFormat="1" ht="12" hidden="1" x14ac:dyDescent="0.25">
      <c r="A401" s="241"/>
      <c r="B401" s="242"/>
      <c r="C401" s="243"/>
      <c r="D401" s="243"/>
      <c r="E401" s="243"/>
      <c r="F401" s="273">
        <f>SUM(F377:F399)</f>
        <v>329.91499999999996</v>
      </c>
      <c r="G401" s="242"/>
      <c r="H401" s="292">
        <f>SUM(H369:H400)</f>
        <v>-59.945000000000007</v>
      </c>
      <c r="N401" s="323"/>
    </row>
    <row r="402" spans="1:14" s="248" customFormat="1" ht="12" hidden="1" x14ac:dyDescent="0.25">
      <c r="A402" s="241"/>
      <c r="B402" s="242"/>
      <c r="C402" s="243"/>
      <c r="D402" s="243"/>
      <c r="E402" s="243"/>
      <c r="F402" s="273"/>
      <c r="G402" s="242"/>
      <c r="H402" s="292"/>
      <c r="N402" s="323"/>
    </row>
    <row r="403" spans="1:14" s="248" customFormat="1" hidden="1" x14ac:dyDescent="0.2">
      <c r="B403" s="242"/>
      <c r="C403" s="243"/>
      <c r="D403" s="243"/>
      <c r="E403" s="243"/>
      <c r="F403" s="273">
        <f>+F401+F373</f>
        <v>546.58500000000004</v>
      </c>
      <c r="G403" s="322"/>
      <c r="H403" s="292"/>
      <c r="N403" s="323"/>
    </row>
    <row r="404" spans="1:14" s="334" customFormat="1" hidden="1" x14ac:dyDescent="0.2">
      <c r="B404" s="335"/>
      <c r="C404" s="336"/>
      <c r="D404" s="336"/>
      <c r="E404" s="336"/>
      <c r="F404" s="363"/>
      <c r="G404" s="364"/>
      <c r="H404" s="365"/>
      <c r="N404" s="366"/>
    </row>
    <row r="405" spans="1:14" s="248" customFormat="1" hidden="1" x14ac:dyDescent="0.2">
      <c r="A405" s="248" t="s">
        <v>472</v>
      </c>
      <c r="B405" s="242">
        <v>25</v>
      </c>
      <c r="C405" s="243">
        <v>1.5</v>
      </c>
      <c r="D405" s="243">
        <v>2.1</v>
      </c>
      <c r="E405" s="243"/>
      <c r="F405" s="273">
        <f>+D405*C405*B405</f>
        <v>78.750000000000014</v>
      </c>
      <c r="G405" s="322"/>
      <c r="H405" s="292"/>
      <c r="N405" s="323"/>
    </row>
    <row r="406" spans="1:14" s="248" customFormat="1" hidden="1" x14ac:dyDescent="0.2">
      <c r="B406" s="242">
        <v>4</v>
      </c>
      <c r="C406" s="243">
        <v>0.45</v>
      </c>
      <c r="D406" s="243">
        <f>+D405</f>
        <v>2.1</v>
      </c>
      <c r="E406" s="243"/>
      <c r="F406" s="273">
        <f>+D406*C406*B406</f>
        <v>3.7800000000000002</v>
      </c>
      <c r="G406" s="322"/>
      <c r="H406" s="292"/>
      <c r="N406" s="323"/>
    </row>
    <row r="407" spans="1:14" s="248" customFormat="1" hidden="1" x14ac:dyDescent="0.2">
      <c r="B407" s="242"/>
      <c r="C407" s="243"/>
      <c r="D407" s="243"/>
      <c r="E407" s="243"/>
      <c r="F407" s="273">
        <f>SUM(F405:F406)</f>
        <v>82.530000000000015</v>
      </c>
      <c r="G407" s="322"/>
      <c r="H407" s="292"/>
      <c r="N407" s="323"/>
    </row>
    <row r="408" spans="1:14" s="334" customFormat="1" hidden="1" x14ac:dyDescent="0.2">
      <c r="B408" s="335"/>
      <c r="C408" s="336"/>
      <c r="D408" s="336"/>
      <c r="E408" s="336"/>
      <c r="F408" s="363"/>
      <c r="G408" s="364"/>
      <c r="H408" s="365"/>
      <c r="N408" s="366"/>
    </row>
    <row r="409" spans="1:14" s="248" customFormat="1" hidden="1" x14ac:dyDescent="0.2">
      <c r="A409" s="248" t="s">
        <v>473</v>
      </c>
      <c r="B409" s="242"/>
      <c r="C409" s="243"/>
      <c r="D409" s="243"/>
      <c r="E409" s="243"/>
      <c r="F409" s="273"/>
      <c r="G409" s="322"/>
      <c r="H409" s="292"/>
      <c r="N409" s="323"/>
    </row>
    <row r="410" spans="1:14" s="248" customFormat="1" hidden="1" x14ac:dyDescent="0.2">
      <c r="A410" s="248">
        <v>2.1</v>
      </c>
      <c r="B410" s="242">
        <v>6</v>
      </c>
      <c r="C410" s="243">
        <v>7</v>
      </c>
      <c r="D410" s="243">
        <v>2.1</v>
      </c>
      <c r="E410" s="243"/>
      <c r="F410" s="273">
        <f t="shared" ref="F410:F422" si="8">+D410*C410*B410</f>
        <v>88.2</v>
      </c>
      <c r="G410" s="322"/>
      <c r="H410" s="292">
        <f t="shared" ref="H410:H421" si="9">+C410*B410</f>
        <v>42</v>
      </c>
      <c r="N410" s="323"/>
    </row>
    <row r="411" spans="1:14" s="248" customFormat="1" hidden="1" x14ac:dyDescent="0.2">
      <c r="B411" s="242">
        <v>2</v>
      </c>
      <c r="C411" s="243">
        <v>8</v>
      </c>
      <c r="D411" s="243">
        <f t="shared" ref="D411:D418" si="10">+D410</f>
        <v>2.1</v>
      </c>
      <c r="E411" s="243"/>
      <c r="F411" s="273">
        <f t="shared" si="8"/>
        <v>33.6</v>
      </c>
      <c r="G411" s="322"/>
      <c r="H411" s="292">
        <f t="shared" si="9"/>
        <v>16</v>
      </c>
      <c r="N411" s="323"/>
    </row>
    <row r="412" spans="1:14" s="248" customFormat="1" hidden="1" x14ac:dyDescent="0.2">
      <c r="B412" s="242">
        <v>2</v>
      </c>
      <c r="C412" s="243">
        <v>6</v>
      </c>
      <c r="D412" s="243">
        <f t="shared" si="10"/>
        <v>2.1</v>
      </c>
      <c r="E412" s="243"/>
      <c r="F412" s="273">
        <f t="shared" si="8"/>
        <v>25.200000000000003</v>
      </c>
      <c r="G412" s="322"/>
      <c r="H412" s="292">
        <f t="shared" si="9"/>
        <v>12</v>
      </c>
      <c r="N412" s="323"/>
    </row>
    <row r="413" spans="1:14" s="248" customFormat="1" hidden="1" x14ac:dyDescent="0.2">
      <c r="B413" s="242">
        <v>28</v>
      </c>
      <c r="C413" s="243">
        <v>1.5</v>
      </c>
      <c r="D413" s="243">
        <f t="shared" si="10"/>
        <v>2.1</v>
      </c>
      <c r="E413" s="243"/>
      <c r="F413" s="273">
        <f t="shared" si="8"/>
        <v>88.200000000000017</v>
      </c>
      <c r="G413" s="322"/>
      <c r="H413" s="292">
        <f t="shared" si="9"/>
        <v>42</v>
      </c>
      <c r="N413" s="323"/>
    </row>
    <row r="414" spans="1:14" s="248" customFormat="1" hidden="1" x14ac:dyDescent="0.2">
      <c r="B414" s="242">
        <v>16</v>
      </c>
      <c r="C414" s="243">
        <v>0.5</v>
      </c>
      <c r="D414" s="243">
        <f t="shared" si="10"/>
        <v>2.1</v>
      </c>
      <c r="E414" s="243"/>
      <c r="F414" s="273">
        <f t="shared" si="8"/>
        <v>16.8</v>
      </c>
      <c r="G414" s="322"/>
      <c r="H414" s="292">
        <f t="shared" si="9"/>
        <v>8</v>
      </c>
      <c r="N414" s="323"/>
    </row>
    <row r="415" spans="1:14" s="248" customFormat="1" hidden="1" x14ac:dyDescent="0.2">
      <c r="B415" s="242">
        <v>6</v>
      </c>
      <c r="C415" s="243">
        <v>5</v>
      </c>
      <c r="D415" s="243">
        <f t="shared" si="10"/>
        <v>2.1</v>
      </c>
      <c r="E415" s="243"/>
      <c r="F415" s="273">
        <f t="shared" si="8"/>
        <v>63</v>
      </c>
      <c r="G415" s="322"/>
      <c r="H415" s="292">
        <f t="shared" si="9"/>
        <v>30</v>
      </c>
      <c r="N415" s="323"/>
    </row>
    <row r="416" spans="1:14" s="248" customFormat="1" hidden="1" x14ac:dyDescent="0.2">
      <c r="B416" s="242">
        <v>2</v>
      </c>
      <c r="C416" s="243">
        <v>4</v>
      </c>
      <c r="D416" s="243">
        <f t="shared" si="10"/>
        <v>2.1</v>
      </c>
      <c r="E416" s="243"/>
      <c r="F416" s="273">
        <f t="shared" si="8"/>
        <v>16.8</v>
      </c>
      <c r="G416" s="322"/>
      <c r="H416" s="292">
        <f t="shared" si="9"/>
        <v>8</v>
      </c>
      <c r="N416" s="323"/>
    </row>
    <row r="417" spans="1:14" s="248" customFormat="1" hidden="1" x14ac:dyDescent="0.2">
      <c r="B417" s="242">
        <v>24</v>
      </c>
      <c r="C417" s="243">
        <v>1.5</v>
      </c>
      <c r="D417" s="243">
        <f t="shared" si="10"/>
        <v>2.1</v>
      </c>
      <c r="E417" s="243"/>
      <c r="F417" s="273">
        <f t="shared" si="8"/>
        <v>75.600000000000009</v>
      </c>
      <c r="G417" s="322"/>
      <c r="H417" s="292">
        <f t="shared" si="9"/>
        <v>36</v>
      </c>
      <c r="N417" s="323"/>
    </row>
    <row r="418" spans="1:14" s="248" customFormat="1" hidden="1" x14ac:dyDescent="0.2">
      <c r="B418" s="242">
        <v>4</v>
      </c>
      <c r="C418" s="243">
        <v>2</v>
      </c>
      <c r="D418" s="243">
        <f t="shared" si="10"/>
        <v>2.1</v>
      </c>
      <c r="E418" s="243"/>
      <c r="F418" s="273">
        <f t="shared" si="8"/>
        <v>16.8</v>
      </c>
      <c r="G418" s="322"/>
      <c r="H418" s="292">
        <f t="shared" si="9"/>
        <v>8</v>
      </c>
      <c r="N418" s="323"/>
    </row>
    <row r="419" spans="1:14" s="248" customFormat="1" hidden="1" x14ac:dyDescent="0.2">
      <c r="B419" s="242">
        <v>4</v>
      </c>
      <c r="C419" s="243">
        <v>2.4</v>
      </c>
      <c r="D419" s="243">
        <f>+D418</f>
        <v>2.1</v>
      </c>
      <c r="E419" s="243"/>
      <c r="F419" s="273">
        <f t="shared" si="8"/>
        <v>20.16</v>
      </c>
      <c r="G419" s="322"/>
      <c r="H419" s="292">
        <f t="shared" si="9"/>
        <v>9.6</v>
      </c>
      <c r="N419" s="323"/>
    </row>
    <row r="420" spans="1:14" s="248" customFormat="1" hidden="1" x14ac:dyDescent="0.2">
      <c r="B420" s="242">
        <v>4</v>
      </c>
      <c r="C420" s="243">
        <v>2.8</v>
      </c>
      <c r="D420" s="243">
        <f>+D419</f>
        <v>2.1</v>
      </c>
      <c r="E420" s="243"/>
      <c r="F420" s="273">
        <f t="shared" si="8"/>
        <v>23.52</v>
      </c>
      <c r="G420" s="322"/>
      <c r="H420" s="292">
        <f t="shared" si="9"/>
        <v>11.2</v>
      </c>
      <c r="N420" s="323"/>
    </row>
    <row r="421" spans="1:14" s="248" customFormat="1" hidden="1" x14ac:dyDescent="0.2">
      <c r="B421" s="242">
        <v>2</v>
      </c>
      <c r="C421" s="243">
        <v>3</v>
      </c>
      <c r="D421" s="243">
        <f>+D420</f>
        <v>2.1</v>
      </c>
      <c r="E421" s="243"/>
      <c r="F421" s="273">
        <f t="shared" si="8"/>
        <v>12.600000000000001</v>
      </c>
      <c r="G421" s="322"/>
      <c r="H421" s="292">
        <f t="shared" si="9"/>
        <v>6</v>
      </c>
      <c r="N421" s="323"/>
    </row>
    <row r="422" spans="1:14" s="248" customFormat="1" hidden="1" x14ac:dyDescent="0.2">
      <c r="A422" s="248" t="s">
        <v>474</v>
      </c>
      <c r="B422" s="242">
        <v>4</v>
      </c>
      <c r="C422" s="243">
        <v>2.5</v>
      </c>
      <c r="D422" s="243">
        <v>0.6</v>
      </c>
      <c r="E422" s="243"/>
      <c r="F422" s="273">
        <f t="shared" si="8"/>
        <v>6</v>
      </c>
      <c r="G422" s="322"/>
      <c r="H422" s="292"/>
      <c r="N422" s="323"/>
    </row>
    <row r="423" spans="1:14" s="248" customFormat="1" hidden="1" x14ac:dyDescent="0.2">
      <c r="B423" s="242"/>
      <c r="C423" s="243"/>
      <c r="D423" s="243"/>
      <c r="E423" s="243"/>
      <c r="F423" s="273"/>
      <c r="G423" s="322"/>
      <c r="H423" s="292"/>
      <c r="N423" s="323"/>
    </row>
    <row r="424" spans="1:14" s="248" customFormat="1" hidden="1" x14ac:dyDescent="0.2">
      <c r="B424" s="242"/>
      <c r="C424" s="243"/>
      <c r="D424" s="243"/>
      <c r="E424" s="243"/>
      <c r="F424" s="273"/>
      <c r="G424" s="322"/>
      <c r="H424" s="292"/>
      <c r="N424" s="323"/>
    </row>
    <row r="425" spans="1:14" s="248" customFormat="1" hidden="1" x14ac:dyDescent="0.2">
      <c r="B425" s="242"/>
      <c r="C425" s="243"/>
      <c r="D425" s="243"/>
      <c r="E425" s="243"/>
      <c r="F425" s="273"/>
      <c r="G425" s="322"/>
      <c r="H425" s="292">
        <f>SUM(H410:H422)</f>
        <v>228.79999999999998</v>
      </c>
      <c r="N425" s="323"/>
    </row>
    <row r="426" spans="1:14" s="248" customFormat="1" hidden="1" x14ac:dyDescent="0.2">
      <c r="A426" s="248" t="s">
        <v>463</v>
      </c>
      <c r="B426" s="242"/>
      <c r="C426" s="243"/>
      <c r="D426" s="243"/>
      <c r="E426" s="243"/>
      <c r="F426" s="273"/>
      <c r="G426" s="322"/>
      <c r="H426" s="292"/>
      <c r="N426" s="323"/>
    </row>
    <row r="427" spans="1:14" s="248" customFormat="1" hidden="1" x14ac:dyDescent="0.2">
      <c r="A427" s="248" t="s">
        <v>471</v>
      </c>
      <c r="B427" s="242">
        <f>28*2</f>
        <v>56</v>
      </c>
      <c r="C427" s="243">
        <v>0.75</v>
      </c>
      <c r="D427" s="243">
        <v>2.1</v>
      </c>
      <c r="E427" s="243"/>
      <c r="F427" s="273">
        <f>-D427*C427*B427</f>
        <v>-88.200000000000017</v>
      </c>
      <c r="G427" s="322"/>
      <c r="H427" s="292"/>
      <c r="N427" s="323"/>
    </row>
    <row r="428" spans="1:14" s="248" customFormat="1" hidden="1" x14ac:dyDescent="0.2">
      <c r="A428" s="248" t="s">
        <v>470</v>
      </c>
      <c r="B428" s="242">
        <v>3</v>
      </c>
      <c r="C428" s="243">
        <v>0.85</v>
      </c>
      <c r="D428" s="243">
        <f>+D427</f>
        <v>2.1</v>
      </c>
      <c r="E428" s="243"/>
      <c r="F428" s="273">
        <f>-D428*C428*B428</f>
        <v>-5.3549999999999995</v>
      </c>
      <c r="G428" s="322"/>
      <c r="H428" s="292"/>
      <c r="N428" s="323"/>
    </row>
    <row r="429" spans="1:14" s="248" customFormat="1" hidden="1" x14ac:dyDescent="0.2">
      <c r="B429" s="242"/>
      <c r="C429" s="243"/>
      <c r="D429" s="243"/>
      <c r="E429" s="243"/>
      <c r="F429" s="273">
        <f>SUM(F410:F428)</f>
        <v>392.92500000000007</v>
      </c>
      <c r="G429" s="322"/>
      <c r="H429" s="292"/>
      <c r="N429" s="323"/>
    </row>
    <row r="430" spans="1:14" s="248" customFormat="1" hidden="1" x14ac:dyDescent="0.2">
      <c r="B430" s="242"/>
      <c r="C430" s="243"/>
      <c r="D430" s="243"/>
      <c r="E430" s="243"/>
      <c r="F430" s="273"/>
      <c r="G430" s="322"/>
      <c r="H430" s="292"/>
      <c r="N430" s="323"/>
    </row>
    <row r="431" spans="1:14" s="248" customFormat="1" hidden="1" x14ac:dyDescent="0.2">
      <c r="B431" s="242"/>
      <c r="C431" s="243"/>
      <c r="D431" s="243"/>
      <c r="E431" s="243"/>
      <c r="F431" s="273"/>
      <c r="G431" s="322"/>
      <c r="H431" s="292"/>
      <c r="N431" s="323"/>
    </row>
    <row r="432" spans="1:14" s="248" customFormat="1" hidden="1" x14ac:dyDescent="0.2">
      <c r="B432" s="242"/>
      <c r="C432" s="243"/>
      <c r="D432" s="243"/>
      <c r="E432" s="243"/>
      <c r="F432" s="273"/>
      <c r="G432" s="242"/>
      <c r="H432" s="292"/>
      <c r="N432" s="323"/>
    </row>
    <row r="433" spans="1:14" s="334" customFormat="1" hidden="1" x14ac:dyDescent="0.2">
      <c r="B433" s="335"/>
      <c r="C433" s="336"/>
      <c r="D433" s="336"/>
      <c r="E433" s="336"/>
      <c r="F433" s="363"/>
      <c r="G433" s="335"/>
      <c r="H433" s="365"/>
      <c r="N433" s="366"/>
    </row>
    <row r="434" spans="1:14" s="248" customFormat="1" ht="12" hidden="1" x14ac:dyDescent="0.25">
      <c r="A434" s="241" t="s">
        <v>475</v>
      </c>
      <c r="B434" s="242"/>
      <c r="C434" s="243"/>
      <c r="D434" s="243"/>
      <c r="E434" s="243"/>
      <c r="F434" s="273"/>
      <c r="G434" s="242"/>
      <c r="H434" s="292"/>
      <c r="N434" s="323"/>
    </row>
    <row r="435" spans="1:14" s="248" customFormat="1" hidden="1" x14ac:dyDescent="0.2">
      <c r="A435" s="248" t="s">
        <v>459</v>
      </c>
      <c r="B435" s="242"/>
      <c r="C435" s="243"/>
      <c r="D435" s="243"/>
      <c r="E435" s="243"/>
      <c r="F435" s="273">
        <f>+F373</f>
        <v>216.67000000000002</v>
      </c>
      <c r="G435" s="242"/>
      <c r="H435" s="292"/>
      <c r="N435" s="323"/>
    </row>
    <row r="436" spans="1:14" s="248" customFormat="1" hidden="1" x14ac:dyDescent="0.2">
      <c r="B436" s="242"/>
      <c r="C436" s="243"/>
      <c r="D436" s="243"/>
      <c r="E436" s="243"/>
      <c r="F436" s="273"/>
      <c r="G436" s="242"/>
      <c r="H436" s="292"/>
      <c r="N436" s="323"/>
    </row>
    <row r="437" spans="1:14" s="248" customFormat="1" hidden="1" x14ac:dyDescent="0.2">
      <c r="B437" s="242"/>
      <c r="C437" s="243"/>
      <c r="D437" s="243"/>
      <c r="E437" s="243"/>
      <c r="F437" s="273"/>
      <c r="G437" s="242"/>
      <c r="H437" s="292"/>
      <c r="N437" s="323"/>
    </row>
    <row r="438" spans="1:14" s="334" customFormat="1" hidden="1" x14ac:dyDescent="0.2">
      <c r="B438" s="335"/>
      <c r="C438" s="336"/>
      <c r="D438" s="336"/>
      <c r="E438" s="336"/>
      <c r="F438" s="363"/>
      <c r="G438" s="335"/>
      <c r="H438" s="365"/>
      <c r="N438" s="366"/>
    </row>
    <row r="439" spans="1:14" s="262" customFormat="1" hidden="1" x14ac:dyDescent="0.2">
      <c r="B439" s="288"/>
      <c r="C439" s="289"/>
      <c r="D439" s="289"/>
      <c r="E439" s="289"/>
      <c r="F439" s="265"/>
      <c r="G439" s="288"/>
      <c r="H439" s="291"/>
      <c r="N439" s="362"/>
    </row>
    <row r="440" spans="1:14" s="248" customFormat="1" hidden="1" x14ac:dyDescent="0.2">
      <c r="B440" s="242"/>
      <c r="C440" s="243"/>
      <c r="D440" s="243"/>
      <c r="E440" s="243"/>
      <c r="F440" s="273"/>
      <c r="G440" s="242"/>
      <c r="H440" s="292"/>
      <c r="N440" s="342"/>
    </row>
    <row r="441" spans="1:14" s="248" customFormat="1" hidden="1" x14ac:dyDescent="0.2">
      <c r="B441" s="242"/>
      <c r="C441" s="243"/>
      <c r="D441" s="243"/>
      <c r="E441" s="243"/>
      <c r="F441" s="273"/>
      <c r="G441" s="242"/>
      <c r="H441" s="292"/>
      <c r="N441" s="342"/>
    </row>
    <row r="442" spans="1:14" s="248" customFormat="1" hidden="1" x14ac:dyDescent="0.2">
      <c r="A442" s="248" t="s">
        <v>476</v>
      </c>
      <c r="B442" s="242"/>
      <c r="C442" s="243"/>
      <c r="D442" s="243"/>
      <c r="E442" s="243"/>
      <c r="F442" s="273">
        <f>+F373</f>
        <v>216.67000000000002</v>
      </c>
      <c r="G442" s="242"/>
      <c r="H442" s="292"/>
      <c r="N442" s="323"/>
    </row>
    <row r="443" spans="1:14" s="248" customFormat="1" hidden="1" x14ac:dyDescent="0.2">
      <c r="B443" s="242"/>
      <c r="C443" s="243"/>
      <c r="D443" s="243"/>
      <c r="E443" s="243"/>
      <c r="F443" s="273">
        <f>+F401*2</f>
        <v>659.82999999999993</v>
      </c>
      <c r="G443" s="242"/>
      <c r="H443" s="292"/>
      <c r="N443" s="323"/>
    </row>
    <row r="444" spans="1:14" hidden="1" x14ac:dyDescent="0.2">
      <c r="F444" s="273">
        <f>+F407*2</f>
        <v>165.06000000000003</v>
      </c>
      <c r="H444" s="274"/>
    </row>
    <row r="445" spans="1:14" hidden="1" x14ac:dyDescent="0.2">
      <c r="A445" s="248" t="s">
        <v>477</v>
      </c>
      <c r="F445" s="273">
        <f>-F429</f>
        <v>-392.92500000000007</v>
      </c>
      <c r="H445" s="274"/>
    </row>
    <row r="446" spans="1:14" hidden="1" x14ac:dyDescent="0.2">
      <c r="F446" s="273">
        <f>SUM(F442:F445)</f>
        <v>648.63499999999988</v>
      </c>
      <c r="H446" s="274"/>
    </row>
    <row r="447" spans="1:14" s="268" customFormat="1" hidden="1" x14ac:dyDescent="0.2">
      <c r="A447" s="262"/>
      <c r="B447" s="288"/>
      <c r="C447" s="289"/>
      <c r="D447" s="289"/>
      <c r="E447" s="289"/>
      <c r="F447" s="265"/>
      <c r="G447" s="288"/>
      <c r="H447" s="267"/>
      <c r="N447" s="270"/>
    </row>
    <row r="448" spans="1:14" hidden="1" x14ac:dyDescent="0.2">
      <c r="A448" s="246"/>
      <c r="B448" s="347"/>
      <c r="C448" s="348"/>
      <c r="D448" s="348"/>
      <c r="E448" s="348"/>
      <c r="F448" s="367"/>
      <c r="G448" s="347"/>
      <c r="H448" s="274"/>
      <c r="N448" s="275"/>
    </row>
    <row r="449" spans="1:14" hidden="1" x14ac:dyDescent="0.2">
      <c r="A449" s="248" t="s">
        <v>478</v>
      </c>
      <c r="F449" s="273"/>
      <c r="G449" s="347"/>
      <c r="H449" s="274"/>
      <c r="N449" s="275"/>
    </row>
    <row r="450" spans="1:14" hidden="1" x14ac:dyDescent="0.2">
      <c r="B450" s="242">
        <v>1</v>
      </c>
      <c r="C450" s="243">
        <v>12</v>
      </c>
      <c r="D450" s="243">
        <v>10</v>
      </c>
      <c r="F450" s="273">
        <f>+D450*C450*B450</f>
        <v>120</v>
      </c>
      <c r="G450" s="347"/>
      <c r="H450" s="274"/>
      <c r="N450" s="275"/>
    </row>
    <row r="451" spans="1:14" hidden="1" x14ac:dyDescent="0.2">
      <c r="B451" s="242">
        <v>1</v>
      </c>
      <c r="C451" s="243">
        <v>5</v>
      </c>
      <c r="D451" s="243">
        <v>6</v>
      </c>
      <c r="F451" s="273">
        <f>+D451*C451*B451</f>
        <v>30</v>
      </c>
      <c r="G451" s="347"/>
      <c r="H451" s="274"/>
      <c r="N451" s="275"/>
    </row>
    <row r="452" spans="1:14" hidden="1" x14ac:dyDescent="0.2">
      <c r="F452" s="273"/>
      <c r="G452" s="347"/>
      <c r="H452" s="274"/>
      <c r="N452" s="275"/>
    </row>
    <row r="453" spans="1:14" hidden="1" x14ac:dyDescent="0.2">
      <c r="F453" s="273"/>
      <c r="G453" s="347"/>
      <c r="H453" s="274"/>
      <c r="N453" s="275"/>
    </row>
    <row r="454" spans="1:14" hidden="1" x14ac:dyDescent="0.2">
      <c r="A454" s="246"/>
      <c r="B454" s="347"/>
      <c r="C454" s="348"/>
      <c r="D454" s="348"/>
      <c r="E454" s="348"/>
      <c r="F454" s="273">
        <f>SUM(F449:F453)</f>
        <v>150</v>
      </c>
      <c r="G454" s="347"/>
      <c r="H454" s="274"/>
      <c r="N454" s="275"/>
    </row>
    <row r="455" spans="1:14" s="339" customFormat="1" hidden="1" x14ac:dyDescent="0.2">
      <c r="B455" s="368"/>
      <c r="C455" s="369"/>
      <c r="D455" s="369"/>
      <c r="E455" s="369"/>
      <c r="F455" s="370"/>
      <c r="G455" s="368"/>
      <c r="H455" s="338"/>
      <c r="N455" s="371"/>
    </row>
    <row r="456" spans="1:14" hidden="1" x14ac:dyDescent="0.2">
      <c r="A456" s="246"/>
      <c r="B456" s="347"/>
      <c r="C456" s="348"/>
      <c r="D456" s="348"/>
      <c r="E456" s="348"/>
      <c r="F456" s="367"/>
      <c r="G456" s="347"/>
      <c r="H456" s="274"/>
      <c r="N456" s="275"/>
    </row>
    <row r="457" spans="1:14" hidden="1" x14ac:dyDescent="0.2">
      <c r="A457" s="248" t="s">
        <v>479</v>
      </c>
      <c r="C457" s="243">
        <v>18</v>
      </c>
      <c r="D457" s="243">
        <v>15</v>
      </c>
      <c r="F457" s="273">
        <f>+D457*C457</f>
        <v>270</v>
      </c>
      <c r="G457" s="347"/>
      <c r="H457" s="274"/>
      <c r="N457" s="275"/>
    </row>
    <row r="458" spans="1:14" hidden="1" x14ac:dyDescent="0.2">
      <c r="A458" s="246"/>
      <c r="B458" s="347"/>
      <c r="C458" s="348"/>
      <c r="D458" s="348"/>
      <c r="E458" s="348"/>
      <c r="F458" s="367"/>
      <c r="G458" s="347"/>
      <c r="H458" s="274"/>
      <c r="N458" s="275"/>
    </row>
    <row r="459" spans="1:14" hidden="1" x14ac:dyDescent="0.2">
      <c r="A459" s="246"/>
      <c r="B459" s="347"/>
      <c r="C459" s="348"/>
      <c r="D459" s="348"/>
      <c r="E459" s="348"/>
      <c r="F459" s="367"/>
      <c r="G459" s="347"/>
      <c r="H459" s="274"/>
      <c r="N459" s="275"/>
    </row>
    <row r="460" spans="1:14" s="339" customFormat="1" hidden="1" x14ac:dyDescent="0.2">
      <c r="B460" s="368"/>
      <c r="C460" s="369"/>
      <c r="D460" s="369"/>
      <c r="E460" s="369"/>
      <c r="F460" s="370"/>
      <c r="G460" s="368"/>
      <c r="H460" s="338"/>
      <c r="N460" s="371"/>
    </row>
    <row r="461" spans="1:14" hidden="1" x14ac:dyDescent="0.2">
      <c r="A461" s="246"/>
      <c r="B461" s="347"/>
      <c r="C461" s="348"/>
      <c r="D461" s="348"/>
      <c r="E461" s="348"/>
      <c r="F461" s="367"/>
      <c r="G461" s="347"/>
      <c r="H461" s="274"/>
      <c r="N461" s="275"/>
    </row>
    <row r="462" spans="1:14" hidden="1" x14ac:dyDescent="0.2">
      <c r="A462" s="246"/>
      <c r="B462" s="347"/>
      <c r="C462" s="348"/>
      <c r="D462" s="348"/>
      <c r="E462" s="348"/>
      <c r="F462" s="367"/>
      <c r="G462" s="347"/>
      <c r="H462" s="274"/>
      <c r="N462" s="275"/>
    </row>
    <row r="463" spans="1:14" hidden="1" x14ac:dyDescent="0.2">
      <c r="A463" s="246"/>
      <c r="B463" s="347"/>
      <c r="C463" s="348"/>
      <c r="D463" s="348"/>
      <c r="E463" s="348"/>
      <c r="F463" s="367"/>
      <c r="G463" s="347"/>
      <c r="H463" s="274"/>
      <c r="N463" s="275"/>
    </row>
    <row r="464" spans="1:14" hidden="1" x14ac:dyDescent="0.2">
      <c r="A464" s="246"/>
      <c r="B464" s="347"/>
      <c r="C464" s="348"/>
      <c r="D464" s="348"/>
      <c r="E464" s="348"/>
      <c r="F464" s="367"/>
      <c r="G464" s="347"/>
      <c r="H464" s="274"/>
      <c r="N464" s="275"/>
    </row>
    <row r="465" spans="1:14" hidden="1" x14ac:dyDescent="0.2">
      <c r="A465" s="246"/>
      <c r="B465" s="347"/>
      <c r="C465" s="348"/>
      <c r="D465" s="348"/>
      <c r="E465" s="348"/>
      <c r="F465" s="367"/>
      <c r="G465" s="347"/>
      <c r="H465" s="274"/>
      <c r="N465" s="275"/>
    </row>
    <row r="466" spans="1:14" s="248" customFormat="1" hidden="1" x14ac:dyDescent="0.2">
      <c r="A466" s="248" t="s">
        <v>480</v>
      </c>
      <c r="B466" s="242"/>
      <c r="C466" s="243"/>
      <c r="D466" s="243"/>
      <c r="E466" s="243"/>
      <c r="F466" s="273"/>
      <c r="G466" s="242"/>
      <c r="H466" s="292"/>
      <c r="N466" s="342"/>
    </row>
    <row r="467" spans="1:14" s="248" customFormat="1" hidden="1" x14ac:dyDescent="0.2">
      <c r="B467" s="242">
        <v>1</v>
      </c>
      <c r="C467" s="243">
        <f>31.8-14.6</f>
        <v>17.200000000000003</v>
      </c>
      <c r="D467" s="243"/>
      <c r="E467" s="243"/>
      <c r="F467" s="273">
        <f>+C467*B467</f>
        <v>17.200000000000003</v>
      </c>
      <c r="G467" s="242"/>
      <c r="H467" s="292"/>
      <c r="N467" s="342"/>
    </row>
    <row r="468" spans="1:14" s="248" customFormat="1" hidden="1" x14ac:dyDescent="0.2">
      <c r="B468" s="242">
        <v>1</v>
      </c>
      <c r="C468" s="243">
        <v>6</v>
      </c>
      <c r="D468" s="243"/>
      <c r="E468" s="243"/>
      <c r="F468" s="273">
        <f>+C468*B468</f>
        <v>6</v>
      </c>
      <c r="G468" s="242"/>
      <c r="H468" s="292"/>
      <c r="N468" s="342"/>
    </row>
    <row r="469" spans="1:14" s="248" customFormat="1" hidden="1" x14ac:dyDescent="0.2">
      <c r="B469" s="242">
        <v>1</v>
      </c>
      <c r="C469" s="243">
        <v>9.6</v>
      </c>
      <c r="D469" s="243"/>
      <c r="E469" s="243"/>
      <c r="F469" s="273">
        <f>+C469*B469</f>
        <v>9.6</v>
      </c>
      <c r="G469" s="242"/>
      <c r="H469" s="292"/>
      <c r="N469" s="342"/>
    </row>
    <row r="470" spans="1:14" s="248" customFormat="1" ht="12" hidden="1" x14ac:dyDescent="0.25">
      <c r="B470" s="242"/>
      <c r="C470" s="243"/>
      <c r="D470" s="243"/>
      <c r="E470" s="243"/>
      <c r="F470" s="295">
        <f>SUM(F466:F469)</f>
        <v>32.800000000000004</v>
      </c>
      <c r="G470" s="242"/>
      <c r="H470" s="292"/>
      <c r="N470" s="342"/>
    </row>
    <row r="471" spans="1:14" s="248" customFormat="1" hidden="1" x14ac:dyDescent="0.2">
      <c r="B471" s="242"/>
      <c r="C471" s="243"/>
      <c r="D471" s="243"/>
      <c r="E471" s="243"/>
      <c r="F471" s="273"/>
      <c r="G471" s="242"/>
      <c r="H471" s="292"/>
      <c r="N471" s="342"/>
    </row>
    <row r="472" spans="1:14" s="262" customFormat="1" hidden="1" x14ac:dyDescent="0.2">
      <c r="B472" s="288"/>
      <c r="C472" s="289"/>
      <c r="D472" s="289"/>
      <c r="E472" s="289"/>
      <c r="F472" s="265"/>
      <c r="G472" s="288"/>
      <c r="H472" s="291"/>
      <c r="N472" s="362"/>
    </row>
    <row r="473" spans="1:14" hidden="1" x14ac:dyDescent="0.2">
      <c r="A473" s="246"/>
      <c r="B473" s="347"/>
      <c r="C473" s="348"/>
      <c r="D473" s="348"/>
      <c r="E473" s="348"/>
      <c r="F473" s="367"/>
      <c r="G473" s="347"/>
      <c r="H473" s="274"/>
      <c r="N473" s="275"/>
    </row>
    <row r="474" spans="1:14" hidden="1" x14ac:dyDescent="0.2">
      <c r="A474" s="248" t="s">
        <v>481</v>
      </c>
      <c r="F474" s="273"/>
      <c r="H474" s="274"/>
      <c r="N474" s="275"/>
    </row>
    <row r="475" spans="1:14" hidden="1" x14ac:dyDescent="0.2">
      <c r="B475" s="242">
        <v>1</v>
      </c>
      <c r="C475" s="243">
        <f>31.8-14.6</f>
        <v>17.200000000000003</v>
      </c>
      <c r="F475" s="273">
        <f t="shared" ref="F475:F481" si="11">+C475*B475</f>
        <v>17.200000000000003</v>
      </c>
      <c r="H475" s="274"/>
      <c r="N475" s="275"/>
    </row>
    <row r="476" spans="1:14" hidden="1" x14ac:dyDescent="0.2">
      <c r="B476" s="242">
        <v>1</v>
      </c>
      <c r="C476" s="243">
        <v>6</v>
      </c>
      <c r="F476" s="273">
        <f t="shared" si="11"/>
        <v>6</v>
      </c>
      <c r="H476" s="274"/>
      <c r="N476" s="275"/>
    </row>
    <row r="477" spans="1:14" hidden="1" x14ac:dyDescent="0.2">
      <c r="B477" s="242">
        <v>1</v>
      </c>
      <c r="C477" s="243">
        <v>9.6</v>
      </c>
      <c r="F477" s="273">
        <f t="shared" si="11"/>
        <v>9.6</v>
      </c>
      <c r="H477" s="274"/>
      <c r="N477" s="275"/>
    </row>
    <row r="478" spans="1:14" hidden="1" x14ac:dyDescent="0.2">
      <c r="B478" s="242">
        <v>1</v>
      </c>
      <c r="C478" s="243">
        <v>6.5</v>
      </c>
      <c r="F478" s="273">
        <f t="shared" si="11"/>
        <v>6.5</v>
      </c>
      <c r="H478" s="274"/>
      <c r="N478" s="275"/>
    </row>
    <row r="479" spans="1:14" hidden="1" x14ac:dyDescent="0.2">
      <c r="B479" s="242">
        <v>1</v>
      </c>
      <c r="C479" s="243">
        <v>7.5</v>
      </c>
      <c r="F479" s="273">
        <f t="shared" si="11"/>
        <v>7.5</v>
      </c>
      <c r="H479" s="274"/>
      <c r="N479" s="275"/>
    </row>
    <row r="480" spans="1:14" hidden="1" x14ac:dyDescent="0.2">
      <c r="B480" s="242">
        <v>1</v>
      </c>
      <c r="C480" s="243">
        <v>7.2</v>
      </c>
      <c r="F480" s="273">
        <f t="shared" si="11"/>
        <v>7.2</v>
      </c>
      <c r="H480" s="274"/>
      <c r="N480" s="275"/>
    </row>
    <row r="481" spans="1:14" hidden="1" x14ac:dyDescent="0.2">
      <c r="B481" s="242">
        <v>1</v>
      </c>
      <c r="C481" s="243">
        <v>5.2</v>
      </c>
      <c r="F481" s="273">
        <f t="shared" si="11"/>
        <v>5.2</v>
      </c>
      <c r="H481" s="274"/>
      <c r="N481" s="275"/>
    </row>
    <row r="482" spans="1:14" hidden="1" x14ac:dyDescent="0.2">
      <c r="F482" s="273">
        <f>SUM(F475:F481)</f>
        <v>59.20000000000001</v>
      </c>
      <c r="H482" s="274"/>
      <c r="N482" s="275"/>
    </row>
    <row r="483" spans="1:14" hidden="1" x14ac:dyDescent="0.2">
      <c r="A483" s="246"/>
      <c r="B483" s="347"/>
      <c r="C483" s="348"/>
      <c r="D483" s="348"/>
      <c r="E483" s="348"/>
      <c r="F483" s="367"/>
      <c r="G483" s="347"/>
      <c r="H483" s="274"/>
      <c r="N483" s="275"/>
    </row>
    <row r="484" spans="1:14" s="339" customFormat="1" hidden="1" x14ac:dyDescent="0.2">
      <c r="B484" s="368"/>
      <c r="C484" s="369"/>
      <c r="D484" s="369"/>
      <c r="E484" s="369"/>
      <c r="F484" s="370"/>
      <c r="G484" s="368"/>
      <c r="H484" s="338"/>
      <c r="N484" s="371"/>
    </row>
    <row r="485" spans="1:14" hidden="1" x14ac:dyDescent="0.2">
      <c r="A485" s="246"/>
      <c r="B485" s="347"/>
      <c r="C485" s="348"/>
      <c r="D485" s="348"/>
      <c r="E485" s="348"/>
      <c r="F485" s="367"/>
      <c r="G485" s="347"/>
      <c r="H485" s="274"/>
      <c r="N485" s="275"/>
    </row>
    <row r="486" spans="1:14" s="248" customFormat="1" hidden="1" x14ac:dyDescent="0.2">
      <c r="A486" s="248" t="s">
        <v>482</v>
      </c>
      <c r="B486" s="242">
        <f>13*3</f>
        <v>39</v>
      </c>
      <c r="C486" s="243">
        <v>3</v>
      </c>
      <c r="D486" s="243"/>
      <c r="E486" s="243"/>
      <c r="F486" s="273">
        <f>+C486*B486</f>
        <v>117</v>
      </c>
      <c r="G486" s="242"/>
      <c r="H486" s="292"/>
      <c r="N486" s="342"/>
    </row>
    <row r="487" spans="1:14" s="248" customFormat="1" hidden="1" x14ac:dyDescent="0.2">
      <c r="B487" s="242">
        <v>109</v>
      </c>
      <c r="C487" s="243">
        <v>3</v>
      </c>
      <c r="D487" s="243"/>
      <c r="E487" s="243"/>
      <c r="F487" s="273">
        <f>+C487*B487</f>
        <v>327</v>
      </c>
      <c r="G487" s="242"/>
      <c r="H487" s="292"/>
      <c r="N487" s="342"/>
    </row>
    <row r="488" spans="1:14" s="248" customFormat="1" hidden="1" x14ac:dyDescent="0.2">
      <c r="B488" s="242"/>
      <c r="C488" s="243"/>
      <c r="D488" s="243"/>
      <c r="E488" s="243"/>
      <c r="F488" s="273"/>
      <c r="G488" s="242"/>
      <c r="H488" s="292"/>
      <c r="N488" s="342"/>
    </row>
    <row r="489" spans="1:14" s="248" customFormat="1" hidden="1" x14ac:dyDescent="0.2">
      <c r="B489" s="242"/>
      <c r="C489" s="243"/>
      <c r="D489" s="243"/>
      <c r="E489" s="243"/>
      <c r="F489" s="273">
        <f>C489*B489</f>
        <v>0</v>
      </c>
      <c r="G489" s="242"/>
      <c r="H489" s="292"/>
      <c r="N489" s="342"/>
    </row>
    <row r="490" spans="1:14" s="248" customFormat="1" hidden="1" x14ac:dyDescent="0.2">
      <c r="B490" s="242"/>
      <c r="C490" s="243"/>
      <c r="D490" s="243"/>
      <c r="E490" s="243"/>
      <c r="F490" s="273">
        <f>SUM(F486:F489)</f>
        <v>444</v>
      </c>
      <c r="G490" s="242"/>
      <c r="H490" s="292"/>
      <c r="N490" s="342"/>
    </row>
    <row r="491" spans="1:14" s="248" customFormat="1" hidden="1" x14ac:dyDescent="0.2">
      <c r="B491" s="242"/>
      <c r="C491" s="243"/>
      <c r="D491" s="243"/>
      <c r="E491" s="243"/>
      <c r="F491" s="273"/>
      <c r="G491" s="242"/>
      <c r="H491" s="292"/>
      <c r="N491" s="342"/>
    </row>
    <row r="492" spans="1:14" s="248" customFormat="1" hidden="1" x14ac:dyDescent="0.2">
      <c r="B492" s="242"/>
      <c r="C492" s="243"/>
      <c r="D492" s="243"/>
      <c r="E492" s="243"/>
      <c r="F492" s="273"/>
      <c r="G492" s="242"/>
      <c r="H492" s="292"/>
      <c r="N492" s="342"/>
    </row>
    <row r="493" spans="1:14" s="339" customFormat="1" hidden="1" x14ac:dyDescent="0.2">
      <c r="A493" s="334"/>
      <c r="B493" s="335"/>
      <c r="C493" s="336"/>
      <c r="D493" s="336"/>
      <c r="E493" s="336"/>
      <c r="F493" s="363"/>
      <c r="G493" s="335"/>
      <c r="H493" s="338"/>
      <c r="N493" s="371"/>
    </row>
    <row r="494" spans="1:14" hidden="1" x14ac:dyDescent="0.2"/>
    <row r="495" spans="1:14" hidden="1" x14ac:dyDescent="0.2">
      <c r="A495" s="248" t="s">
        <v>483</v>
      </c>
    </row>
    <row r="496" spans="1:14" hidden="1" x14ac:dyDescent="0.2">
      <c r="C496" s="243">
        <f>+H425</f>
        <v>228.79999999999998</v>
      </c>
      <c r="D496" s="243">
        <v>0.45</v>
      </c>
      <c r="F496" s="244">
        <f>+D496*C496</f>
        <v>102.96</v>
      </c>
    </row>
    <row r="497" spans="1:16" s="248" customFormat="1" hidden="1" x14ac:dyDescent="0.2">
      <c r="A497" s="248" t="s">
        <v>484</v>
      </c>
      <c r="B497" s="242"/>
      <c r="C497" s="243"/>
      <c r="D497" s="243"/>
      <c r="E497" s="243"/>
      <c r="F497" s="244">
        <v>95</v>
      </c>
      <c r="G497" s="242"/>
      <c r="H497" s="245"/>
      <c r="I497" s="246"/>
      <c r="J497" s="246"/>
      <c r="K497" s="246"/>
      <c r="L497" s="246"/>
      <c r="M497" s="246"/>
      <c r="N497" s="247"/>
      <c r="O497" s="246"/>
      <c r="P497" s="246"/>
    </row>
    <row r="498" spans="1:16" s="248" customFormat="1" hidden="1" x14ac:dyDescent="0.2">
      <c r="A498" s="248" t="s">
        <v>485</v>
      </c>
      <c r="B498" s="242"/>
      <c r="C498" s="243">
        <f>1.5*4*2</f>
        <v>12</v>
      </c>
      <c r="D498" s="243">
        <f>2.1-0.45</f>
        <v>1.6500000000000001</v>
      </c>
      <c r="E498" s="243"/>
      <c r="F498" s="244">
        <f>+D498*C498</f>
        <v>19.8</v>
      </c>
      <c r="G498" s="242"/>
      <c r="H498" s="245"/>
      <c r="I498" s="246"/>
      <c r="J498" s="246"/>
      <c r="K498" s="246"/>
      <c r="L498" s="246"/>
      <c r="M498" s="246"/>
      <c r="N498" s="247"/>
      <c r="O498" s="246"/>
      <c r="P498" s="246"/>
    </row>
    <row r="499" spans="1:16" s="248" customFormat="1" hidden="1" x14ac:dyDescent="0.2">
      <c r="B499" s="242"/>
      <c r="C499" s="243"/>
      <c r="D499" s="243"/>
      <c r="E499" s="243"/>
      <c r="F499" s="244">
        <f>SUM(F496:F498)</f>
        <v>217.76</v>
      </c>
      <c r="G499" s="242"/>
      <c r="H499" s="245"/>
      <c r="I499" s="246"/>
      <c r="J499" s="246"/>
      <c r="K499" s="246"/>
      <c r="L499" s="246"/>
      <c r="M499" s="246"/>
      <c r="N499" s="247"/>
      <c r="O499" s="246"/>
      <c r="P499" s="246"/>
    </row>
    <row r="500" spans="1:16" hidden="1" x14ac:dyDescent="0.2"/>
    <row r="501" spans="1:16" ht="37.5" customHeight="1" x14ac:dyDescent="0.25">
      <c r="A501" s="241" t="s">
        <v>486</v>
      </c>
    </row>
    <row r="502" spans="1:16" ht="24" hidden="1" customHeight="1" x14ac:dyDescent="0.2"/>
    <row r="503" spans="1:16" ht="12" hidden="1" x14ac:dyDescent="0.25">
      <c r="C503" s="372"/>
    </row>
    <row r="504" spans="1:16" hidden="1" x14ac:dyDescent="0.2"/>
    <row r="505" spans="1:16" hidden="1" x14ac:dyDescent="0.2"/>
    <row r="506" spans="1:16" hidden="1" x14ac:dyDescent="0.2"/>
    <row r="507" spans="1:16" hidden="1" x14ac:dyDescent="0.2"/>
    <row r="508" spans="1:16" ht="12" hidden="1" x14ac:dyDescent="0.25">
      <c r="C508" s="372"/>
    </row>
    <row r="509" spans="1:16" hidden="1" x14ac:dyDescent="0.2"/>
    <row r="510" spans="1:16" hidden="1" x14ac:dyDescent="0.2"/>
    <row r="511" spans="1:16" ht="29.25" customHeight="1" x14ac:dyDescent="0.2">
      <c r="A511" s="250"/>
      <c r="B511" s="242" t="s">
        <v>59</v>
      </c>
      <c r="C511" s="243">
        <v>60</v>
      </c>
      <c r="D511" s="243">
        <v>4</v>
      </c>
      <c r="E511" s="243">
        <f>D511*C511</f>
        <v>240</v>
      </c>
    </row>
    <row r="512" spans="1:16" ht="29.25" customHeight="1" x14ac:dyDescent="0.2">
      <c r="A512" s="250"/>
    </row>
    <row r="514" spans="1:14" ht="12" x14ac:dyDescent="0.25">
      <c r="E514" s="372"/>
    </row>
    <row r="515" spans="1:14" ht="12" x14ac:dyDescent="0.25">
      <c r="E515" s="373">
        <f>SUM(E511:E514)</f>
        <v>240</v>
      </c>
    </row>
    <row r="518" spans="1:14" s="268" customFormat="1" x14ac:dyDescent="0.2">
      <c r="A518" s="262"/>
      <c r="B518" s="288"/>
      <c r="C518" s="289"/>
      <c r="D518" s="289"/>
      <c r="E518" s="289"/>
      <c r="F518" s="265"/>
      <c r="G518" s="288"/>
      <c r="H518" s="267"/>
      <c r="N518" s="270"/>
    </row>
    <row r="520" spans="1:14" ht="27.75" customHeight="1" x14ac:dyDescent="0.2">
      <c r="A520" s="250" t="s">
        <v>436</v>
      </c>
      <c r="H520" s="324"/>
    </row>
    <row r="521" spans="1:14" x14ac:dyDescent="0.2">
      <c r="A521" s="248" t="s">
        <v>50</v>
      </c>
      <c r="B521" s="242">
        <v>2</v>
      </c>
      <c r="C521" s="243">
        <v>0.2</v>
      </c>
      <c r="D521" s="243">
        <f>60/0.3+1</f>
        <v>201</v>
      </c>
      <c r="F521" s="244">
        <f>D521*C521*B521</f>
        <v>80.400000000000006</v>
      </c>
      <c r="G521" s="242" t="s">
        <v>10</v>
      </c>
      <c r="H521" s="324"/>
    </row>
    <row r="522" spans="1:14" x14ac:dyDescent="0.2">
      <c r="H522" s="324"/>
    </row>
    <row r="523" spans="1:14" x14ac:dyDescent="0.2">
      <c r="H523" s="324"/>
    </row>
    <row r="524" spans="1:14" x14ac:dyDescent="0.2">
      <c r="H524" s="324"/>
    </row>
    <row r="525" spans="1:14" x14ac:dyDescent="0.2">
      <c r="H525" s="324"/>
    </row>
    <row r="526" spans="1:14" x14ac:dyDescent="0.2">
      <c r="H526" s="324"/>
    </row>
    <row r="527" spans="1:14" ht="12" x14ac:dyDescent="0.25">
      <c r="C527" s="372"/>
      <c r="F527" s="352"/>
      <c r="H527" s="354"/>
    </row>
    <row r="528" spans="1:14" x14ac:dyDescent="0.2">
      <c r="H528" s="324">
        <f>SUM(H521:H527)</f>
        <v>0</v>
      </c>
      <c r="J528" s="374">
        <f>H528+D528</f>
        <v>0</v>
      </c>
    </row>
    <row r="529" spans="1:14" s="268" customFormat="1" x14ac:dyDescent="0.2">
      <c r="A529" s="262"/>
      <c r="B529" s="288"/>
      <c r="C529" s="289"/>
      <c r="D529" s="289"/>
      <c r="E529" s="289"/>
      <c r="F529" s="265"/>
      <c r="G529" s="288"/>
      <c r="H529" s="267"/>
      <c r="N529" s="270"/>
    </row>
    <row r="530" spans="1:14" ht="30.75" customHeight="1" x14ac:dyDescent="0.2">
      <c r="A530" s="250" t="s">
        <v>487</v>
      </c>
    </row>
    <row r="531" spans="1:14" x14ac:dyDescent="0.2">
      <c r="B531" s="242">
        <v>2</v>
      </c>
      <c r="C531" s="243">
        <v>0.75</v>
      </c>
      <c r="D531" s="243">
        <v>60</v>
      </c>
      <c r="F531" s="244">
        <f>D531*C531-B531</f>
        <v>43</v>
      </c>
      <c r="G531" s="242" t="s">
        <v>59</v>
      </c>
    </row>
    <row r="535" spans="1:14" s="268" customFormat="1" ht="12" x14ac:dyDescent="0.25">
      <c r="A535" s="262"/>
      <c r="B535" s="288"/>
      <c r="C535" s="289"/>
      <c r="D535" s="289"/>
      <c r="E535" s="289"/>
      <c r="F535" s="346"/>
      <c r="G535" s="288"/>
      <c r="H535" s="267"/>
      <c r="N535" s="270"/>
    </row>
    <row r="536" spans="1:14" x14ac:dyDescent="0.2">
      <c r="F536" s="273"/>
      <c r="H536" s="274"/>
      <c r="N536" s="275"/>
    </row>
    <row r="537" spans="1:14" ht="12.75" customHeight="1" x14ac:dyDescent="0.2"/>
    <row r="538" spans="1:14" s="378" customFormat="1" ht="24" customHeight="1" x14ac:dyDescent="0.25">
      <c r="A538" s="250"/>
      <c r="B538" s="276"/>
      <c r="C538" s="375"/>
      <c r="D538" s="375"/>
      <c r="E538" s="375"/>
      <c r="F538" s="376"/>
      <c r="G538" s="276"/>
      <c r="H538" s="377"/>
      <c r="N538" s="379"/>
    </row>
    <row r="540" spans="1:14" ht="12" x14ac:dyDescent="0.25">
      <c r="E540" s="373"/>
    </row>
    <row r="541" spans="1:14" ht="12" x14ac:dyDescent="0.25">
      <c r="E541" s="372"/>
    </row>
    <row r="542" spans="1:14" ht="12" x14ac:dyDescent="0.25">
      <c r="E542" s="373"/>
    </row>
    <row r="547" spans="1:14" ht="10.5" customHeight="1" x14ac:dyDescent="0.2"/>
    <row r="548" spans="1:14" s="378" customFormat="1" ht="19.5" customHeight="1" x14ac:dyDescent="0.25">
      <c r="A548" s="250"/>
      <c r="B548" s="276"/>
      <c r="C548" s="375"/>
      <c r="D548" s="375"/>
      <c r="E548" s="375"/>
      <c r="F548" s="376"/>
      <c r="G548" s="276"/>
      <c r="H548" s="377"/>
      <c r="N548" s="379"/>
    </row>
    <row r="550" spans="1:14" ht="12" x14ac:dyDescent="0.25">
      <c r="E550" s="373"/>
    </row>
    <row r="551" spans="1:14" ht="12" x14ac:dyDescent="0.25">
      <c r="E551" s="372"/>
    </row>
    <row r="557" spans="1:14" s="268" customFormat="1" x14ac:dyDescent="0.2">
      <c r="A557" s="262"/>
      <c r="B557" s="288"/>
      <c r="C557" s="289"/>
      <c r="D557" s="289"/>
      <c r="E557" s="289"/>
      <c r="F557" s="265"/>
      <c r="G557" s="288"/>
      <c r="H557" s="267"/>
      <c r="N557" s="270"/>
    </row>
  </sheetData>
  <hyperlinks>
    <hyperlink ref="A346" r:id="rId1" display="Y10@200 C/C" xr:uid="{00000000-0004-0000-2000-000000000000}"/>
    <hyperlink ref="B81" r:id="rId2" xr:uid="{00000000-0004-0000-2000-000001000000}"/>
    <hyperlink ref="B82" r:id="rId3" display="CTCCost estimate 2017.07.12 .xlsx" xr:uid="{00000000-0004-0000-2000-000002000000}"/>
    <hyperlink ref="B84" r:id="rId4" display="Y10@ 225" xr:uid="{00000000-0004-0000-2000-000003000000}"/>
    <hyperlink ref="B85" r:id="rId5" display="CTCCost estimate 2017.07.12 .xlsx" xr:uid="{00000000-0004-0000-2000-000004000000}"/>
  </hyperlinks>
  <pageMargins left="0.7" right="0.7" top="0.75" bottom="0.75" header="0.3" footer="0.3"/>
  <pageSetup scale="48" orientation="portrait" verticalDpi="1200" r:id="rId6"/>
  <rowBreaks count="3" manualBreakCount="3">
    <brk id="37" max="9" man="1"/>
    <brk id="72" max="9" man="1"/>
    <brk id="518" max="9" man="1"/>
  </rowBreaks>
  <colBreaks count="1" manualBreakCount="1">
    <brk id="10" max="1048575" man="1"/>
  </colBreaks>
  <legacy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0"/>
  <dimension ref="B4:K49"/>
  <sheetViews>
    <sheetView workbookViewId="0">
      <selection activeCell="F8" sqref="F8"/>
    </sheetView>
  </sheetViews>
  <sheetFormatPr defaultRowHeight="13.2" x14ac:dyDescent="0.25"/>
  <cols>
    <col min="11" max="11" width="12.88671875" bestFit="1" customWidth="1"/>
  </cols>
  <sheetData>
    <row r="4" spans="2:8" x14ac:dyDescent="0.25">
      <c r="B4" t="s">
        <v>488</v>
      </c>
      <c r="C4">
        <v>0</v>
      </c>
    </row>
    <row r="5" spans="2:8" x14ac:dyDescent="0.25">
      <c r="B5" t="s">
        <v>489</v>
      </c>
      <c r="C5">
        <v>14.9</v>
      </c>
      <c r="D5">
        <f>(C5+C4)/2</f>
        <v>7.45</v>
      </c>
      <c r="E5">
        <v>24</v>
      </c>
      <c r="G5">
        <f>E5*D5</f>
        <v>178.8</v>
      </c>
    </row>
    <row r="6" spans="2:8" x14ac:dyDescent="0.25">
      <c r="B6" t="s">
        <v>489</v>
      </c>
      <c r="C6">
        <v>14.9</v>
      </c>
    </row>
    <row r="7" spans="2:8" x14ac:dyDescent="0.25">
      <c r="B7" t="s">
        <v>490</v>
      </c>
      <c r="C7">
        <v>28.3</v>
      </c>
      <c r="D7">
        <f>(C7+C6)/2</f>
        <v>21.6</v>
      </c>
      <c r="E7">
        <v>16</v>
      </c>
      <c r="G7">
        <f>E7*D7</f>
        <v>345.6</v>
      </c>
    </row>
    <row r="8" spans="2:8" x14ac:dyDescent="0.25">
      <c r="B8" t="s">
        <v>490</v>
      </c>
      <c r="C8">
        <v>28.3</v>
      </c>
    </row>
    <row r="9" spans="2:8" x14ac:dyDescent="0.25">
      <c r="B9" t="s">
        <v>491</v>
      </c>
      <c r="C9">
        <v>60.8</v>
      </c>
      <c r="D9">
        <f>(C9+C8)/2</f>
        <v>44.55</v>
      </c>
      <c r="E9">
        <v>22</v>
      </c>
      <c r="G9">
        <f>E9*D9</f>
        <v>980.09999999999991</v>
      </c>
    </row>
    <row r="10" spans="2:8" x14ac:dyDescent="0.25">
      <c r="B10" t="s">
        <v>491</v>
      </c>
      <c r="C10">
        <v>60.8</v>
      </c>
    </row>
    <row r="11" spans="2:8" x14ac:dyDescent="0.25">
      <c r="B11" t="s">
        <v>492</v>
      </c>
      <c r="C11">
        <v>39.26</v>
      </c>
      <c r="D11">
        <f>(C11+C10)/2</f>
        <v>50.03</v>
      </c>
      <c r="E11">
        <v>14</v>
      </c>
      <c r="G11">
        <f>E11*D11</f>
        <v>700.42000000000007</v>
      </c>
    </row>
    <row r="15" spans="2:8" x14ac:dyDescent="0.25">
      <c r="G15" s="380">
        <f>SUM(G4:G11)</f>
        <v>2204.92</v>
      </c>
      <c r="H15" t="s">
        <v>68</v>
      </c>
    </row>
    <row r="18" spans="2:11" x14ac:dyDescent="0.25">
      <c r="B18" t="s">
        <v>493</v>
      </c>
    </row>
    <row r="20" spans="2:11" x14ac:dyDescent="0.25">
      <c r="B20">
        <v>0</v>
      </c>
    </row>
    <row r="21" spans="2:11" x14ac:dyDescent="0.25">
      <c r="B21">
        <v>12.4</v>
      </c>
      <c r="C21">
        <f>(B20+B21)/2</f>
        <v>6.2</v>
      </c>
      <c r="D21">
        <v>4</v>
      </c>
      <c r="G21">
        <f>D21*C21</f>
        <v>24.8</v>
      </c>
    </row>
    <row r="22" spans="2:11" x14ac:dyDescent="0.25">
      <c r="B22">
        <v>12.4</v>
      </c>
    </row>
    <row r="23" spans="2:11" x14ac:dyDescent="0.25">
      <c r="B23">
        <v>12</v>
      </c>
      <c r="C23">
        <f>(B22+B23)/2</f>
        <v>12.2</v>
      </c>
      <c r="D23">
        <v>20</v>
      </c>
      <c r="G23">
        <f t="shared" ref="G23:G29" si="0">D23*C23</f>
        <v>244</v>
      </c>
    </row>
    <row r="24" spans="2:11" x14ac:dyDescent="0.25">
      <c r="B24">
        <v>12</v>
      </c>
    </row>
    <row r="25" spans="2:11" x14ac:dyDescent="0.25">
      <c r="B25">
        <v>14.8</v>
      </c>
      <c r="C25">
        <f>(B24+B25)/2</f>
        <v>13.4</v>
      </c>
      <c r="D25">
        <v>16</v>
      </c>
      <c r="G25">
        <f t="shared" si="0"/>
        <v>214.4</v>
      </c>
    </row>
    <row r="26" spans="2:11" x14ac:dyDescent="0.25">
      <c r="B26">
        <v>14.8</v>
      </c>
    </row>
    <row r="27" spans="2:11" x14ac:dyDescent="0.25">
      <c r="B27">
        <v>10.1</v>
      </c>
      <c r="C27">
        <f>(B26+B27)/2</f>
        <v>12.45</v>
      </c>
      <c r="D27">
        <v>22</v>
      </c>
      <c r="G27">
        <f t="shared" si="0"/>
        <v>273.89999999999998</v>
      </c>
    </row>
    <row r="28" spans="2:11" x14ac:dyDescent="0.25">
      <c r="B28">
        <v>0</v>
      </c>
    </row>
    <row r="29" spans="2:11" x14ac:dyDescent="0.25">
      <c r="B29">
        <v>0</v>
      </c>
      <c r="C29">
        <f>(B27+B28)/2</f>
        <v>5.05</v>
      </c>
      <c r="D29">
        <v>17</v>
      </c>
      <c r="G29">
        <f t="shared" si="0"/>
        <v>85.85</v>
      </c>
    </row>
    <row r="30" spans="2:11" x14ac:dyDescent="0.25">
      <c r="K30" s="4"/>
    </row>
    <row r="31" spans="2:11" x14ac:dyDescent="0.25">
      <c r="G31" s="380">
        <f>SUM(G21:G30)</f>
        <v>842.95</v>
      </c>
    </row>
    <row r="35" spans="2:7" x14ac:dyDescent="0.25">
      <c r="B35" t="s">
        <v>494</v>
      </c>
    </row>
    <row r="38" spans="2:7" x14ac:dyDescent="0.25">
      <c r="B38">
        <v>0</v>
      </c>
    </row>
    <row r="39" spans="2:7" x14ac:dyDescent="0.25">
      <c r="B39">
        <f>4.4+4.6</f>
        <v>9</v>
      </c>
      <c r="C39">
        <f>(B38+B39)/2</f>
        <v>4.5</v>
      </c>
      <c r="D39">
        <v>4</v>
      </c>
      <c r="G39">
        <f>D39*C39</f>
        <v>18</v>
      </c>
    </row>
    <row r="40" spans="2:7" x14ac:dyDescent="0.25">
      <c r="B40">
        <v>9</v>
      </c>
    </row>
    <row r="41" spans="2:7" x14ac:dyDescent="0.25">
      <c r="B41">
        <v>12.3</v>
      </c>
      <c r="C41">
        <f>(B40+B41)/2</f>
        <v>10.65</v>
      </c>
      <c r="D41">
        <v>20</v>
      </c>
      <c r="G41">
        <f t="shared" ref="G41:G47" si="1">D41*C41</f>
        <v>213</v>
      </c>
    </row>
    <row r="42" spans="2:7" x14ac:dyDescent="0.25">
      <c r="B42">
        <v>12.3</v>
      </c>
    </row>
    <row r="43" spans="2:7" x14ac:dyDescent="0.25">
      <c r="B43">
        <f>1.8+0.5</f>
        <v>2.2999999999999998</v>
      </c>
      <c r="C43">
        <f>(B42+B43)/2</f>
        <v>7.3000000000000007</v>
      </c>
      <c r="D43">
        <v>16</v>
      </c>
      <c r="G43">
        <f t="shared" si="1"/>
        <v>116.80000000000001</v>
      </c>
    </row>
    <row r="44" spans="2:7" x14ac:dyDescent="0.25">
      <c r="B44">
        <v>2.2999999999999998</v>
      </c>
    </row>
    <row r="45" spans="2:7" x14ac:dyDescent="0.25">
      <c r="B45">
        <f>2.3</f>
        <v>2.2999999999999998</v>
      </c>
      <c r="C45">
        <f>(B44+B45)/2</f>
        <v>2.2999999999999998</v>
      </c>
      <c r="D45">
        <v>22</v>
      </c>
      <c r="G45">
        <f t="shared" si="1"/>
        <v>50.599999999999994</v>
      </c>
    </row>
    <row r="46" spans="2:7" x14ac:dyDescent="0.25">
      <c r="B46">
        <v>0</v>
      </c>
    </row>
    <row r="47" spans="2:7" x14ac:dyDescent="0.25">
      <c r="B47">
        <v>0</v>
      </c>
      <c r="C47">
        <f>(B45+B46)/2</f>
        <v>1.1499999999999999</v>
      </c>
      <c r="D47">
        <v>17</v>
      </c>
      <c r="G47">
        <f t="shared" si="1"/>
        <v>19.549999999999997</v>
      </c>
    </row>
    <row r="49" spans="7:7" x14ac:dyDescent="0.25">
      <c r="G49" s="380">
        <f>SUM(G39:G48)</f>
        <v>417.95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2">
    <tabColor rgb="FF7030A0"/>
  </sheetPr>
  <dimension ref="A1:T218"/>
  <sheetViews>
    <sheetView view="pageBreakPreview" topLeftCell="A149" zoomScaleNormal="100" zoomScaleSheetLayoutView="100" workbookViewId="0">
      <selection activeCell="K18" sqref="K18"/>
    </sheetView>
  </sheetViews>
  <sheetFormatPr defaultColWidth="9.109375" defaultRowHeight="14.4" x14ac:dyDescent="0.3"/>
  <cols>
    <col min="1" max="1" width="9.33203125" style="104" bestFit="1" customWidth="1"/>
    <col min="2" max="2" width="38" style="104" bestFit="1" customWidth="1"/>
    <col min="3" max="3" width="9.109375" style="104"/>
    <col min="4" max="4" width="9.33203125" style="104" bestFit="1" customWidth="1"/>
    <col min="5" max="5" width="24.33203125" style="104" customWidth="1"/>
    <col min="6" max="6" width="13" style="104" bestFit="1" customWidth="1"/>
    <col min="7" max="7" width="11.5546875" style="104" bestFit="1" customWidth="1"/>
    <col min="8" max="8" width="9.109375" style="104"/>
    <col min="9" max="9" width="5.44140625" style="104" bestFit="1" customWidth="1"/>
    <col min="10" max="10" width="9.109375" style="104"/>
    <col min="11" max="12" width="11" style="104" bestFit="1" customWidth="1"/>
    <col min="13" max="13" width="10" style="104" bestFit="1" customWidth="1"/>
    <col min="14" max="14" width="9.5546875" style="104" bestFit="1" customWidth="1"/>
    <col min="15" max="16384" width="9.109375" style="104"/>
  </cols>
  <sheetData>
    <row r="1" spans="1:7" s="97" customFormat="1" ht="13.8" x14ac:dyDescent="0.3">
      <c r="A1" s="96"/>
      <c r="B1" s="96"/>
      <c r="E1" s="98" t="s">
        <v>202</v>
      </c>
      <c r="F1" s="99">
        <v>0.25</v>
      </c>
      <c r="G1" s="100"/>
    </row>
    <row r="2" spans="1:7" s="97" customFormat="1" ht="13.8" x14ac:dyDescent="0.3">
      <c r="A2" s="96"/>
      <c r="B2" s="96"/>
      <c r="E2" s="101" t="s">
        <v>203</v>
      </c>
      <c r="F2" s="102" t="s">
        <v>204</v>
      </c>
      <c r="G2" s="100"/>
    </row>
    <row r="3" spans="1:7" ht="18.75" customHeight="1" x14ac:dyDescent="0.3">
      <c r="A3" s="103" t="s">
        <v>205</v>
      </c>
    </row>
    <row r="4" spans="1:7" ht="13.5" customHeight="1" x14ac:dyDescent="0.3"/>
    <row r="5" spans="1:7" s="97" customFormat="1" x14ac:dyDescent="0.3">
      <c r="A5" s="105" t="s">
        <v>206</v>
      </c>
      <c r="B5" s="106" t="s">
        <v>207</v>
      </c>
      <c r="C5" s="107"/>
      <c r="D5" s="108"/>
      <c r="E5" s="108"/>
      <c r="F5" s="108"/>
      <c r="G5" s="100"/>
    </row>
    <row r="6" spans="1:7" s="97" customFormat="1" ht="12.75" customHeight="1" x14ac:dyDescent="0.3">
      <c r="A6" s="104"/>
      <c r="B6" s="109"/>
      <c r="C6" s="110"/>
      <c r="D6" s="111"/>
      <c r="E6" s="111"/>
      <c r="F6" s="111"/>
      <c r="G6" s="100"/>
    </row>
    <row r="7" spans="1:7" s="97" customFormat="1" ht="12.75" customHeight="1" x14ac:dyDescent="0.3">
      <c r="A7" s="104"/>
      <c r="B7" s="109" t="s">
        <v>240</v>
      </c>
      <c r="C7" s="110"/>
      <c r="D7" s="111"/>
      <c r="E7" s="111"/>
      <c r="F7" s="111"/>
      <c r="G7" s="100"/>
    </row>
    <row r="8" spans="1:7" s="97" customFormat="1" x14ac:dyDescent="0.3">
      <c r="A8" s="104"/>
      <c r="B8" s="112" t="s">
        <v>208</v>
      </c>
      <c r="C8" s="110"/>
      <c r="D8" s="111"/>
      <c r="E8" s="111"/>
      <c r="F8" s="111"/>
      <c r="G8" s="100"/>
    </row>
    <row r="9" spans="1:7" s="97" customFormat="1" x14ac:dyDescent="0.3">
      <c r="A9" s="104"/>
      <c r="B9" s="109" t="s">
        <v>241</v>
      </c>
      <c r="C9" s="110" t="s">
        <v>209</v>
      </c>
      <c r="D9" s="111">
        <v>1.5</v>
      </c>
      <c r="E9" s="111">
        <v>2200</v>
      </c>
      <c r="F9" s="111">
        <f>SUM(E9*D9)</f>
        <v>3300</v>
      </c>
      <c r="G9" s="100"/>
    </row>
    <row r="10" spans="1:7" s="97" customFormat="1" x14ac:dyDescent="0.3">
      <c r="A10" s="104"/>
      <c r="B10" s="109" t="s">
        <v>210</v>
      </c>
      <c r="C10" s="110" t="s">
        <v>209</v>
      </c>
      <c r="D10" s="111">
        <v>2</v>
      </c>
      <c r="E10" s="111">
        <v>1750</v>
      </c>
      <c r="F10" s="111">
        <f>SUM(E10*D10)</f>
        <v>3500</v>
      </c>
      <c r="G10" s="100"/>
    </row>
    <row r="11" spans="1:7" s="97" customFormat="1" x14ac:dyDescent="0.3">
      <c r="A11" s="104"/>
      <c r="B11" s="109" t="s">
        <v>211</v>
      </c>
      <c r="C11" s="110" t="s">
        <v>209</v>
      </c>
      <c r="D11" s="111">
        <v>2.8</v>
      </c>
      <c r="E11" s="111">
        <v>1300</v>
      </c>
      <c r="F11" s="111">
        <f>SUM(E11*D11)</f>
        <v>3639.9999999999995</v>
      </c>
      <c r="G11" s="100"/>
    </row>
    <row r="12" spans="1:7" s="97" customFormat="1" x14ac:dyDescent="0.3">
      <c r="A12" s="104"/>
      <c r="B12" s="112" t="s">
        <v>216</v>
      </c>
      <c r="C12" s="110"/>
      <c r="D12" s="111"/>
      <c r="E12" s="111"/>
      <c r="F12" s="111"/>
      <c r="G12" s="100"/>
    </row>
    <row r="13" spans="1:7" s="97" customFormat="1" x14ac:dyDescent="0.3">
      <c r="A13" s="104"/>
      <c r="B13" s="109" t="s">
        <v>217</v>
      </c>
      <c r="C13" s="110" t="s">
        <v>218</v>
      </c>
      <c r="D13" s="111">
        <v>0.11</v>
      </c>
      <c r="E13" s="111">
        <v>140000</v>
      </c>
      <c r="F13" s="111">
        <f>SUM(E13*D13)</f>
        <v>15400</v>
      </c>
      <c r="G13" s="100"/>
    </row>
    <row r="14" spans="1:7" s="97" customFormat="1" x14ac:dyDescent="0.3">
      <c r="A14" s="104"/>
      <c r="B14" s="109" t="s">
        <v>219</v>
      </c>
      <c r="C14" s="110" t="s">
        <v>220</v>
      </c>
      <c r="D14" s="111">
        <v>16</v>
      </c>
      <c r="E14" s="111">
        <v>620</v>
      </c>
      <c r="F14" s="111">
        <f t="shared" ref="F14:F22" si="0">SUM(E14*D14)</f>
        <v>9920</v>
      </c>
      <c r="G14" s="100"/>
    </row>
    <row r="15" spans="1:7" s="97" customFormat="1" x14ac:dyDescent="0.3">
      <c r="A15" s="104"/>
      <c r="B15" s="109" t="s">
        <v>242</v>
      </c>
      <c r="C15" s="110" t="s">
        <v>225</v>
      </c>
      <c r="D15" s="111">
        <v>7</v>
      </c>
      <c r="E15" s="111">
        <f>930/1.15</f>
        <v>808.69565217391312</v>
      </c>
      <c r="F15" s="111">
        <f t="shared" si="0"/>
        <v>5660.8695652173919</v>
      </c>
      <c r="G15" s="100"/>
    </row>
    <row r="16" spans="1:7" s="97" customFormat="1" x14ac:dyDescent="0.3">
      <c r="A16" s="104"/>
      <c r="B16" s="109" t="s">
        <v>243</v>
      </c>
      <c r="C16" s="110" t="s">
        <v>220</v>
      </c>
      <c r="D16" s="128">
        <v>0</v>
      </c>
      <c r="E16" s="111">
        <v>0</v>
      </c>
      <c r="F16" s="111">
        <f t="shared" si="0"/>
        <v>0</v>
      </c>
      <c r="G16" s="100" t="s">
        <v>244</v>
      </c>
    </row>
    <row r="17" spans="1:7" s="97" customFormat="1" x14ac:dyDescent="0.3">
      <c r="A17" s="104"/>
      <c r="B17" s="109" t="s">
        <v>221</v>
      </c>
      <c r="C17" s="110" t="s">
        <v>218</v>
      </c>
      <c r="D17" s="111">
        <v>0.18</v>
      </c>
      <c r="E17" s="111">
        <v>100000</v>
      </c>
      <c r="F17" s="111">
        <f t="shared" si="0"/>
        <v>18000</v>
      </c>
      <c r="G17" s="100"/>
    </row>
    <row r="18" spans="1:7" s="97" customFormat="1" x14ac:dyDescent="0.3">
      <c r="A18" s="104"/>
      <c r="B18" s="109" t="s">
        <v>222</v>
      </c>
      <c r="C18" s="110" t="s">
        <v>220</v>
      </c>
      <c r="D18" s="111">
        <v>1</v>
      </c>
      <c r="E18" s="111">
        <v>3000</v>
      </c>
      <c r="F18" s="111">
        <f t="shared" si="0"/>
        <v>3000</v>
      </c>
      <c r="G18" s="100"/>
    </row>
    <row r="19" spans="1:7" s="97" customFormat="1" x14ac:dyDescent="0.3">
      <c r="A19" s="104"/>
      <c r="B19" s="109" t="s">
        <v>245</v>
      </c>
      <c r="C19" s="110" t="s">
        <v>220</v>
      </c>
      <c r="D19" s="111">
        <v>3</v>
      </c>
      <c r="E19" s="111">
        <v>2000</v>
      </c>
      <c r="F19" s="111">
        <f t="shared" si="0"/>
        <v>6000</v>
      </c>
      <c r="G19" s="100"/>
    </row>
    <row r="20" spans="1:7" s="97" customFormat="1" x14ac:dyDescent="0.3">
      <c r="A20" s="104"/>
      <c r="B20" s="109" t="s">
        <v>246</v>
      </c>
      <c r="C20" s="110" t="s">
        <v>220</v>
      </c>
      <c r="D20" s="111">
        <v>7</v>
      </c>
      <c r="E20" s="111">
        <v>400</v>
      </c>
      <c r="F20" s="111">
        <f t="shared" si="0"/>
        <v>2800</v>
      </c>
      <c r="G20" s="100"/>
    </row>
    <row r="21" spans="1:7" s="97" customFormat="1" x14ac:dyDescent="0.3">
      <c r="A21" s="104"/>
      <c r="B21" s="109" t="s">
        <v>247</v>
      </c>
      <c r="C21" s="110" t="s">
        <v>220</v>
      </c>
      <c r="D21" s="111">
        <v>3</v>
      </c>
      <c r="E21" s="111">
        <v>250</v>
      </c>
      <c r="F21" s="111">
        <f t="shared" si="0"/>
        <v>750</v>
      </c>
      <c r="G21" s="100"/>
    </row>
    <row r="22" spans="1:7" s="97" customFormat="1" x14ac:dyDescent="0.3">
      <c r="A22" s="104"/>
      <c r="B22" s="109" t="s">
        <v>226</v>
      </c>
      <c r="C22" s="110" t="s">
        <v>19</v>
      </c>
      <c r="D22" s="111">
        <v>5</v>
      </c>
      <c r="E22" s="111">
        <v>160</v>
      </c>
      <c r="F22" s="111">
        <f t="shared" si="0"/>
        <v>800</v>
      </c>
      <c r="G22" s="100"/>
    </row>
    <row r="23" spans="1:7" s="97" customFormat="1" x14ac:dyDescent="0.3">
      <c r="A23" s="104"/>
      <c r="B23" s="109" t="s">
        <v>227</v>
      </c>
      <c r="C23" s="110" t="s">
        <v>228</v>
      </c>
      <c r="D23" s="111"/>
      <c r="E23" s="111"/>
      <c r="F23" s="111">
        <v>1000</v>
      </c>
      <c r="G23" s="100"/>
    </row>
    <row r="24" spans="1:7" s="97" customFormat="1" x14ac:dyDescent="0.3">
      <c r="A24" s="104"/>
      <c r="B24" s="112" t="s">
        <v>212</v>
      </c>
      <c r="C24" s="110"/>
      <c r="D24" s="111"/>
      <c r="E24" s="111"/>
      <c r="F24" s="111"/>
      <c r="G24" s="100"/>
    </row>
    <row r="25" spans="1:7" s="97" customFormat="1" x14ac:dyDescent="0.3">
      <c r="A25" s="104"/>
      <c r="B25" s="109" t="s">
        <v>213</v>
      </c>
      <c r="C25" s="110" t="s">
        <v>214</v>
      </c>
      <c r="D25" s="111">
        <v>6.5</v>
      </c>
      <c r="E25" s="111">
        <v>4500</v>
      </c>
      <c r="F25" s="111">
        <f t="shared" ref="F25:F30" si="1">SUM(E25*D25)</f>
        <v>29250</v>
      </c>
      <c r="G25" s="100"/>
    </row>
    <row r="26" spans="1:7" s="97" customFormat="1" x14ac:dyDescent="0.3">
      <c r="A26" s="104"/>
      <c r="B26" s="109" t="s">
        <v>248</v>
      </c>
      <c r="C26" s="110" t="s">
        <v>214</v>
      </c>
      <c r="D26" s="111">
        <v>8</v>
      </c>
      <c r="E26" s="111">
        <v>4000</v>
      </c>
      <c r="F26" s="111">
        <f t="shared" si="1"/>
        <v>32000</v>
      </c>
      <c r="G26" s="100"/>
    </row>
    <row r="27" spans="1:7" s="97" customFormat="1" x14ac:dyDescent="0.3">
      <c r="A27" s="104"/>
      <c r="B27" s="109" t="s">
        <v>229</v>
      </c>
      <c r="C27" s="110" t="s">
        <v>214</v>
      </c>
      <c r="D27" s="111">
        <v>2.5</v>
      </c>
      <c r="E27" s="111">
        <v>2500</v>
      </c>
      <c r="F27" s="111">
        <f t="shared" si="1"/>
        <v>6250</v>
      </c>
      <c r="G27" s="100"/>
    </row>
    <row r="28" spans="1:7" s="97" customFormat="1" x14ac:dyDescent="0.3">
      <c r="A28" s="104"/>
      <c r="B28" s="109" t="s">
        <v>230</v>
      </c>
      <c r="C28" s="110" t="s">
        <v>214</v>
      </c>
      <c r="D28" s="111">
        <v>2.5</v>
      </c>
      <c r="E28" s="111">
        <v>2500</v>
      </c>
      <c r="F28" s="111">
        <f t="shared" si="1"/>
        <v>6250</v>
      </c>
      <c r="G28" s="100"/>
    </row>
    <row r="29" spans="1:7" s="97" customFormat="1" x14ac:dyDescent="0.3">
      <c r="A29" s="104"/>
      <c r="B29" s="109" t="s">
        <v>249</v>
      </c>
      <c r="C29" s="110" t="s">
        <v>214</v>
      </c>
      <c r="D29" s="111">
        <v>6</v>
      </c>
      <c r="E29" s="111">
        <v>2500</v>
      </c>
      <c r="F29" s="111">
        <f t="shared" si="1"/>
        <v>15000</v>
      </c>
      <c r="G29" s="100"/>
    </row>
    <row r="30" spans="1:7" s="97" customFormat="1" x14ac:dyDescent="0.3">
      <c r="A30" s="104"/>
      <c r="B30" s="109" t="s">
        <v>215</v>
      </c>
      <c r="C30" s="110" t="s">
        <v>214</v>
      </c>
      <c r="D30" s="111">
        <v>6</v>
      </c>
      <c r="E30" s="111">
        <v>3500</v>
      </c>
      <c r="F30" s="111">
        <f t="shared" si="1"/>
        <v>21000</v>
      </c>
      <c r="G30" s="100"/>
    </row>
    <row r="31" spans="1:7" s="97" customFormat="1" x14ac:dyDescent="0.3">
      <c r="A31" s="104"/>
      <c r="B31" s="112" t="s">
        <v>232</v>
      </c>
      <c r="C31" s="110"/>
      <c r="D31" s="111"/>
      <c r="E31" s="111"/>
      <c r="F31" s="111"/>
      <c r="G31" s="100"/>
    </row>
    <row r="32" spans="1:7" s="97" customFormat="1" x14ac:dyDescent="0.3">
      <c r="A32" s="104"/>
      <c r="B32" s="109" t="s">
        <v>233</v>
      </c>
      <c r="C32" s="110" t="s">
        <v>234</v>
      </c>
      <c r="D32" s="116">
        <v>0.15</v>
      </c>
      <c r="E32" s="111">
        <f>SUM(F9:F11)</f>
        <v>10440</v>
      </c>
      <c r="F32" s="111">
        <f>E32*D32</f>
        <v>1566</v>
      </c>
      <c r="G32" s="100"/>
    </row>
    <row r="33" spans="1:7" s="97" customFormat="1" x14ac:dyDescent="0.3">
      <c r="A33" s="104"/>
      <c r="B33" s="109" t="s">
        <v>223</v>
      </c>
      <c r="C33" s="110" t="s">
        <v>224</v>
      </c>
      <c r="D33" s="116"/>
      <c r="E33" s="111"/>
      <c r="F33" s="111">
        <v>10000</v>
      </c>
      <c r="G33" s="100"/>
    </row>
    <row r="34" spans="1:7" s="97" customFormat="1" x14ac:dyDescent="0.3">
      <c r="A34" s="104"/>
      <c r="B34" s="109"/>
      <c r="C34" s="110"/>
      <c r="D34" s="116"/>
      <c r="E34" s="111"/>
      <c r="F34" s="111"/>
      <c r="G34" s="100"/>
    </row>
    <row r="35" spans="1:7" s="97" customFormat="1" x14ac:dyDescent="0.3">
      <c r="A35" s="104"/>
      <c r="B35" s="117" t="s">
        <v>235</v>
      </c>
      <c r="C35" s="110"/>
      <c r="D35" s="111"/>
      <c r="E35" s="116">
        <f>F1</f>
        <v>0.25</v>
      </c>
      <c r="F35" s="111">
        <f>SUM(F9:F30)*E35</f>
        <v>45880.217391304352</v>
      </c>
      <c r="G35" s="100"/>
    </row>
    <row r="36" spans="1:7" s="97" customFormat="1" x14ac:dyDescent="0.3">
      <c r="A36" s="104"/>
      <c r="B36" s="117" t="s">
        <v>236</v>
      </c>
      <c r="C36" s="110"/>
      <c r="D36" s="111"/>
      <c r="E36" s="111"/>
      <c r="F36" s="118">
        <f>SUM(F8:F35)</f>
        <v>240967.08695652176</v>
      </c>
      <c r="G36" s="119"/>
    </row>
    <row r="37" spans="1:7" s="97" customFormat="1" x14ac:dyDescent="0.3">
      <c r="A37" s="104"/>
      <c r="B37" s="120" t="s">
        <v>237</v>
      </c>
      <c r="C37" s="121" t="s">
        <v>10</v>
      </c>
      <c r="D37" s="122">
        <v>1</v>
      </c>
      <c r="E37" s="122"/>
      <c r="F37" s="123">
        <f>F36/16</f>
        <v>15060.44293478261</v>
      </c>
      <c r="G37" s="119"/>
    </row>
    <row r="38" spans="1:7" s="97" customFormat="1" ht="13.8" x14ac:dyDescent="0.3">
      <c r="A38" s="124"/>
      <c r="B38" s="125" t="s">
        <v>238</v>
      </c>
      <c r="C38" s="126" t="s">
        <v>10</v>
      </c>
      <c r="D38" s="127">
        <v>1</v>
      </c>
      <c r="E38" s="127"/>
      <c r="F38" s="127">
        <v>15500</v>
      </c>
      <c r="G38" s="119"/>
    </row>
    <row r="39" spans="1:7" ht="13.5" customHeight="1" x14ac:dyDescent="0.3"/>
    <row r="40" spans="1:7" s="97" customFormat="1" x14ac:dyDescent="0.3">
      <c r="A40" s="105" t="s">
        <v>239</v>
      </c>
      <c r="B40" s="106" t="s">
        <v>250</v>
      </c>
      <c r="C40" s="107"/>
      <c r="D40" s="108"/>
      <c r="E40" s="108"/>
      <c r="F40" s="108"/>
      <c r="G40" s="100"/>
    </row>
    <row r="41" spans="1:7" s="97" customFormat="1" ht="12.75" customHeight="1" x14ac:dyDescent="0.3">
      <c r="A41" s="104"/>
      <c r="B41" s="109"/>
      <c r="C41" s="110"/>
      <c r="D41" s="111"/>
      <c r="E41" s="111"/>
      <c r="F41" s="111"/>
      <c r="G41" s="100"/>
    </row>
    <row r="42" spans="1:7" s="97" customFormat="1" ht="12.75" customHeight="1" x14ac:dyDescent="0.3">
      <c r="A42" s="104"/>
      <c r="B42" s="109" t="s">
        <v>251</v>
      </c>
      <c r="C42" s="110"/>
      <c r="D42" s="111"/>
      <c r="E42" s="111"/>
      <c r="F42" s="111"/>
      <c r="G42" s="100"/>
    </row>
    <row r="43" spans="1:7" s="97" customFormat="1" x14ac:dyDescent="0.3">
      <c r="A43" s="104"/>
      <c r="B43" s="112" t="s">
        <v>208</v>
      </c>
      <c r="C43" s="110"/>
      <c r="D43" s="111"/>
      <c r="E43" s="111"/>
      <c r="F43" s="111"/>
      <c r="G43" s="100"/>
    </row>
    <row r="44" spans="1:7" s="97" customFormat="1" x14ac:dyDescent="0.3">
      <c r="A44" s="104"/>
      <c r="B44" s="109" t="s">
        <v>241</v>
      </c>
      <c r="C44" s="110" t="s">
        <v>209</v>
      </c>
      <c r="D44" s="111">
        <v>1.2</v>
      </c>
      <c r="E44" s="111">
        <v>2200</v>
      </c>
      <c r="F44" s="111">
        <f>SUM(E44*D44)</f>
        <v>2640</v>
      </c>
      <c r="G44" s="100"/>
    </row>
    <row r="45" spans="1:7" s="97" customFormat="1" x14ac:dyDescent="0.3">
      <c r="A45" s="104"/>
      <c r="B45" s="109" t="s">
        <v>210</v>
      </c>
      <c r="C45" s="110" t="s">
        <v>209</v>
      </c>
      <c r="D45" s="111">
        <v>1.8</v>
      </c>
      <c r="E45" s="111">
        <v>1750</v>
      </c>
      <c r="F45" s="111">
        <f>SUM(E45*D45)</f>
        <v>3150</v>
      </c>
      <c r="G45" s="100"/>
    </row>
    <row r="46" spans="1:7" s="97" customFormat="1" x14ac:dyDescent="0.3">
      <c r="A46" s="104"/>
      <c r="B46" s="109" t="s">
        <v>211</v>
      </c>
      <c r="C46" s="110" t="s">
        <v>209</v>
      </c>
      <c r="D46" s="111">
        <v>2</v>
      </c>
      <c r="E46" s="111">
        <v>1300</v>
      </c>
      <c r="F46" s="111">
        <f>SUM(E46*D46)</f>
        <v>2600</v>
      </c>
      <c r="G46" s="100"/>
    </row>
    <row r="47" spans="1:7" s="97" customFormat="1" x14ac:dyDescent="0.3">
      <c r="A47" s="104"/>
      <c r="B47" s="112" t="s">
        <v>216</v>
      </c>
      <c r="C47" s="110"/>
      <c r="D47" s="111"/>
      <c r="E47" s="111"/>
      <c r="F47" s="111"/>
      <c r="G47" s="100"/>
    </row>
    <row r="48" spans="1:7" s="97" customFormat="1" x14ac:dyDescent="0.3">
      <c r="A48" s="104"/>
      <c r="B48" s="109" t="s">
        <v>217</v>
      </c>
      <c r="C48" s="110" t="s">
        <v>218</v>
      </c>
      <c r="D48" s="111">
        <v>0.08</v>
      </c>
      <c r="E48" s="111">
        <v>140000</v>
      </c>
      <c r="F48" s="111">
        <f>SUM(E48*D48)</f>
        <v>11200</v>
      </c>
      <c r="G48" s="100"/>
    </row>
    <row r="49" spans="1:7" s="97" customFormat="1" x14ac:dyDescent="0.3">
      <c r="A49" s="104"/>
      <c r="B49" s="109" t="s">
        <v>219</v>
      </c>
      <c r="C49" s="110" t="s">
        <v>220</v>
      </c>
      <c r="D49" s="111">
        <v>12</v>
      </c>
      <c r="E49" s="111">
        <v>620</v>
      </c>
      <c r="F49" s="111">
        <f t="shared" ref="F49:F56" si="2">SUM(E49*D49)</f>
        <v>7440</v>
      </c>
      <c r="G49" s="100"/>
    </row>
    <row r="50" spans="1:7" s="97" customFormat="1" x14ac:dyDescent="0.3">
      <c r="A50" s="104"/>
      <c r="B50" s="109" t="s">
        <v>242</v>
      </c>
      <c r="C50" s="110" t="s">
        <v>225</v>
      </c>
      <c r="D50" s="111">
        <v>5</v>
      </c>
      <c r="E50" s="111">
        <f>930/1.15</f>
        <v>808.69565217391312</v>
      </c>
      <c r="F50" s="111">
        <f t="shared" si="2"/>
        <v>4043.4782608695655</v>
      </c>
      <c r="G50" s="100"/>
    </row>
    <row r="51" spans="1:7" s="97" customFormat="1" x14ac:dyDescent="0.3">
      <c r="A51" s="104"/>
      <c r="B51" s="109" t="s">
        <v>221</v>
      </c>
      <c r="C51" s="110" t="s">
        <v>218</v>
      </c>
      <c r="D51" s="111">
        <v>0.12</v>
      </c>
      <c r="E51" s="111">
        <v>100000</v>
      </c>
      <c r="F51" s="111">
        <f t="shared" si="2"/>
        <v>12000</v>
      </c>
      <c r="G51" s="100"/>
    </row>
    <row r="52" spans="1:7" s="97" customFormat="1" x14ac:dyDescent="0.3">
      <c r="A52" s="104"/>
      <c r="B52" s="109" t="s">
        <v>222</v>
      </c>
      <c r="C52" s="110" t="s">
        <v>220</v>
      </c>
      <c r="D52" s="111">
        <v>0</v>
      </c>
      <c r="E52" s="111">
        <v>3000</v>
      </c>
      <c r="F52" s="111">
        <f t="shared" si="2"/>
        <v>0</v>
      </c>
      <c r="G52" s="100"/>
    </row>
    <row r="53" spans="1:7" s="97" customFormat="1" x14ac:dyDescent="0.3">
      <c r="A53" s="104"/>
      <c r="B53" s="109" t="s">
        <v>245</v>
      </c>
      <c r="C53" s="110" t="s">
        <v>220</v>
      </c>
      <c r="D53" s="111">
        <v>2</v>
      </c>
      <c r="E53" s="111">
        <v>2000</v>
      </c>
      <c r="F53" s="111">
        <f t="shared" si="2"/>
        <v>4000</v>
      </c>
      <c r="G53" s="100"/>
    </row>
    <row r="54" spans="1:7" s="97" customFormat="1" x14ac:dyDescent="0.3">
      <c r="A54" s="104"/>
      <c r="B54" s="109" t="s">
        <v>246</v>
      </c>
      <c r="C54" s="110" t="s">
        <v>220</v>
      </c>
      <c r="D54" s="111">
        <v>5</v>
      </c>
      <c r="E54" s="111">
        <v>400</v>
      </c>
      <c r="F54" s="111">
        <f t="shared" si="2"/>
        <v>2000</v>
      </c>
      <c r="G54" s="100"/>
    </row>
    <row r="55" spans="1:7" s="97" customFormat="1" x14ac:dyDescent="0.3">
      <c r="A55" s="104"/>
      <c r="B55" s="109" t="s">
        <v>247</v>
      </c>
      <c r="C55" s="110" t="s">
        <v>220</v>
      </c>
      <c r="D55" s="111">
        <v>3</v>
      </c>
      <c r="E55" s="111">
        <v>250</v>
      </c>
      <c r="F55" s="111">
        <f t="shared" si="2"/>
        <v>750</v>
      </c>
      <c r="G55" s="100"/>
    </row>
    <row r="56" spans="1:7" s="97" customFormat="1" x14ac:dyDescent="0.3">
      <c r="A56" s="104"/>
      <c r="B56" s="109" t="s">
        <v>226</v>
      </c>
      <c r="C56" s="110" t="s">
        <v>19</v>
      </c>
      <c r="D56" s="111">
        <v>3</v>
      </c>
      <c r="E56" s="111">
        <v>160</v>
      </c>
      <c r="F56" s="111">
        <f t="shared" si="2"/>
        <v>480</v>
      </c>
      <c r="G56" s="100"/>
    </row>
    <row r="57" spans="1:7" s="97" customFormat="1" x14ac:dyDescent="0.3">
      <c r="A57" s="104"/>
      <c r="B57" s="109" t="s">
        <v>227</v>
      </c>
      <c r="C57" s="110" t="s">
        <v>228</v>
      </c>
      <c r="D57" s="111"/>
      <c r="E57" s="111"/>
      <c r="F57" s="111">
        <v>700</v>
      </c>
      <c r="G57" s="100"/>
    </row>
    <row r="58" spans="1:7" s="97" customFormat="1" x14ac:dyDescent="0.3">
      <c r="A58" s="104"/>
      <c r="B58" s="112" t="s">
        <v>212</v>
      </c>
      <c r="C58" s="110"/>
      <c r="D58" s="111"/>
      <c r="E58" s="111"/>
      <c r="F58" s="111"/>
      <c r="G58" s="100"/>
    </row>
    <row r="59" spans="1:7" s="97" customFormat="1" x14ac:dyDescent="0.3">
      <c r="A59" s="104"/>
      <c r="B59" s="109" t="s">
        <v>213</v>
      </c>
      <c r="C59" s="110" t="s">
        <v>214</v>
      </c>
      <c r="D59" s="111">
        <v>4.8</v>
      </c>
      <c r="E59" s="111">
        <v>4500</v>
      </c>
      <c r="F59" s="111">
        <f t="shared" ref="F59:F64" si="3">SUM(E59*D59)</f>
        <v>21600</v>
      </c>
      <c r="G59" s="100"/>
    </row>
    <row r="60" spans="1:7" s="97" customFormat="1" x14ac:dyDescent="0.3">
      <c r="A60" s="104"/>
      <c r="B60" s="109" t="s">
        <v>248</v>
      </c>
      <c r="C60" s="110" t="s">
        <v>214</v>
      </c>
      <c r="D60" s="111">
        <v>5.5</v>
      </c>
      <c r="E60" s="111">
        <v>4000</v>
      </c>
      <c r="F60" s="111">
        <f t="shared" si="3"/>
        <v>22000</v>
      </c>
      <c r="G60" s="100"/>
    </row>
    <row r="61" spans="1:7" s="97" customFormat="1" x14ac:dyDescent="0.3">
      <c r="A61" s="104"/>
      <c r="B61" s="109" t="s">
        <v>229</v>
      </c>
      <c r="C61" s="110" t="s">
        <v>214</v>
      </c>
      <c r="D61" s="111">
        <f>(2.5/16)*12</f>
        <v>1.875</v>
      </c>
      <c r="E61" s="111">
        <v>2500</v>
      </c>
      <c r="F61" s="111">
        <f t="shared" si="3"/>
        <v>4687.5</v>
      </c>
      <c r="G61" s="100"/>
    </row>
    <row r="62" spans="1:7" s="97" customFormat="1" x14ac:dyDescent="0.3">
      <c r="A62" s="104"/>
      <c r="B62" s="109" t="s">
        <v>230</v>
      </c>
      <c r="C62" s="110" t="s">
        <v>214</v>
      </c>
      <c r="D62" s="111">
        <f>(2.5/16)*12</f>
        <v>1.875</v>
      </c>
      <c r="E62" s="111">
        <v>2500</v>
      </c>
      <c r="F62" s="111">
        <f t="shared" si="3"/>
        <v>4687.5</v>
      </c>
      <c r="G62" s="100"/>
    </row>
    <row r="63" spans="1:7" s="97" customFormat="1" x14ac:dyDescent="0.3">
      <c r="A63" s="104"/>
      <c r="B63" s="109" t="s">
        <v>249</v>
      </c>
      <c r="C63" s="110" t="s">
        <v>214</v>
      </c>
      <c r="D63" s="111">
        <v>4</v>
      </c>
      <c r="E63" s="111">
        <v>2500</v>
      </c>
      <c r="F63" s="111">
        <f t="shared" si="3"/>
        <v>10000</v>
      </c>
      <c r="G63" s="100"/>
    </row>
    <row r="64" spans="1:7" s="97" customFormat="1" x14ac:dyDescent="0.3">
      <c r="A64" s="104"/>
      <c r="B64" s="109" t="s">
        <v>215</v>
      </c>
      <c r="C64" s="110" t="s">
        <v>214</v>
      </c>
      <c r="D64" s="111">
        <v>4</v>
      </c>
      <c r="E64" s="111">
        <v>3500</v>
      </c>
      <c r="F64" s="111">
        <f t="shared" si="3"/>
        <v>14000</v>
      </c>
      <c r="G64" s="100"/>
    </row>
    <row r="65" spans="1:7" s="97" customFormat="1" x14ac:dyDescent="0.3">
      <c r="A65" s="104"/>
      <c r="B65" s="112" t="s">
        <v>232</v>
      </c>
      <c r="C65" s="110"/>
      <c r="D65" s="111"/>
      <c r="E65" s="111"/>
      <c r="F65" s="111"/>
      <c r="G65" s="100"/>
    </row>
    <row r="66" spans="1:7" s="97" customFormat="1" x14ac:dyDescent="0.3">
      <c r="A66" s="104"/>
      <c r="B66" s="109" t="s">
        <v>233</v>
      </c>
      <c r="C66" s="110" t="s">
        <v>234</v>
      </c>
      <c r="D66" s="116">
        <v>0.15</v>
      </c>
      <c r="E66" s="111">
        <f>SUM(F44:F46)</f>
        <v>8390</v>
      </c>
      <c r="F66" s="111">
        <f>E66*D66</f>
        <v>1258.5</v>
      </c>
      <c r="G66" s="100"/>
    </row>
    <row r="67" spans="1:7" s="97" customFormat="1" x14ac:dyDescent="0.3">
      <c r="A67" s="104"/>
      <c r="B67" s="109" t="s">
        <v>223</v>
      </c>
      <c r="C67" s="110" t="s">
        <v>224</v>
      </c>
      <c r="D67" s="116"/>
      <c r="E67" s="111"/>
      <c r="F67" s="111">
        <v>8500</v>
      </c>
      <c r="G67" s="100"/>
    </row>
    <row r="68" spans="1:7" s="97" customFormat="1" x14ac:dyDescent="0.3">
      <c r="A68" s="104"/>
      <c r="B68" s="109"/>
      <c r="C68" s="110"/>
      <c r="D68" s="116"/>
      <c r="E68" s="111"/>
      <c r="F68" s="111"/>
      <c r="G68" s="100"/>
    </row>
    <row r="69" spans="1:7" s="97" customFormat="1" x14ac:dyDescent="0.3">
      <c r="A69" s="104"/>
      <c r="B69" s="117" t="s">
        <v>235</v>
      </c>
      <c r="C69" s="110"/>
      <c r="D69" s="111"/>
      <c r="E69" s="116">
        <f>F1</f>
        <v>0.25</v>
      </c>
      <c r="F69" s="111">
        <f>SUM(F44:F68)*E69</f>
        <v>34434.244565217392</v>
      </c>
      <c r="G69" s="100"/>
    </row>
    <row r="70" spans="1:7" s="97" customFormat="1" x14ac:dyDescent="0.3">
      <c r="A70" s="104"/>
      <c r="B70" s="117" t="s">
        <v>236</v>
      </c>
      <c r="C70" s="110"/>
      <c r="D70" s="111"/>
      <c r="E70" s="111"/>
      <c r="F70" s="118">
        <f>SUM(F43:F69)</f>
        <v>172171.22282608697</v>
      </c>
      <c r="G70" s="119"/>
    </row>
    <row r="71" spans="1:7" s="97" customFormat="1" x14ac:dyDescent="0.3">
      <c r="A71" s="104"/>
      <c r="B71" s="120" t="s">
        <v>237</v>
      </c>
      <c r="C71" s="121" t="s">
        <v>10</v>
      </c>
      <c r="D71" s="122">
        <v>1</v>
      </c>
      <c r="E71" s="122"/>
      <c r="F71" s="123">
        <f>F70/12</f>
        <v>14347.601902173914</v>
      </c>
      <c r="G71" s="119"/>
    </row>
    <row r="72" spans="1:7" s="97" customFormat="1" ht="13.8" x14ac:dyDescent="0.3">
      <c r="A72" s="124"/>
      <c r="B72" s="125" t="s">
        <v>238</v>
      </c>
      <c r="C72" s="126" t="s">
        <v>10</v>
      </c>
      <c r="D72" s="127">
        <v>1</v>
      </c>
      <c r="E72" s="127"/>
      <c r="F72" s="127">
        <v>14500</v>
      </c>
      <c r="G72" s="119"/>
    </row>
    <row r="74" spans="1:7" s="97" customFormat="1" x14ac:dyDescent="0.3">
      <c r="A74" s="105">
        <v>21013</v>
      </c>
      <c r="B74" s="129" t="s">
        <v>252</v>
      </c>
      <c r="C74" s="107"/>
      <c r="D74" s="108"/>
      <c r="E74" s="108"/>
      <c r="F74" s="108"/>
      <c r="G74" s="100"/>
    </row>
    <row r="75" spans="1:7" s="97" customFormat="1" x14ac:dyDescent="0.3">
      <c r="A75" s="104"/>
      <c r="B75" s="109"/>
      <c r="C75" s="110"/>
      <c r="D75" s="111"/>
      <c r="E75" s="111"/>
      <c r="F75" s="111"/>
      <c r="G75" s="100"/>
    </row>
    <row r="76" spans="1:7" s="97" customFormat="1" x14ac:dyDescent="0.3">
      <c r="A76" s="104"/>
      <c r="B76" s="112" t="s">
        <v>208</v>
      </c>
      <c r="C76" s="110"/>
      <c r="D76" s="111"/>
      <c r="E76" s="111"/>
      <c r="F76" s="111"/>
      <c r="G76" s="100"/>
    </row>
    <row r="77" spans="1:7" s="97" customFormat="1" x14ac:dyDescent="0.3">
      <c r="A77" s="104"/>
      <c r="B77" s="109" t="s">
        <v>210</v>
      </c>
      <c r="C77" s="110" t="s">
        <v>209</v>
      </c>
      <c r="D77" s="111">
        <f>0.25/8</f>
        <v>3.125E-2</v>
      </c>
      <c r="E77" s="111">
        <v>1750</v>
      </c>
      <c r="F77" s="111">
        <f>SUM(E77*D77)</f>
        <v>54.6875</v>
      </c>
      <c r="G77" s="100"/>
    </row>
    <row r="78" spans="1:7" s="97" customFormat="1" x14ac:dyDescent="0.3">
      <c r="A78" s="104"/>
      <c r="B78" s="112" t="s">
        <v>216</v>
      </c>
      <c r="C78" s="110"/>
      <c r="D78" s="111"/>
      <c r="E78" s="111"/>
      <c r="F78" s="111"/>
      <c r="G78" s="100"/>
    </row>
    <row r="79" spans="1:7" s="97" customFormat="1" x14ac:dyDescent="0.3">
      <c r="A79" s="104"/>
      <c r="B79" s="109" t="s">
        <v>253</v>
      </c>
      <c r="C79" s="110" t="s">
        <v>51</v>
      </c>
      <c r="D79" s="111">
        <v>1</v>
      </c>
      <c r="E79" s="111">
        <v>150</v>
      </c>
      <c r="F79" s="111">
        <f>SUM(E79*D79)</f>
        <v>150</v>
      </c>
      <c r="G79" s="100"/>
    </row>
    <row r="80" spans="1:7" s="97" customFormat="1" x14ac:dyDescent="0.3">
      <c r="A80" s="104"/>
      <c r="B80" s="109" t="s">
        <v>254</v>
      </c>
      <c r="C80" s="110" t="s">
        <v>51</v>
      </c>
      <c r="D80" s="111">
        <v>1</v>
      </c>
      <c r="E80" s="128">
        <f>20.4*145.194</f>
        <v>2961.9575999999997</v>
      </c>
      <c r="F80" s="111">
        <f>SUM(E80*D80)</f>
        <v>2961.9575999999997</v>
      </c>
      <c r="G80" s="100"/>
    </row>
    <row r="81" spans="1:7" s="97" customFormat="1" x14ac:dyDescent="0.3">
      <c r="A81" s="104"/>
      <c r="B81" s="112" t="s">
        <v>232</v>
      </c>
      <c r="C81" s="110"/>
      <c r="D81" s="111"/>
      <c r="E81" s="128"/>
      <c r="F81" s="111"/>
      <c r="G81" s="100"/>
    </row>
    <row r="82" spans="1:7" s="97" customFormat="1" x14ac:dyDescent="0.3">
      <c r="A82" s="104"/>
      <c r="B82" s="109" t="s">
        <v>233</v>
      </c>
      <c r="C82" s="110" t="s">
        <v>234</v>
      </c>
      <c r="D82" s="130">
        <v>2.5000000000000001E-2</v>
      </c>
      <c r="E82" s="111">
        <f>F77</f>
        <v>54.6875</v>
      </c>
      <c r="F82" s="111">
        <f>E82*D82</f>
        <v>1.3671875</v>
      </c>
      <c r="G82" s="100"/>
    </row>
    <row r="83" spans="1:7" s="97" customFormat="1" x14ac:dyDescent="0.3">
      <c r="A83" s="104"/>
      <c r="B83" s="117" t="s">
        <v>235</v>
      </c>
      <c r="C83" s="110"/>
      <c r="D83" s="111"/>
      <c r="E83" s="116">
        <f>F1</f>
        <v>0.25</v>
      </c>
      <c r="F83" s="111">
        <f>SUM(F77:F80)*E83</f>
        <v>791.66127499999993</v>
      </c>
      <c r="G83" s="100"/>
    </row>
    <row r="84" spans="1:7" s="97" customFormat="1" x14ac:dyDescent="0.3">
      <c r="A84" s="104"/>
      <c r="B84" s="117" t="s">
        <v>236</v>
      </c>
      <c r="C84" s="110"/>
      <c r="D84" s="111"/>
      <c r="E84" s="111"/>
      <c r="F84" s="118">
        <f>SUM(F76:F83)</f>
        <v>3959.6735624999997</v>
      </c>
      <c r="G84" s="119"/>
    </row>
    <row r="85" spans="1:7" s="97" customFormat="1" ht="13.8" x14ac:dyDescent="0.3">
      <c r="A85" s="124"/>
      <c r="B85" s="125" t="s">
        <v>238</v>
      </c>
      <c r="C85" s="126" t="s">
        <v>51</v>
      </c>
      <c r="D85" s="127">
        <v>1</v>
      </c>
      <c r="E85" s="127"/>
      <c r="F85" s="127">
        <v>4000</v>
      </c>
      <c r="G85" s="119"/>
    </row>
    <row r="87" spans="1:7" s="97" customFormat="1" x14ac:dyDescent="0.3">
      <c r="A87" s="105">
        <v>21013</v>
      </c>
      <c r="B87" s="131" t="s">
        <v>255</v>
      </c>
      <c r="C87" s="132"/>
      <c r="D87" s="132"/>
      <c r="E87" s="132"/>
      <c r="F87" s="132"/>
      <c r="G87" s="100"/>
    </row>
    <row r="88" spans="1:7" s="97" customFormat="1" x14ac:dyDescent="0.3">
      <c r="A88" s="104"/>
      <c r="B88" s="109" t="s">
        <v>256</v>
      </c>
      <c r="C88" s="110"/>
      <c r="D88" s="111"/>
      <c r="E88" s="111"/>
      <c r="F88" s="111"/>
      <c r="G88" s="100"/>
    </row>
    <row r="89" spans="1:7" s="97" customFormat="1" x14ac:dyDescent="0.3">
      <c r="A89" s="104"/>
      <c r="B89" s="109"/>
      <c r="C89" s="110"/>
      <c r="D89" s="111"/>
      <c r="E89" s="111"/>
      <c r="F89" s="111"/>
      <c r="G89" s="100"/>
    </row>
    <row r="90" spans="1:7" s="97" customFormat="1" x14ac:dyDescent="0.3">
      <c r="A90" s="104"/>
      <c r="B90" s="112" t="s">
        <v>208</v>
      </c>
      <c r="C90" s="110"/>
      <c r="D90" s="111"/>
      <c r="E90" s="111"/>
      <c r="F90" s="111"/>
      <c r="G90" s="100"/>
    </row>
    <row r="91" spans="1:7" s="97" customFormat="1" x14ac:dyDescent="0.3">
      <c r="A91" s="104"/>
      <c r="B91" s="109" t="s">
        <v>257</v>
      </c>
      <c r="C91" s="110" t="s">
        <v>209</v>
      </c>
      <c r="D91" s="111">
        <f>0.5/8</f>
        <v>6.25E-2</v>
      </c>
      <c r="E91" s="111">
        <v>1750</v>
      </c>
      <c r="F91" s="133">
        <f>+E91*D91</f>
        <v>109.375</v>
      </c>
      <c r="G91" s="100"/>
    </row>
    <row r="92" spans="1:7" s="97" customFormat="1" x14ac:dyDescent="0.3">
      <c r="A92" s="104"/>
      <c r="B92" s="109" t="s">
        <v>258</v>
      </c>
      <c r="C92" s="110" t="s">
        <v>209</v>
      </c>
      <c r="D92" s="111">
        <v>1</v>
      </c>
      <c r="E92" s="111">
        <v>1300</v>
      </c>
      <c r="F92" s="133">
        <f>+E92*D92</f>
        <v>1300</v>
      </c>
      <c r="G92" s="100"/>
    </row>
    <row r="93" spans="1:7" s="97" customFormat="1" x14ac:dyDescent="0.3">
      <c r="A93" s="104"/>
      <c r="B93" s="134" t="s">
        <v>259</v>
      </c>
      <c r="C93" s="110" t="s">
        <v>209</v>
      </c>
      <c r="D93" s="133">
        <f>4/8</f>
        <v>0.5</v>
      </c>
      <c r="E93" s="133">
        <v>1750</v>
      </c>
      <c r="F93" s="133">
        <f>+E93*D93</f>
        <v>875</v>
      </c>
      <c r="G93" s="100"/>
    </row>
    <row r="94" spans="1:7" s="97" customFormat="1" x14ac:dyDescent="0.3">
      <c r="A94" s="104"/>
      <c r="B94" s="112" t="s">
        <v>216</v>
      </c>
      <c r="C94" s="110"/>
      <c r="D94" s="111"/>
      <c r="E94" s="111"/>
      <c r="F94" s="111"/>
      <c r="G94" s="100"/>
    </row>
    <row r="95" spans="1:7" s="97" customFormat="1" x14ac:dyDescent="0.3">
      <c r="A95" s="104"/>
      <c r="B95" s="109" t="s">
        <v>260</v>
      </c>
      <c r="C95" s="110" t="s">
        <v>261</v>
      </c>
      <c r="D95" s="111">
        <f>0.1*1.05</f>
        <v>0.10500000000000001</v>
      </c>
      <c r="E95" s="111">
        <v>13000</v>
      </c>
      <c r="F95" s="133">
        <f>+E95*D95</f>
        <v>1365.0000000000002</v>
      </c>
      <c r="G95" s="100"/>
    </row>
    <row r="96" spans="1:7" s="97" customFormat="1" ht="15" x14ac:dyDescent="0.3">
      <c r="A96" s="104"/>
      <c r="B96" s="109" t="s">
        <v>262</v>
      </c>
      <c r="C96" s="110" t="s">
        <v>263</v>
      </c>
      <c r="D96" s="111">
        <v>1</v>
      </c>
      <c r="E96" s="111">
        <f>1400*0.6/2</f>
        <v>420</v>
      </c>
      <c r="F96" s="133">
        <f>+E96*D96</f>
        <v>420</v>
      </c>
      <c r="G96" s="100"/>
    </row>
    <row r="97" spans="1:20" s="97" customFormat="1" x14ac:dyDescent="0.3">
      <c r="A97" s="104"/>
      <c r="B97" s="134" t="s">
        <v>264</v>
      </c>
      <c r="C97" s="135" t="s">
        <v>263</v>
      </c>
      <c r="D97" s="133">
        <v>1</v>
      </c>
      <c r="E97" s="133">
        <f>ROUNDUP(5.513326*36,2)</f>
        <v>198.48</v>
      </c>
      <c r="F97" s="133">
        <f>+E97*D97</f>
        <v>198.48</v>
      </c>
      <c r="G97" s="100"/>
    </row>
    <row r="98" spans="1:20" s="97" customFormat="1" ht="16.2" x14ac:dyDescent="0.45">
      <c r="A98" s="136"/>
      <c r="B98" s="137" t="s">
        <v>265</v>
      </c>
      <c r="C98" s="135" t="s">
        <v>263</v>
      </c>
      <c r="D98" s="133">
        <v>1</v>
      </c>
      <c r="E98" s="133">
        <v>150</v>
      </c>
      <c r="F98" s="138">
        <f>+E98*D98</f>
        <v>150</v>
      </c>
      <c r="G98" s="100"/>
    </row>
    <row r="99" spans="1:20" s="97" customFormat="1" x14ac:dyDescent="0.3">
      <c r="A99" s="104"/>
      <c r="B99" s="117" t="s">
        <v>235</v>
      </c>
      <c r="C99" s="110"/>
      <c r="D99" s="111"/>
      <c r="E99" s="116">
        <f>F1</f>
        <v>0.25</v>
      </c>
      <c r="F99" s="111">
        <f>SUM(F91:F98)*E99</f>
        <v>1104.4637499999999</v>
      </c>
      <c r="G99" s="100"/>
    </row>
    <row r="100" spans="1:20" s="97" customFormat="1" x14ac:dyDescent="0.3">
      <c r="A100" s="136"/>
      <c r="B100" s="117" t="s">
        <v>266</v>
      </c>
      <c r="C100" s="135"/>
      <c r="D100" s="133"/>
      <c r="E100" s="133"/>
      <c r="F100" s="133">
        <f>SUM(F91:F99)</f>
        <v>5522.3187499999995</v>
      </c>
      <c r="G100" s="100"/>
    </row>
    <row r="101" spans="1:20" s="97" customFormat="1" x14ac:dyDescent="0.3">
      <c r="A101" s="136"/>
      <c r="B101" s="125" t="s">
        <v>238</v>
      </c>
      <c r="C101" s="139"/>
      <c r="D101" s="140"/>
      <c r="E101" s="141"/>
      <c r="F101" s="140">
        <v>5600</v>
      </c>
      <c r="G101" s="100"/>
    </row>
    <row r="102" spans="1:20" s="97" customFormat="1" x14ac:dyDescent="0.3">
      <c r="A102" s="104"/>
      <c r="G102" s="100"/>
      <c r="I102" s="142"/>
    </row>
    <row r="103" spans="1:20" s="97" customFormat="1" x14ac:dyDescent="0.3">
      <c r="A103" s="105">
        <v>21013</v>
      </c>
      <c r="B103" s="131" t="s">
        <v>267</v>
      </c>
      <c r="C103" s="132"/>
      <c r="D103" s="132"/>
      <c r="E103" s="132"/>
      <c r="F103" s="132"/>
      <c r="G103" s="100"/>
    </row>
    <row r="104" spans="1:20" s="97" customFormat="1" x14ac:dyDescent="0.3">
      <c r="A104" s="104"/>
      <c r="B104" s="109" t="s">
        <v>268</v>
      </c>
      <c r="C104" s="110"/>
      <c r="D104" s="111"/>
      <c r="E104" s="111"/>
      <c r="F104" s="111"/>
      <c r="G104" s="100"/>
    </row>
    <row r="105" spans="1:20" s="97" customFormat="1" x14ac:dyDescent="0.3">
      <c r="A105" s="104"/>
      <c r="B105" s="109"/>
      <c r="C105" s="110"/>
      <c r="D105" s="111"/>
      <c r="E105" s="111"/>
      <c r="F105" s="111"/>
      <c r="G105" s="100"/>
    </row>
    <row r="106" spans="1:20" s="97" customFormat="1" x14ac:dyDescent="0.3">
      <c r="A106" s="104"/>
      <c r="B106" s="112" t="s">
        <v>269</v>
      </c>
      <c r="C106" s="110"/>
      <c r="D106" s="111"/>
      <c r="E106" s="111"/>
      <c r="F106" s="111"/>
      <c r="G106" s="100"/>
    </row>
    <row r="107" spans="1:20" s="97" customFormat="1" ht="16.2" x14ac:dyDescent="0.45">
      <c r="A107" s="104"/>
      <c r="B107" s="109" t="s">
        <v>270</v>
      </c>
      <c r="C107" s="110" t="s">
        <v>209</v>
      </c>
      <c r="D107" s="111">
        <f>10.51</f>
        <v>10.51</v>
      </c>
      <c r="E107" s="111">
        <v>1300</v>
      </c>
      <c r="F107" s="133">
        <f>+E107*D107</f>
        <v>13663</v>
      </c>
      <c r="G107" s="143"/>
      <c r="N107" s="104"/>
      <c r="O107" s="104"/>
      <c r="P107" s="104"/>
      <c r="Q107" s="104"/>
      <c r="R107" s="104"/>
      <c r="S107" s="144"/>
      <c r="T107" s="104"/>
    </row>
    <row r="108" spans="1:20" s="97" customFormat="1" x14ac:dyDescent="0.3">
      <c r="A108" s="104"/>
      <c r="B108" s="109" t="s">
        <v>271</v>
      </c>
      <c r="C108" s="110" t="s">
        <v>234</v>
      </c>
      <c r="D108" s="130">
        <v>2.5000000000000001E-2</v>
      </c>
      <c r="E108" s="111">
        <f>F107</f>
        <v>13663</v>
      </c>
      <c r="F108" s="133">
        <f>+E108*D108</f>
        <v>341.57500000000005</v>
      </c>
      <c r="G108" s="100"/>
      <c r="J108" s="100"/>
      <c r="K108" s="100"/>
      <c r="L108" s="100"/>
      <c r="N108" s="104"/>
      <c r="O108" s="104"/>
      <c r="P108" s="104"/>
      <c r="Q108" s="104"/>
      <c r="R108" s="104"/>
      <c r="S108" s="144"/>
      <c r="T108" s="104"/>
    </row>
    <row r="109" spans="1:20" s="97" customFormat="1" x14ac:dyDescent="0.3">
      <c r="A109" s="104"/>
      <c r="B109" s="112" t="s">
        <v>272</v>
      </c>
      <c r="C109" s="110"/>
      <c r="D109" s="111"/>
      <c r="E109" s="111"/>
      <c r="F109" s="111"/>
      <c r="G109" s="100"/>
      <c r="J109" s="100"/>
      <c r="K109" s="100"/>
      <c r="L109" s="100"/>
      <c r="M109" s="115"/>
      <c r="N109" s="145"/>
      <c r="O109" s="104"/>
      <c r="P109" s="104"/>
      <c r="Q109" s="104"/>
      <c r="R109" s="104"/>
      <c r="S109" s="144"/>
      <c r="T109" s="104"/>
    </row>
    <row r="110" spans="1:20" s="97" customFormat="1" ht="16.2" x14ac:dyDescent="0.45">
      <c r="A110" s="104"/>
      <c r="B110" s="109" t="s">
        <v>16</v>
      </c>
      <c r="C110" s="110" t="s">
        <v>209</v>
      </c>
      <c r="D110" s="111">
        <v>2</v>
      </c>
      <c r="E110" s="111">
        <v>1750</v>
      </c>
      <c r="F110" s="133">
        <f t="shared" ref="F110:F118" si="4">+E110*D110</f>
        <v>3500</v>
      </c>
      <c r="G110" s="143"/>
      <c r="J110" s="100"/>
      <c r="K110" s="100"/>
      <c r="L110" s="100"/>
      <c r="N110" s="104"/>
      <c r="O110" s="104"/>
      <c r="P110" s="104"/>
      <c r="Q110" s="104"/>
      <c r="R110" s="104"/>
      <c r="S110" s="144"/>
      <c r="T110" s="104"/>
    </row>
    <row r="111" spans="1:20" s="97" customFormat="1" x14ac:dyDescent="0.3">
      <c r="A111" s="104"/>
      <c r="B111" s="109" t="s">
        <v>22</v>
      </c>
      <c r="C111" s="110" t="s">
        <v>209</v>
      </c>
      <c r="D111" s="111">
        <v>14</v>
      </c>
      <c r="E111" s="111">
        <v>1300</v>
      </c>
      <c r="F111" s="133">
        <f t="shared" si="4"/>
        <v>18200</v>
      </c>
      <c r="G111" s="100"/>
      <c r="J111" s="100"/>
      <c r="K111" s="100"/>
      <c r="L111" s="100"/>
      <c r="N111" s="104"/>
      <c r="O111" s="104"/>
      <c r="P111" s="104"/>
      <c r="Q111" s="104"/>
      <c r="R111" s="104"/>
      <c r="S111" s="144"/>
      <c r="T111" s="104"/>
    </row>
    <row r="112" spans="1:20" s="97" customFormat="1" x14ac:dyDescent="0.3">
      <c r="A112" s="104"/>
      <c r="B112" s="134" t="s">
        <v>271</v>
      </c>
      <c r="C112" s="110" t="s">
        <v>234</v>
      </c>
      <c r="D112" s="130">
        <v>2.5000000000000001E-2</v>
      </c>
      <c r="E112" s="111">
        <f>F111+F110</f>
        <v>21700</v>
      </c>
      <c r="F112" s="133">
        <f t="shared" si="4"/>
        <v>542.5</v>
      </c>
      <c r="G112" s="100"/>
      <c r="J112" s="100"/>
      <c r="K112" s="100"/>
      <c r="L112" s="100"/>
      <c r="N112" s="104"/>
      <c r="O112" s="104"/>
      <c r="P112" s="104"/>
      <c r="Q112" s="104"/>
      <c r="R112" s="104"/>
      <c r="S112" s="144"/>
      <c r="T112" s="104"/>
    </row>
    <row r="113" spans="1:20" s="97" customFormat="1" ht="16.2" x14ac:dyDescent="0.45">
      <c r="A113" s="104"/>
      <c r="B113" s="109" t="s">
        <v>17</v>
      </c>
      <c r="C113" s="110" t="s">
        <v>225</v>
      </c>
      <c r="D113" s="111">
        <v>54</v>
      </c>
      <c r="E113" s="111">
        <v>900</v>
      </c>
      <c r="F113" s="133">
        <f t="shared" si="4"/>
        <v>48600</v>
      </c>
      <c r="G113" s="143"/>
      <c r="J113" s="100"/>
      <c r="K113" s="100"/>
      <c r="L113" s="100"/>
      <c r="N113" s="104"/>
      <c r="O113" s="104"/>
      <c r="P113" s="104"/>
      <c r="Q113" s="104"/>
      <c r="R113" s="104"/>
      <c r="S113" s="144"/>
      <c r="T113" s="104"/>
    </row>
    <row r="114" spans="1:20" s="97" customFormat="1" ht="16.2" x14ac:dyDescent="0.45">
      <c r="A114" s="104"/>
      <c r="B114" s="109" t="s">
        <v>273</v>
      </c>
      <c r="C114" s="110" t="s">
        <v>261</v>
      </c>
      <c r="D114" s="111">
        <v>7.64</v>
      </c>
      <c r="E114" s="111">
        <v>2400</v>
      </c>
      <c r="F114" s="133">
        <f t="shared" si="4"/>
        <v>18336</v>
      </c>
      <c r="G114" s="143"/>
      <c r="J114" s="100"/>
      <c r="K114" s="100"/>
      <c r="L114" s="100"/>
      <c r="N114" s="104"/>
      <c r="O114" s="104"/>
      <c r="P114" s="104"/>
      <c r="Q114" s="104"/>
      <c r="R114" s="104"/>
      <c r="S114" s="144"/>
      <c r="T114" s="104"/>
    </row>
    <row r="115" spans="1:20" s="97" customFormat="1" ht="16.2" x14ac:dyDescent="0.45">
      <c r="A115" s="104"/>
      <c r="B115" s="109" t="s">
        <v>18</v>
      </c>
      <c r="C115" s="110" t="s">
        <v>261</v>
      </c>
      <c r="D115" s="111">
        <v>5.09</v>
      </c>
      <c r="E115" s="111">
        <v>3000</v>
      </c>
      <c r="F115" s="133">
        <f t="shared" si="4"/>
        <v>15270</v>
      </c>
      <c r="G115" s="143"/>
      <c r="J115" s="100"/>
      <c r="K115" s="100"/>
      <c r="L115" s="100"/>
      <c r="N115" s="104"/>
      <c r="O115" s="104"/>
      <c r="P115" s="104"/>
      <c r="Q115" s="104"/>
      <c r="R115" s="104"/>
      <c r="S115" s="144"/>
      <c r="T115" s="104"/>
    </row>
    <row r="116" spans="1:20" s="97" customFormat="1" ht="16.2" x14ac:dyDescent="0.45">
      <c r="A116" s="104"/>
      <c r="B116" s="109" t="s">
        <v>274</v>
      </c>
      <c r="C116" s="110" t="s">
        <v>261</v>
      </c>
      <c r="D116" s="111">
        <v>8.5</v>
      </c>
      <c r="E116" s="111">
        <v>35</v>
      </c>
      <c r="F116" s="133">
        <f t="shared" si="4"/>
        <v>297.5</v>
      </c>
      <c r="G116" s="143"/>
      <c r="J116" s="100"/>
      <c r="K116" s="100"/>
      <c r="L116" s="100"/>
      <c r="N116" s="104"/>
      <c r="O116" s="104"/>
      <c r="P116" s="104"/>
      <c r="Q116" s="104"/>
      <c r="R116" s="104"/>
      <c r="S116" s="144"/>
      <c r="T116" s="104"/>
    </row>
    <row r="117" spans="1:20" s="97" customFormat="1" ht="16.2" x14ac:dyDescent="0.45">
      <c r="A117" s="104"/>
      <c r="B117" s="109" t="s">
        <v>275</v>
      </c>
      <c r="C117" s="110" t="s">
        <v>231</v>
      </c>
      <c r="D117" s="111">
        <v>1</v>
      </c>
      <c r="E117" s="111">
        <v>6665</v>
      </c>
      <c r="F117" s="133">
        <f t="shared" si="4"/>
        <v>6665</v>
      </c>
      <c r="G117" s="143"/>
      <c r="J117" s="100"/>
      <c r="K117" s="100"/>
      <c r="L117" s="100"/>
      <c r="N117" s="104"/>
      <c r="O117" s="104"/>
      <c r="P117" s="104"/>
      <c r="Q117" s="104"/>
      <c r="R117" s="104"/>
      <c r="S117" s="144"/>
      <c r="T117" s="104"/>
    </row>
    <row r="118" spans="1:20" s="97" customFormat="1" ht="16.2" x14ac:dyDescent="0.45">
      <c r="A118" s="104"/>
      <c r="B118" s="109" t="s">
        <v>276</v>
      </c>
      <c r="C118" s="110" t="s">
        <v>231</v>
      </c>
      <c r="D118" s="111">
        <v>1</v>
      </c>
      <c r="E118" s="111">
        <v>1900</v>
      </c>
      <c r="F118" s="133">
        <f t="shared" si="4"/>
        <v>1900</v>
      </c>
      <c r="G118" s="143"/>
      <c r="J118" s="100"/>
      <c r="K118" s="100"/>
      <c r="L118" s="100"/>
      <c r="N118" s="104"/>
      <c r="O118" s="104"/>
      <c r="P118" s="104"/>
      <c r="Q118" s="104"/>
      <c r="R118" s="104"/>
      <c r="S118" s="144"/>
      <c r="T118" s="104"/>
    </row>
    <row r="119" spans="1:20" s="97" customFormat="1" ht="16.2" x14ac:dyDescent="0.45">
      <c r="A119" s="104"/>
      <c r="B119" s="112" t="s">
        <v>277</v>
      </c>
      <c r="C119" s="110"/>
      <c r="D119" s="111"/>
      <c r="E119" s="111"/>
      <c r="F119" s="133"/>
      <c r="G119" s="143"/>
      <c r="H119" s="97" t="s">
        <v>38</v>
      </c>
      <c r="I119" s="97">
        <f>8.5/(0.15*0.15)</f>
        <v>377.77777777777777</v>
      </c>
      <c r="J119" s="100"/>
      <c r="K119" s="100"/>
      <c r="L119" s="100"/>
      <c r="N119" s="104"/>
      <c r="O119" s="104"/>
      <c r="P119" s="104"/>
      <c r="Q119" s="104"/>
      <c r="R119" s="104"/>
      <c r="S119" s="144"/>
      <c r="T119" s="104"/>
    </row>
    <row r="120" spans="1:20" s="97" customFormat="1" ht="16.2" x14ac:dyDescent="0.45">
      <c r="A120" s="104"/>
      <c r="B120" s="109" t="s">
        <v>278</v>
      </c>
      <c r="C120" s="110" t="s">
        <v>261</v>
      </c>
      <c r="D120" s="111">
        <v>8.5</v>
      </c>
      <c r="E120" s="111">
        <v>800</v>
      </c>
      <c r="F120" s="133">
        <f>E120*D120</f>
        <v>6800</v>
      </c>
      <c r="G120" s="143"/>
      <c r="J120" s="100"/>
      <c r="K120" s="100"/>
      <c r="L120" s="100"/>
      <c r="N120" s="104"/>
      <c r="O120" s="104"/>
      <c r="P120" s="104"/>
      <c r="Q120" s="104"/>
      <c r="R120" s="104"/>
      <c r="S120" s="144"/>
      <c r="T120" s="104"/>
    </row>
    <row r="121" spans="1:20" s="97" customFormat="1" ht="16.2" x14ac:dyDescent="0.45">
      <c r="A121" s="104"/>
      <c r="B121" s="112" t="s">
        <v>90</v>
      </c>
      <c r="C121" s="110"/>
      <c r="D121" s="111"/>
      <c r="E121" s="111"/>
      <c r="F121" s="133"/>
      <c r="G121" s="143"/>
      <c r="H121" s="113" t="s">
        <v>279</v>
      </c>
      <c r="I121" s="113" t="s">
        <v>4</v>
      </c>
      <c r="J121" s="146" t="s">
        <v>280</v>
      </c>
      <c r="K121" s="146" t="s">
        <v>281</v>
      </c>
      <c r="L121" s="146"/>
      <c r="M121" s="113" t="s">
        <v>282</v>
      </c>
      <c r="N121" s="104"/>
      <c r="O121" s="104"/>
      <c r="P121" s="104"/>
      <c r="Q121" s="104"/>
      <c r="R121" s="104"/>
      <c r="S121" s="144"/>
      <c r="T121" s="104"/>
    </row>
    <row r="122" spans="1:20" s="97" customFormat="1" x14ac:dyDescent="0.3">
      <c r="A122" s="104"/>
      <c r="B122" s="109" t="s">
        <v>283</v>
      </c>
      <c r="C122" s="110" t="s">
        <v>282</v>
      </c>
      <c r="D122" s="114">
        <v>1.62</v>
      </c>
      <c r="E122" s="111">
        <v>140000</v>
      </c>
      <c r="F122" s="133">
        <f>E122*D122</f>
        <v>226800.00000000003</v>
      </c>
      <c r="G122" s="100" t="s">
        <v>284</v>
      </c>
      <c r="H122" s="113" t="s">
        <v>285</v>
      </c>
      <c r="I122" s="113">
        <v>4</v>
      </c>
      <c r="J122" s="146">
        <v>385</v>
      </c>
      <c r="K122" s="146">
        <f>J122*I122</f>
        <v>1540</v>
      </c>
      <c r="L122" s="147">
        <f>144/162.162</f>
        <v>0.88800088800088794</v>
      </c>
      <c r="M122" s="147">
        <f>K122*L122/1000</f>
        <v>1.3675213675213675</v>
      </c>
      <c r="N122" s="104"/>
      <c r="O122" s="104"/>
      <c r="P122" s="104"/>
      <c r="Q122" s="104"/>
      <c r="R122" s="104"/>
      <c r="S122" s="144"/>
      <c r="T122" s="104"/>
    </row>
    <row r="123" spans="1:20" s="97" customFormat="1" x14ac:dyDescent="0.3">
      <c r="A123" s="104"/>
      <c r="B123" s="109" t="s">
        <v>286</v>
      </c>
      <c r="C123" s="110" t="s">
        <v>209</v>
      </c>
      <c r="D123" s="111">
        <v>6</v>
      </c>
      <c r="E123" s="111">
        <v>1750</v>
      </c>
      <c r="F123" s="133">
        <f>E123*D123</f>
        <v>10500</v>
      </c>
      <c r="G123" s="100" t="s">
        <v>287</v>
      </c>
      <c r="H123" s="113" t="s">
        <v>288</v>
      </c>
      <c r="I123" s="113">
        <f>378/0.2</f>
        <v>1890</v>
      </c>
      <c r="J123" s="146">
        <f>0.15*4</f>
        <v>0.6</v>
      </c>
      <c r="K123" s="146">
        <f>J123*I123</f>
        <v>1134</v>
      </c>
      <c r="L123" s="147">
        <f>36/162.162</f>
        <v>0.22200022200022199</v>
      </c>
      <c r="M123" s="147">
        <f>K123*L123/1000</f>
        <v>0.25174825174825172</v>
      </c>
      <c r="N123" s="104"/>
      <c r="O123" s="104"/>
      <c r="P123" s="104"/>
      <c r="Q123" s="104"/>
      <c r="R123" s="104"/>
      <c r="S123" s="144"/>
      <c r="T123" s="104"/>
    </row>
    <row r="124" spans="1:20" s="97" customFormat="1" ht="16.2" x14ac:dyDescent="0.45">
      <c r="A124" s="136"/>
      <c r="B124" s="137"/>
      <c r="C124" s="135"/>
      <c r="D124" s="133"/>
      <c r="E124" s="133"/>
      <c r="F124" s="138"/>
      <c r="G124" s="100"/>
      <c r="H124" s="113"/>
      <c r="I124" s="113"/>
      <c r="J124" s="146"/>
      <c r="K124" s="146"/>
      <c r="L124" s="147"/>
      <c r="M124" s="147">
        <f>SUM(M122:M123)</f>
        <v>1.6192696192696192</v>
      </c>
      <c r="N124" s="104"/>
      <c r="O124" s="104"/>
      <c r="P124" s="104"/>
      <c r="Q124" s="104"/>
      <c r="R124" s="104"/>
      <c r="S124" s="144"/>
      <c r="T124" s="104"/>
    </row>
    <row r="125" spans="1:20" s="97" customFormat="1" ht="16.2" x14ac:dyDescent="0.45">
      <c r="A125" s="136"/>
      <c r="B125" s="137"/>
      <c r="C125" s="135"/>
      <c r="D125" s="133"/>
      <c r="E125" s="133"/>
      <c r="F125" s="138"/>
      <c r="G125" s="100"/>
      <c r="H125" s="113"/>
      <c r="I125" s="113"/>
      <c r="J125" s="146"/>
      <c r="K125" s="146"/>
      <c r="L125" s="147"/>
      <c r="M125" s="147"/>
      <c r="N125" s="104"/>
      <c r="O125" s="104"/>
      <c r="P125" s="104"/>
      <c r="Q125" s="104"/>
      <c r="R125" s="104"/>
      <c r="S125" s="144"/>
      <c r="T125" s="104"/>
    </row>
    <row r="126" spans="1:20" s="97" customFormat="1" x14ac:dyDescent="0.3">
      <c r="A126" s="104"/>
      <c r="B126" s="117" t="s">
        <v>235</v>
      </c>
      <c r="C126" s="110"/>
      <c r="D126" s="111"/>
      <c r="E126" s="116">
        <f>F1</f>
        <v>0.25</v>
      </c>
      <c r="F126" s="111">
        <f>SUM(F107:F125)*E126</f>
        <v>92853.893750000017</v>
      </c>
      <c r="G126" s="100"/>
      <c r="H126" s="148"/>
      <c r="I126" s="113"/>
      <c r="J126" s="146"/>
      <c r="K126" s="146"/>
      <c r="L126" s="146"/>
      <c r="M126" s="149"/>
      <c r="N126" s="150"/>
      <c r="O126" s="104"/>
      <c r="P126" s="104"/>
      <c r="Q126" s="104"/>
      <c r="R126" s="104"/>
      <c r="S126" s="144"/>
      <c r="T126" s="104"/>
    </row>
    <row r="127" spans="1:20" s="97" customFormat="1" x14ac:dyDescent="0.3">
      <c r="A127" s="136"/>
      <c r="B127" s="117" t="s">
        <v>289</v>
      </c>
      <c r="C127" s="135" t="s">
        <v>261</v>
      </c>
      <c r="D127" s="133">
        <v>1</v>
      </c>
      <c r="E127" s="133"/>
      <c r="F127" s="133">
        <f>SUM(F107:F126)/8.5</f>
        <v>54619.937500000015</v>
      </c>
      <c r="G127" s="100"/>
      <c r="H127" s="113"/>
      <c r="I127" s="113"/>
      <c r="J127" s="146"/>
      <c r="K127" s="146"/>
      <c r="L127" s="146"/>
      <c r="M127" s="148"/>
      <c r="N127" s="104"/>
      <c r="O127" s="104"/>
      <c r="P127" s="104"/>
      <c r="Q127" s="104"/>
      <c r="R127" s="104"/>
      <c r="S127" s="144"/>
      <c r="T127" s="104"/>
    </row>
    <row r="128" spans="1:20" s="97" customFormat="1" x14ac:dyDescent="0.3">
      <c r="A128" s="136"/>
      <c r="B128" s="117" t="s">
        <v>237</v>
      </c>
      <c r="C128" s="135" t="s">
        <v>10</v>
      </c>
      <c r="D128" s="133">
        <v>1</v>
      </c>
      <c r="E128" s="133"/>
      <c r="F128" s="133">
        <f>F127*(0.15*0.15)</f>
        <v>1228.9485937500003</v>
      </c>
      <c r="G128" s="100"/>
      <c r="H128" s="113"/>
      <c r="I128" s="113"/>
      <c r="J128" s="146"/>
      <c r="K128" s="146"/>
      <c r="L128" s="146"/>
      <c r="M128" s="148"/>
      <c r="N128" s="104"/>
      <c r="O128" s="104"/>
      <c r="P128" s="104"/>
      <c r="Q128" s="104"/>
      <c r="R128" s="104"/>
      <c r="S128" s="144"/>
      <c r="T128" s="104"/>
    </row>
    <row r="129" spans="1:20" s="97" customFormat="1" x14ac:dyDescent="0.3">
      <c r="A129" s="136"/>
      <c r="B129" s="125" t="s">
        <v>238</v>
      </c>
      <c r="C129" s="126" t="s">
        <v>10</v>
      </c>
      <c r="D129" s="140">
        <v>1</v>
      </c>
      <c r="E129" s="141"/>
      <c r="F129" s="140">
        <v>1230</v>
      </c>
      <c r="G129" s="100"/>
      <c r="H129" s="113"/>
      <c r="I129" s="113"/>
      <c r="J129" s="146"/>
      <c r="K129" s="146">
        <f>SUM(F107:F120)*1.25</f>
        <v>167644.46875</v>
      </c>
      <c r="L129" s="146">
        <f>SUM(F107:F126)</f>
        <v>464269.46875000012</v>
      </c>
      <c r="M129" s="148"/>
      <c r="N129" s="104"/>
      <c r="O129" s="104"/>
      <c r="P129" s="104"/>
      <c r="Q129" s="104"/>
      <c r="R129" s="104"/>
      <c r="S129" s="144"/>
      <c r="T129" s="104"/>
    </row>
    <row r="130" spans="1:20" s="97" customFormat="1" x14ac:dyDescent="0.3">
      <c r="A130" s="104"/>
      <c r="G130" s="100"/>
      <c r="H130" s="113"/>
      <c r="I130" s="151"/>
      <c r="J130" s="146"/>
      <c r="K130" s="146">
        <f>K129/378</f>
        <v>443.50388558201058</v>
      </c>
      <c r="L130" s="146">
        <f>L129/378</f>
        <v>1228.2261078042332</v>
      </c>
      <c r="M130" s="113"/>
    </row>
    <row r="131" spans="1:20" s="97" customFormat="1" x14ac:dyDescent="0.3">
      <c r="A131" s="105">
        <v>21013</v>
      </c>
      <c r="B131" s="403" t="s">
        <v>290</v>
      </c>
      <c r="C131" s="404"/>
      <c r="D131" s="404"/>
      <c r="E131" s="404"/>
      <c r="F131" s="404"/>
      <c r="G131" s="100"/>
    </row>
    <row r="132" spans="1:20" s="97" customFormat="1" x14ac:dyDescent="0.3">
      <c r="A132" s="104"/>
      <c r="B132" s="405" t="s">
        <v>291</v>
      </c>
      <c r="C132" s="406"/>
      <c r="D132" s="407"/>
      <c r="E132" s="407"/>
      <c r="F132" s="407"/>
      <c r="G132" s="100"/>
    </row>
    <row r="133" spans="1:20" s="97" customFormat="1" x14ac:dyDescent="0.3">
      <c r="A133" s="104"/>
      <c r="B133" s="405"/>
      <c r="C133" s="406"/>
      <c r="D133" s="407"/>
      <c r="E133" s="407"/>
      <c r="F133" s="407"/>
      <c r="G133" s="100"/>
    </row>
    <row r="134" spans="1:20" s="97" customFormat="1" x14ac:dyDescent="0.3">
      <c r="A134" s="104"/>
      <c r="B134" s="408" t="s">
        <v>269</v>
      </c>
      <c r="C134" s="406"/>
      <c r="D134" s="407"/>
      <c r="E134" s="407"/>
      <c r="F134" s="407"/>
      <c r="G134" s="100"/>
      <c r="K134" s="115"/>
    </row>
    <row r="135" spans="1:20" s="97" customFormat="1" ht="16.2" x14ac:dyDescent="0.45">
      <c r="A135" s="104"/>
      <c r="B135" s="405" t="s">
        <v>270</v>
      </c>
      <c r="C135" s="406" t="s">
        <v>209</v>
      </c>
      <c r="D135" s="407">
        <v>16</v>
      </c>
      <c r="E135" s="407">
        <v>1300</v>
      </c>
      <c r="F135" s="409">
        <f>+E135*D135</f>
        <v>20800</v>
      </c>
      <c r="G135" s="143"/>
      <c r="N135" s="104"/>
      <c r="O135" s="104"/>
      <c r="P135" s="104"/>
      <c r="Q135" s="104"/>
      <c r="R135" s="104"/>
      <c r="S135" s="144"/>
      <c r="T135" s="104"/>
    </row>
    <row r="136" spans="1:20" s="97" customFormat="1" x14ac:dyDescent="0.3">
      <c r="A136" s="104"/>
      <c r="B136" s="405" t="s">
        <v>271</v>
      </c>
      <c r="C136" s="406" t="s">
        <v>234</v>
      </c>
      <c r="D136" s="410">
        <v>2.5000000000000001E-2</v>
      </c>
      <c r="E136" s="407">
        <f>F135</f>
        <v>20800</v>
      </c>
      <c r="F136" s="409">
        <f t="shared" ref="F136:F147" si="5">+E136*D136</f>
        <v>520</v>
      </c>
      <c r="G136" s="100"/>
      <c r="J136" s="100"/>
      <c r="K136" s="100"/>
      <c r="L136" s="100"/>
      <c r="N136" s="104"/>
      <c r="O136" s="104"/>
      <c r="P136" s="104"/>
      <c r="Q136" s="104"/>
      <c r="R136" s="104"/>
      <c r="S136" s="144"/>
      <c r="T136" s="104"/>
    </row>
    <row r="137" spans="1:20" s="97" customFormat="1" x14ac:dyDescent="0.3">
      <c r="A137" s="104"/>
      <c r="B137" s="408" t="s">
        <v>292</v>
      </c>
      <c r="C137" s="406"/>
      <c r="D137" s="407"/>
      <c r="E137" s="407"/>
      <c r="F137" s="409">
        <f t="shared" si="5"/>
        <v>0</v>
      </c>
      <c r="G137" s="100"/>
      <c r="J137" s="100"/>
      <c r="K137" s="100"/>
      <c r="L137" s="100"/>
      <c r="M137" s="115"/>
      <c r="N137" s="145"/>
      <c r="O137" s="104"/>
      <c r="P137" s="104"/>
      <c r="Q137" s="104"/>
      <c r="R137" s="104"/>
      <c r="S137" s="144"/>
      <c r="T137" s="104"/>
    </row>
    <row r="138" spans="1:20" s="97" customFormat="1" ht="16.2" x14ac:dyDescent="0.45">
      <c r="A138" s="104"/>
      <c r="B138" s="405" t="s">
        <v>16</v>
      </c>
      <c r="C138" s="406" t="s">
        <v>209</v>
      </c>
      <c r="D138" s="407">
        <v>5</v>
      </c>
      <c r="E138" s="407">
        <v>1750</v>
      </c>
      <c r="F138" s="409">
        <f t="shared" si="5"/>
        <v>8750</v>
      </c>
      <c r="G138" s="143"/>
      <c r="J138" s="100"/>
      <c r="K138" s="100"/>
      <c r="L138" s="100"/>
      <c r="N138" s="104"/>
      <c r="O138" s="104"/>
      <c r="P138" s="104"/>
      <c r="Q138" s="104"/>
      <c r="R138" s="104"/>
      <c r="S138" s="144"/>
      <c r="T138" s="104"/>
    </row>
    <row r="139" spans="1:20" s="97" customFormat="1" x14ac:dyDescent="0.3">
      <c r="A139" s="104"/>
      <c r="B139" s="405" t="s">
        <v>22</v>
      </c>
      <c r="C139" s="406" t="s">
        <v>209</v>
      </c>
      <c r="D139" s="407">
        <v>14</v>
      </c>
      <c r="E139" s="407">
        <v>1300</v>
      </c>
      <c r="F139" s="409">
        <f t="shared" si="5"/>
        <v>18200</v>
      </c>
      <c r="G139" s="100"/>
      <c r="J139" s="100"/>
      <c r="K139" s="100"/>
      <c r="L139" s="100"/>
      <c r="N139" s="104"/>
      <c r="O139" s="104"/>
      <c r="P139" s="104"/>
      <c r="Q139" s="104"/>
      <c r="R139" s="104"/>
      <c r="S139" s="144"/>
      <c r="T139" s="104"/>
    </row>
    <row r="140" spans="1:20" s="97" customFormat="1" x14ac:dyDescent="0.3">
      <c r="A140" s="104"/>
      <c r="B140" s="411" t="s">
        <v>271</v>
      </c>
      <c r="C140" s="406" t="s">
        <v>234</v>
      </c>
      <c r="D140" s="410">
        <v>2.5000000000000001E-2</v>
      </c>
      <c r="E140" s="407">
        <f>F139+F138</f>
        <v>26950</v>
      </c>
      <c r="F140" s="409">
        <f t="shared" si="5"/>
        <v>673.75</v>
      </c>
      <c r="G140" s="100"/>
      <c r="J140" s="100"/>
      <c r="K140" s="100"/>
      <c r="L140" s="100"/>
      <c r="N140" s="104"/>
      <c r="O140" s="104"/>
      <c r="P140" s="104"/>
      <c r="Q140" s="104"/>
      <c r="R140" s="104"/>
      <c r="S140" s="144"/>
      <c r="T140" s="104"/>
    </row>
    <row r="141" spans="1:20" s="97" customFormat="1" ht="16.2" x14ac:dyDescent="0.45">
      <c r="A141" s="104"/>
      <c r="B141" s="405" t="s">
        <v>17</v>
      </c>
      <c r="C141" s="406" t="s">
        <v>225</v>
      </c>
      <c r="D141" s="407">
        <v>69</v>
      </c>
      <c r="E141" s="407">
        <v>900</v>
      </c>
      <c r="F141" s="409">
        <f t="shared" si="5"/>
        <v>62100</v>
      </c>
      <c r="G141" s="143"/>
      <c r="J141" s="100"/>
      <c r="K141" s="100"/>
      <c r="L141" s="100"/>
      <c r="N141" s="104"/>
      <c r="O141" s="104"/>
      <c r="P141" s="104"/>
      <c r="Q141" s="104"/>
      <c r="R141" s="104"/>
      <c r="S141" s="144"/>
      <c r="T141" s="104"/>
    </row>
    <row r="142" spans="1:20" s="97" customFormat="1" ht="16.2" x14ac:dyDescent="0.45">
      <c r="A142" s="104"/>
      <c r="B142" s="405" t="s">
        <v>273</v>
      </c>
      <c r="C142" s="406" t="s">
        <v>261</v>
      </c>
      <c r="D142" s="407">
        <v>7.7</v>
      </c>
      <c r="E142" s="407">
        <v>2400</v>
      </c>
      <c r="F142" s="409">
        <f t="shared" si="5"/>
        <v>18480</v>
      </c>
      <c r="G142" s="143"/>
      <c r="J142" s="100"/>
      <c r="K142" s="100"/>
      <c r="L142" s="100"/>
      <c r="N142" s="104"/>
      <c r="O142" s="104"/>
      <c r="P142" s="104"/>
      <c r="Q142" s="104"/>
      <c r="R142" s="104"/>
      <c r="S142" s="144"/>
      <c r="T142" s="104"/>
    </row>
    <row r="143" spans="1:20" s="97" customFormat="1" ht="16.2" x14ac:dyDescent="0.45">
      <c r="A143" s="104"/>
      <c r="B143" s="405" t="s">
        <v>18</v>
      </c>
      <c r="C143" s="406" t="s">
        <v>261</v>
      </c>
      <c r="D143" s="407">
        <v>5.09</v>
      </c>
      <c r="E143" s="407">
        <v>3000</v>
      </c>
      <c r="F143" s="409">
        <f t="shared" si="5"/>
        <v>15270</v>
      </c>
      <c r="G143" s="143"/>
      <c r="J143" s="100"/>
      <c r="K143" s="100"/>
      <c r="L143" s="100"/>
      <c r="N143" s="104"/>
      <c r="O143" s="104"/>
      <c r="P143" s="104"/>
      <c r="Q143" s="104"/>
      <c r="R143" s="104"/>
      <c r="S143" s="144"/>
      <c r="T143" s="104"/>
    </row>
    <row r="144" spans="1:20" s="97" customFormat="1" ht="16.2" x14ac:dyDescent="0.45">
      <c r="A144" s="104"/>
      <c r="B144" s="405" t="s">
        <v>274</v>
      </c>
      <c r="C144" s="406" t="s">
        <v>261</v>
      </c>
      <c r="D144" s="407">
        <v>8.5</v>
      </c>
      <c r="E144" s="407">
        <v>35</v>
      </c>
      <c r="F144" s="409">
        <f t="shared" si="5"/>
        <v>297.5</v>
      </c>
      <c r="G144" s="143"/>
      <c r="J144" s="100"/>
      <c r="K144" s="100"/>
      <c r="L144" s="100"/>
      <c r="N144" s="104"/>
      <c r="O144" s="104"/>
      <c r="P144" s="104"/>
      <c r="Q144" s="104"/>
      <c r="R144" s="104"/>
      <c r="S144" s="144"/>
      <c r="T144" s="104"/>
    </row>
    <row r="145" spans="1:20" s="97" customFormat="1" ht="16.2" x14ac:dyDescent="0.45">
      <c r="A145" s="104"/>
      <c r="B145" s="405" t="s">
        <v>275</v>
      </c>
      <c r="C145" s="406" t="s">
        <v>231</v>
      </c>
      <c r="D145" s="407">
        <v>1</v>
      </c>
      <c r="E145" s="407">
        <v>6665</v>
      </c>
      <c r="F145" s="409">
        <f t="shared" si="5"/>
        <v>6665</v>
      </c>
      <c r="G145" s="143"/>
      <c r="J145" s="100"/>
      <c r="K145" s="100"/>
      <c r="L145" s="100"/>
      <c r="N145" s="104"/>
      <c r="O145" s="104"/>
      <c r="P145" s="104"/>
      <c r="Q145" s="104"/>
      <c r="R145" s="104"/>
      <c r="S145" s="144"/>
      <c r="T145" s="104"/>
    </row>
    <row r="146" spans="1:20" s="97" customFormat="1" ht="16.2" x14ac:dyDescent="0.45">
      <c r="A146" s="104"/>
      <c r="B146" s="405" t="s">
        <v>276</v>
      </c>
      <c r="C146" s="406" t="s">
        <v>231</v>
      </c>
      <c r="D146" s="407">
        <v>1</v>
      </c>
      <c r="E146" s="407">
        <v>1900</v>
      </c>
      <c r="F146" s="409">
        <f t="shared" si="5"/>
        <v>1900</v>
      </c>
      <c r="G146" s="143"/>
      <c r="J146" s="100"/>
      <c r="K146" s="100"/>
      <c r="L146" s="100"/>
      <c r="N146" s="104"/>
      <c r="O146" s="104"/>
      <c r="P146" s="104"/>
      <c r="Q146" s="104"/>
      <c r="R146" s="104"/>
      <c r="S146" s="144"/>
      <c r="T146" s="104"/>
    </row>
    <row r="147" spans="1:20" s="97" customFormat="1" ht="16.2" x14ac:dyDescent="0.45">
      <c r="A147" s="104"/>
      <c r="B147" s="408" t="s">
        <v>277</v>
      </c>
      <c r="C147" s="406"/>
      <c r="D147" s="407"/>
      <c r="E147" s="407"/>
      <c r="F147" s="409">
        <f t="shared" si="5"/>
        <v>0</v>
      </c>
      <c r="G147" s="143"/>
      <c r="I147" s="97">
        <f>8.5/(0.25*0.25)</f>
        <v>136</v>
      </c>
      <c r="J147" s="100"/>
      <c r="K147" s="100"/>
      <c r="L147" s="100"/>
      <c r="N147" s="104"/>
      <c r="O147" s="104"/>
      <c r="P147" s="104"/>
      <c r="Q147" s="104"/>
      <c r="R147" s="104"/>
      <c r="S147" s="144"/>
      <c r="T147" s="104"/>
    </row>
    <row r="148" spans="1:20" s="97" customFormat="1" ht="16.2" x14ac:dyDescent="0.45">
      <c r="A148" s="104"/>
      <c r="B148" s="405" t="s">
        <v>278</v>
      </c>
      <c r="C148" s="406" t="s">
        <v>299</v>
      </c>
      <c r="D148" s="407">
        <v>68</v>
      </c>
      <c r="E148" s="407">
        <v>1800</v>
      </c>
      <c r="F148" s="409">
        <v>122400</v>
      </c>
      <c r="G148" s="143"/>
      <c r="J148" s="100"/>
      <c r="K148" s="100"/>
      <c r="L148" s="100"/>
      <c r="N148" s="104"/>
      <c r="O148" s="104"/>
      <c r="P148" s="104"/>
      <c r="Q148" s="104"/>
      <c r="R148" s="104"/>
      <c r="S148" s="144"/>
      <c r="T148" s="104"/>
    </row>
    <row r="149" spans="1:20" s="97" customFormat="1" ht="16.2" x14ac:dyDescent="0.45">
      <c r="A149" s="104"/>
      <c r="B149" s="408" t="s">
        <v>90</v>
      </c>
      <c r="C149" s="406"/>
      <c r="D149" s="407"/>
      <c r="E149" s="407"/>
      <c r="F149" s="409"/>
      <c r="G149" s="143"/>
      <c r="H149" s="113" t="s">
        <v>279</v>
      </c>
      <c r="I149" s="113" t="s">
        <v>4</v>
      </c>
      <c r="J149" s="146" t="s">
        <v>280</v>
      </c>
      <c r="K149" s="146" t="s">
        <v>281</v>
      </c>
      <c r="L149" s="146"/>
      <c r="M149" s="113" t="s">
        <v>282</v>
      </c>
      <c r="N149" s="104"/>
      <c r="O149" s="104"/>
      <c r="P149" s="104"/>
      <c r="Q149" s="104"/>
      <c r="R149" s="104"/>
      <c r="S149" s="144"/>
      <c r="T149" s="104"/>
    </row>
    <row r="150" spans="1:20" s="97" customFormat="1" x14ac:dyDescent="0.3">
      <c r="A150" s="104"/>
      <c r="B150" s="405" t="s">
        <v>283</v>
      </c>
      <c r="C150" s="406" t="s">
        <v>282</v>
      </c>
      <c r="D150" s="412">
        <v>0.72699999999999998</v>
      </c>
      <c r="E150" s="407">
        <v>140000</v>
      </c>
      <c r="F150" s="409">
        <f>E150*D150</f>
        <v>101780</v>
      </c>
      <c r="G150" s="100" t="s">
        <v>284</v>
      </c>
      <c r="H150" s="113" t="s">
        <v>285</v>
      </c>
      <c r="I150" s="113">
        <v>4</v>
      </c>
      <c r="J150" s="146">
        <v>140</v>
      </c>
      <c r="K150" s="146">
        <f>J150*I150</f>
        <v>560</v>
      </c>
      <c r="L150" s="147">
        <f>144/162.162</f>
        <v>0.88800088800088794</v>
      </c>
      <c r="M150" s="147">
        <f>K150*L150/1000</f>
        <v>0.49728049728049722</v>
      </c>
      <c r="N150" s="104"/>
      <c r="O150" s="104"/>
      <c r="P150" s="104"/>
      <c r="Q150" s="104"/>
      <c r="R150" s="104"/>
      <c r="S150" s="144"/>
      <c r="T150" s="104"/>
    </row>
    <row r="151" spans="1:20" s="97" customFormat="1" x14ac:dyDescent="0.3">
      <c r="A151" s="104"/>
      <c r="B151" s="405" t="s">
        <v>286</v>
      </c>
      <c r="C151" s="406" t="s">
        <v>209</v>
      </c>
      <c r="D151" s="407">
        <v>6</v>
      </c>
      <c r="E151" s="407">
        <v>1750</v>
      </c>
      <c r="F151" s="409">
        <f>E151*D151</f>
        <v>10500</v>
      </c>
      <c r="G151" s="100" t="s">
        <v>293</v>
      </c>
      <c r="H151" s="113" t="s">
        <v>285</v>
      </c>
      <c r="I151" s="113">
        <f>136/0.6</f>
        <v>226.66666666666669</v>
      </c>
      <c r="J151" s="146">
        <v>0.43</v>
      </c>
      <c r="K151" s="146">
        <f>J151*I151</f>
        <v>97.466666666666669</v>
      </c>
      <c r="L151" s="147">
        <f>144/162.162</f>
        <v>0.88800088800088794</v>
      </c>
      <c r="M151" s="147">
        <f>K151*L151/1000</f>
        <v>8.6550486550486555E-2</v>
      </c>
      <c r="N151" s="104"/>
      <c r="O151" s="104"/>
      <c r="P151" s="104"/>
      <c r="Q151" s="104"/>
      <c r="R151" s="104"/>
      <c r="S151" s="144"/>
      <c r="T151" s="104"/>
    </row>
    <row r="152" spans="1:20" s="97" customFormat="1" ht="16.2" x14ac:dyDescent="0.45">
      <c r="A152" s="136"/>
      <c r="B152" s="413"/>
      <c r="C152" s="414"/>
      <c r="D152" s="409"/>
      <c r="E152" s="409"/>
      <c r="F152" s="415"/>
      <c r="G152" s="100" t="s">
        <v>287</v>
      </c>
      <c r="H152" s="113" t="s">
        <v>288</v>
      </c>
      <c r="I152" s="113">
        <f>136/0.2</f>
        <v>680</v>
      </c>
      <c r="J152" s="146">
        <v>0.95</v>
      </c>
      <c r="K152" s="146">
        <f>J152*I152</f>
        <v>646</v>
      </c>
      <c r="L152" s="147">
        <f>36/162.162</f>
        <v>0.22200022200022199</v>
      </c>
      <c r="M152" s="147">
        <f>K152*L152/1000</f>
        <v>0.14341214341214339</v>
      </c>
      <c r="N152" s="104"/>
      <c r="O152" s="104"/>
      <c r="P152" s="104"/>
      <c r="Q152" s="104"/>
      <c r="R152" s="104"/>
      <c r="S152" s="144"/>
      <c r="T152" s="104"/>
    </row>
    <row r="153" spans="1:20" s="97" customFormat="1" x14ac:dyDescent="0.3">
      <c r="A153" s="104"/>
      <c r="B153" s="416" t="s">
        <v>235</v>
      </c>
      <c r="C153" s="406"/>
      <c r="D153" s="407"/>
      <c r="E153" s="417">
        <f>F1</f>
        <v>0.25</v>
      </c>
      <c r="F153" s="407">
        <f>SUM(F135:F152)*E153</f>
        <v>97084.0625</v>
      </c>
      <c r="G153" s="100"/>
      <c r="H153" s="113"/>
      <c r="I153" s="113"/>
      <c r="J153" s="146"/>
      <c r="K153" s="146"/>
      <c r="L153" s="146"/>
      <c r="M153" s="149">
        <f>SUM(M150:M152)</f>
        <v>0.72724312724312712</v>
      </c>
      <c r="N153" s="150"/>
      <c r="O153" s="104"/>
      <c r="P153" s="104"/>
      <c r="Q153" s="104"/>
      <c r="R153" s="104"/>
      <c r="S153" s="144"/>
      <c r="T153" s="104"/>
    </row>
    <row r="154" spans="1:20" s="97" customFormat="1" x14ac:dyDescent="0.3">
      <c r="A154" s="136"/>
      <c r="B154" s="416" t="s">
        <v>289</v>
      </c>
      <c r="C154" s="414" t="s">
        <v>261</v>
      </c>
      <c r="D154" s="409">
        <v>1</v>
      </c>
      <c r="E154" s="409"/>
      <c r="F154" s="409">
        <f>SUM(F135:F153)/8.5</f>
        <v>57108.272058823532</v>
      </c>
      <c r="G154" s="100"/>
      <c r="H154" s="113"/>
      <c r="I154" s="113"/>
      <c r="J154" s="146"/>
      <c r="K154" s="146"/>
      <c r="L154" s="146"/>
      <c r="M154" s="113"/>
      <c r="N154" s="104"/>
      <c r="O154" s="104"/>
      <c r="P154" s="104"/>
      <c r="Q154" s="104"/>
      <c r="R154" s="104"/>
      <c r="S154" s="144"/>
      <c r="T154" s="104"/>
    </row>
    <row r="155" spans="1:20" s="97" customFormat="1" x14ac:dyDescent="0.3">
      <c r="A155" s="136"/>
      <c r="B155" s="416" t="s">
        <v>237</v>
      </c>
      <c r="C155" s="414" t="s">
        <v>10</v>
      </c>
      <c r="D155" s="409">
        <v>1</v>
      </c>
      <c r="E155" s="409"/>
      <c r="F155" s="409">
        <f>F154*(0.25*0.25)</f>
        <v>3569.2670036764707</v>
      </c>
      <c r="G155" s="100"/>
      <c r="H155" s="113"/>
      <c r="I155" s="113"/>
      <c r="J155" s="146"/>
      <c r="K155" s="146"/>
      <c r="L155" s="146"/>
      <c r="M155" s="148"/>
      <c r="N155" s="104"/>
      <c r="O155" s="104"/>
      <c r="P155" s="104"/>
      <c r="Q155" s="104"/>
      <c r="R155" s="104"/>
      <c r="S155" s="144"/>
      <c r="T155" s="104"/>
    </row>
    <row r="156" spans="1:20" s="97" customFormat="1" x14ac:dyDescent="0.3">
      <c r="A156" s="136"/>
      <c r="B156" s="400" t="s">
        <v>238</v>
      </c>
      <c r="C156" s="401" t="s">
        <v>10</v>
      </c>
      <c r="D156" s="418">
        <v>1</v>
      </c>
      <c r="E156" s="419"/>
      <c r="F156" s="418">
        <f>ROUNDUP(F155,0)</f>
        <v>3570</v>
      </c>
      <c r="G156" s="100"/>
      <c r="H156" s="113"/>
      <c r="I156" s="113"/>
      <c r="J156" s="146"/>
      <c r="K156" s="146"/>
      <c r="L156" s="146"/>
      <c r="M156" s="113"/>
      <c r="N156" s="104"/>
      <c r="O156" s="104"/>
      <c r="P156" s="104"/>
      <c r="Q156" s="104"/>
      <c r="R156" s="104"/>
      <c r="S156" s="144"/>
      <c r="T156" s="104"/>
    </row>
    <row r="157" spans="1:20" s="97" customFormat="1" x14ac:dyDescent="0.3">
      <c r="A157" s="104"/>
      <c r="G157" s="100"/>
      <c r="H157" s="113"/>
      <c r="I157" s="151"/>
      <c r="J157" s="146"/>
      <c r="K157" s="146"/>
      <c r="L157" s="146"/>
      <c r="M157" s="113"/>
    </row>
    <row r="158" spans="1:20" s="97" customFormat="1" x14ac:dyDescent="0.3">
      <c r="A158" s="104"/>
      <c r="G158" s="100"/>
      <c r="H158" s="113"/>
      <c r="I158" s="151"/>
      <c r="J158" s="146"/>
      <c r="K158" s="146"/>
      <c r="L158" s="146"/>
      <c r="M158" s="113"/>
    </row>
    <row r="159" spans="1:20" s="97" customFormat="1" x14ac:dyDescent="0.3">
      <c r="A159" s="104"/>
      <c r="G159" s="100"/>
      <c r="H159" s="113"/>
      <c r="I159" s="151"/>
      <c r="J159" s="146"/>
      <c r="K159" s="146"/>
      <c r="L159" s="146"/>
      <c r="M159" s="113"/>
    </row>
    <row r="160" spans="1:20" s="97" customFormat="1" x14ac:dyDescent="0.3">
      <c r="A160" s="104"/>
      <c r="G160" s="100"/>
      <c r="H160" s="113"/>
      <c r="I160" s="151"/>
      <c r="J160" s="146"/>
      <c r="K160" s="146"/>
      <c r="L160" s="146"/>
      <c r="M160" s="113"/>
    </row>
    <row r="161" spans="1:13" s="97" customFormat="1" x14ac:dyDescent="0.3">
      <c r="A161" s="104"/>
      <c r="G161" s="100"/>
      <c r="H161" s="113"/>
      <c r="I161" s="151"/>
      <c r="J161" s="146"/>
      <c r="K161" s="146"/>
      <c r="L161" s="146"/>
      <c r="M161" s="113"/>
    </row>
    <row r="162" spans="1:13" s="97" customFormat="1" ht="13.8" x14ac:dyDescent="0.3">
      <c r="A162" s="380"/>
      <c r="B162" s="381"/>
      <c r="C162" s="381"/>
      <c r="D162" s="381"/>
      <c r="E162" s="381"/>
      <c r="F162" s="381"/>
      <c r="G162" s="100"/>
      <c r="H162" s="113"/>
      <c r="I162" s="151"/>
      <c r="J162" s="146"/>
      <c r="K162" s="146"/>
      <c r="L162" s="146"/>
      <c r="M162" s="113"/>
    </row>
    <row r="163" spans="1:13" s="97" customFormat="1" ht="13.8" x14ac:dyDescent="0.3">
      <c r="A163" s="382">
        <v>21014</v>
      </c>
      <c r="B163" s="383" t="s">
        <v>294</v>
      </c>
      <c r="C163" s="384"/>
      <c r="D163" s="385"/>
      <c r="E163" s="385"/>
      <c r="F163" s="385"/>
      <c r="G163" s="100"/>
      <c r="H163" s="113"/>
      <c r="I163" s="113"/>
      <c r="J163" s="146"/>
      <c r="K163" s="146"/>
      <c r="L163" s="146"/>
      <c r="M163" s="113"/>
    </row>
    <row r="164" spans="1:13" s="97" customFormat="1" ht="13.8" x14ac:dyDescent="0.3">
      <c r="A164" s="380"/>
      <c r="B164" s="386"/>
      <c r="C164" s="387"/>
      <c r="D164" s="388"/>
      <c r="E164" s="388"/>
      <c r="F164" s="388"/>
      <c r="G164" s="100"/>
      <c r="H164" s="113"/>
      <c r="I164" s="113"/>
      <c r="J164" s="146"/>
      <c r="K164" s="146"/>
      <c r="L164" s="146"/>
      <c r="M164" s="113"/>
    </row>
    <row r="165" spans="1:13" s="97" customFormat="1" ht="15" x14ac:dyDescent="0.3">
      <c r="A165" s="380"/>
      <c r="B165" s="386" t="s">
        <v>295</v>
      </c>
      <c r="C165" s="387"/>
      <c r="D165" s="388"/>
      <c r="E165" s="388"/>
      <c r="F165" s="388"/>
      <c r="G165" s="100"/>
      <c r="K165" s="100"/>
      <c r="L165" s="115"/>
      <c r="M165" s="115"/>
    </row>
    <row r="166" spans="1:13" s="97" customFormat="1" ht="13.8" x14ac:dyDescent="0.3">
      <c r="A166" s="380"/>
      <c r="B166" s="389" t="s">
        <v>208</v>
      </c>
      <c r="C166" s="387"/>
      <c r="D166" s="388"/>
      <c r="E166" s="388"/>
      <c r="F166" s="388"/>
      <c r="G166" s="100"/>
    </row>
    <row r="167" spans="1:13" s="97" customFormat="1" ht="13.8" x14ac:dyDescent="0.3">
      <c r="A167" s="380"/>
      <c r="B167" s="386" t="s">
        <v>210</v>
      </c>
      <c r="C167" s="387" t="s">
        <v>209</v>
      </c>
      <c r="D167" s="388">
        <v>2</v>
      </c>
      <c r="E167" s="388">
        <v>1750</v>
      </c>
      <c r="F167" s="388">
        <f>SUM(E167*D167)</f>
        <v>3500</v>
      </c>
      <c r="G167" s="100"/>
    </row>
    <row r="168" spans="1:13" s="97" customFormat="1" ht="13.8" x14ac:dyDescent="0.3">
      <c r="A168" s="380"/>
      <c r="B168" s="386" t="s">
        <v>211</v>
      </c>
      <c r="C168" s="387" t="s">
        <v>209</v>
      </c>
      <c r="D168" s="388">
        <v>2.5</v>
      </c>
      <c r="E168" s="388">
        <v>1300</v>
      </c>
      <c r="F168" s="388">
        <f>SUM(E168*D168)</f>
        <v>3250</v>
      </c>
      <c r="G168" s="100"/>
    </row>
    <row r="169" spans="1:13" s="97" customFormat="1" ht="13.8" x14ac:dyDescent="0.3">
      <c r="A169" s="380"/>
      <c r="B169" s="389" t="s">
        <v>216</v>
      </c>
      <c r="C169" s="387"/>
      <c r="D169" s="388"/>
      <c r="E169" s="388"/>
      <c r="F169" s="388"/>
      <c r="G169" s="100"/>
      <c r="H169" s="97" t="s">
        <v>296</v>
      </c>
      <c r="J169" s="97" t="s">
        <v>297</v>
      </c>
    </row>
    <row r="170" spans="1:13" s="97" customFormat="1" ht="27.6" x14ac:dyDescent="0.3">
      <c r="A170" s="380"/>
      <c r="B170" s="390" t="s">
        <v>298</v>
      </c>
      <c r="C170" s="391" t="s">
        <v>299</v>
      </c>
      <c r="D170" s="392">
        <f>70*1.1</f>
        <v>77</v>
      </c>
      <c r="E170" s="393">
        <f>25*145.194</f>
        <v>3629.85</v>
      </c>
      <c r="F170" s="392">
        <f>SUM(E170*D170)</f>
        <v>279498.45</v>
      </c>
      <c r="G170" s="100"/>
      <c r="H170" s="97" t="s">
        <v>300</v>
      </c>
      <c r="I170" s="97" t="s">
        <v>301</v>
      </c>
      <c r="J170" s="97">
        <f>20*1000</f>
        <v>20000</v>
      </c>
    </row>
    <row r="171" spans="1:13" s="97" customFormat="1" ht="13.8" x14ac:dyDescent="0.3">
      <c r="A171" s="380"/>
      <c r="B171" s="389" t="s">
        <v>232</v>
      </c>
      <c r="C171" s="387"/>
      <c r="D171" s="388"/>
      <c r="E171" s="388"/>
      <c r="F171" s="388"/>
      <c r="G171" s="100"/>
    </row>
    <row r="172" spans="1:13" s="97" customFormat="1" ht="13.8" x14ac:dyDescent="0.3">
      <c r="A172" s="380"/>
      <c r="B172" s="386" t="s">
        <v>233</v>
      </c>
      <c r="C172" s="387" t="s">
        <v>234</v>
      </c>
      <c r="D172" s="394">
        <v>0.05</v>
      </c>
      <c r="E172" s="388">
        <f>SUM(F167:F168)</f>
        <v>6750</v>
      </c>
      <c r="F172" s="388">
        <f>SUM(E172*D172)</f>
        <v>337.5</v>
      </c>
      <c r="G172" s="100"/>
    </row>
    <row r="173" spans="1:13" s="97" customFormat="1" ht="13.8" x14ac:dyDescent="0.3">
      <c r="A173" s="380"/>
      <c r="B173" s="395" t="s">
        <v>235</v>
      </c>
      <c r="C173" s="387"/>
      <c r="D173" s="388"/>
      <c r="E173" s="394">
        <f>F1</f>
        <v>0.25</v>
      </c>
      <c r="F173" s="388">
        <f>SUM(F167:F172)*E173</f>
        <v>71646.487500000003</v>
      </c>
      <c r="G173" s="100"/>
    </row>
    <row r="174" spans="1:13" s="97" customFormat="1" ht="13.8" x14ac:dyDescent="0.3">
      <c r="A174" s="380"/>
      <c r="B174" s="395" t="s">
        <v>302</v>
      </c>
      <c r="C174" s="387" t="s">
        <v>299</v>
      </c>
      <c r="D174" s="388">
        <v>70</v>
      </c>
      <c r="E174" s="388"/>
      <c r="F174" s="396">
        <f>SUM(F166:F173)</f>
        <v>358232.4375</v>
      </c>
      <c r="G174" s="119"/>
    </row>
    <row r="175" spans="1:13" s="97" customFormat="1" ht="13.8" x14ac:dyDescent="0.3">
      <c r="A175" s="380"/>
      <c r="B175" s="397" t="s">
        <v>303</v>
      </c>
      <c r="C175" s="387" t="s">
        <v>299</v>
      </c>
      <c r="D175" s="398">
        <v>1</v>
      </c>
      <c r="E175" s="398"/>
      <c r="F175" s="398">
        <f>F174/70</f>
        <v>5117.6062499999998</v>
      </c>
      <c r="G175" s="119"/>
    </row>
    <row r="176" spans="1:13" s="97" customFormat="1" ht="13.8" x14ac:dyDescent="0.3">
      <c r="A176" s="399"/>
      <c r="B176" s="400" t="s">
        <v>238</v>
      </c>
      <c r="C176" s="401" t="s">
        <v>299</v>
      </c>
      <c r="D176" s="402">
        <v>1</v>
      </c>
      <c r="E176" s="402"/>
      <c r="F176" s="402">
        <f>ROUND(F175,-2)</f>
        <v>5100</v>
      </c>
      <c r="G176" s="119"/>
    </row>
    <row r="178" spans="1:9" s="97" customFormat="1" x14ac:dyDescent="0.3">
      <c r="A178" s="105">
        <v>21015</v>
      </c>
      <c r="B178" s="106" t="s">
        <v>304</v>
      </c>
      <c r="C178" s="107"/>
      <c r="D178" s="108"/>
      <c r="E178" s="108"/>
      <c r="F178" s="108"/>
      <c r="G178" s="100"/>
    </row>
    <row r="179" spans="1:9" s="97" customFormat="1" x14ac:dyDescent="0.3">
      <c r="A179" s="104"/>
      <c r="B179" s="109"/>
      <c r="C179" s="110"/>
      <c r="D179" s="111"/>
      <c r="E179" s="111"/>
      <c r="F179" s="111"/>
      <c r="G179" s="100"/>
    </row>
    <row r="180" spans="1:9" s="97" customFormat="1" ht="15" x14ac:dyDescent="0.3">
      <c r="A180" s="104"/>
      <c r="B180" s="109" t="s">
        <v>295</v>
      </c>
      <c r="C180" s="110"/>
      <c r="D180" s="111"/>
      <c r="E180" s="111"/>
      <c r="F180" s="111"/>
      <c r="G180" s="100"/>
    </row>
    <row r="181" spans="1:9" s="97" customFormat="1" x14ac:dyDescent="0.3">
      <c r="A181" s="104"/>
      <c r="B181" s="112" t="s">
        <v>208</v>
      </c>
      <c r="C181" s="110"/>
      <c r="D181" s="111"/>
      <c r="E181" s="111"/>
      <c r="F181" s="111"/>
      <c r="G181" s="100"/>
      <c r="I181" s="97">
        <f>0.25*70</f>
        <v>17.5</v>
      </c>
    </row>
    <row r="182" spans="1:9" s="97" customFormat="1" x14ac:dyDescent="0.3">
      <c r="A182" s="104"/>
      <c r="B182" s="109" t="s">
        <v>211</v>
      </c>
      <c r="C182" s="110" t="s">
        <v>209</v>
      </c>
      <c r="D182" s="111">
        <v>2.5</v>
      </c>
      <c r="E182" s="111">
        <v>1300</v>
      </c>
      <c r="F182" s="111">
        <f>SUM(E182*D182)</f>
        <v>3250</v>
      </c>
      <c r="G182" s="100"/>
      <c r="I182" s="97">
        <f>I181/8</f>
        <v>2.1875</v>
      </c>
    </row>
    <row r="183" spans="1:9" s="97" customFormat="1" x14ac:dyDescent="0.3">
      <c r="A183" s="104"/>
      <c r="B183" s="112" t="s">
        <v>216</v>
      </c>
      <c r="C183" s="110"/>
      <c r="D183" s="111"/>
      <c r="E183" s="111"/>
      <c r="F183" s="111"/>
      <c r="G183" s="100"/>
    </row>
    <row r="184" spans="1:9" s="97" customFormat="1" x14ac:dyDescent="0.3">
      <c r="A184" s="104"/>
      <c r="B184" s="109" t="s">
        <v>304</v>
      </c>
      <c r="C184" s="110" t="s">
        <v>299</v>
      </c>
      <c r="D184" s="111">
        <v>77</v>
      </c>
      <c r="E184" s="111">
        <v>140</v>
      </c>
      <c r="F184" s="111">
        <f>SUM(E184*D184)</f>
        <v>10780</v>
      </c>
      <c r="G184" s="100"/>
    </row>
    <row r="185" spans="1:9" s="97" customFormat="1" x14ac:dyDescent="0.3">
      <c r="A185" s="104"/>
      <c r="B185" s="112" t="s">
        <v>232</v>
      </c>
      <c r="C185" s="110"/>
      <c r="D185" s="111"/>
      <c r="E185" s="111"/>
      <c r="F185" s="111"/>
      <c r="G185" s="100"/>
    </row>
    <row r="186" spans="1:9" s="97" customFormat="1" x14ac:dyDescent="0.3">
      <c r="A186" s="104"/>
      <c r="B186" s="109" t="s">
        <v>233</v>
      </c>
      <c r="C186" s="110" t="s">
        <v>234</v>
      </c>
      <c r="D186" s="130">
        <v>2.5000000000000001E-2</v>
      </c>
      <c r="E186" s="111">
        <f>F182</f>
        <v>3250</v>
      </c>
      <c r="F186" s="111">
        <f>SUM(E186*D186)</f>
        <v>81.25</v>
      </c>
      <c r="G186" s="100"/>
    </row>
    <row r="187" spans="1:9" s="97" customFormat="1" x14ac:dyDescent="0.3">
      <c r="A187" s="104"/>
      <c r="B187" s="117" t="s">
        <v>235</v>
      </c>
      <c r="C187" s="110"/>
      <c r="D187" s="111"/>
      <c r="E187" s="116">
        <f>F1</f>
        <v>0.25</v>
      </c>
      <c r="F187" s="111">
        <f>SUM(F182:F186)*E187</f>
        <v>3527.8125</v>
      </c>
      <c r="G187" s="100"/>
    </row>
    <row r="188" spans="1:9" s="97" customFormat="1" x14ac:dyDescent="0.3">
      <c r="A188" s="104"/>
      <c r="B188" s="117" t="s">
        <v>302</v>
      </c>
      <c r="C188" s="110" t="s">
        <v>299</v>
      </c>
      <c r="D188" s="111">
        <v>70</v>
      </c>
      <c r="E188" s="111"/>
      <c r="F188" s="118">
        <f>SUM(F181:F187)</f>
        <v>17639.0625</v>
      </c>
      <c r="G188" s="119"/>
    </row>
    <row r="189" spans="1:9" s="97" customFormat="1" x14ac:dyDescent="0.3">
      <c r="A189" s="104"/>
      <c r="B189" s="120" t="s">
        <v>303</v>
      </c>
      <c r="C189" s="110" t="s">
        <v>299</v>
      </c>
      <c r="D189" s="122">
        <v>1</v>
      </c>
      <c r="E189" s="122"/>
      <c r="F189" s="122">
        <f>F188/70</f>
        <v>251.98660714285714</v>
      </c>
      <c r="G189" s="119"/>
    </row>
    <row r="190" spans="1:9" s="97" customFormat="1" ht="13.8" x14ac:dyDescent="0.3">
      <c r="A190" s="124"/>
      <c r="B190" s="125" t="s">
        <v>238</v>
      </c>
      <c r="C190" s="126" t="s">
        <v>299</v>
      </c>
      <c r="D190" s="127">
        <v>1</v>
      </c>
      <c r="E190" s="127"/>
      <c r="F190" s="127">
        <f>ROUNDUP(F189,0)</f>
        <v>252</v>
      </c>
      <c r="G190" s="119"/>
    </row>
    <row r="193" spans="2:6" x14ac:dyDescent="0.3">
      <c r="B193" s="104" t="s">
        <v>305</v>
      </c>
    </row>
    <row r="194" spans="2:6" x14ac:dyDescent="0.3">
      <c r="B194" s="152" t="s">
        <v>306</v>
      </c>
    </row>
    <row r="195" spans="2:6" x14ac:dyDescent="0.3">
      <c r="B195" s="104" t="s">
        <v>307</v>
      </c>
    </row>
    <row r="196" spans="2:6" x14ac:dyDescent="0.3">
      <c r="B196" s="104" t="s">
        <v>308</v>
      </c>
    </row>
    <row r="197" spans="2:6" x14ac:dyDescent="0.3">
      <c r="B197" s="104" t="s">
        <v>309</v>
      </c>
    </row>
    <row r="198" spans="2:6" x14ac:dyDescent="0.3">
      <c r="B198" s="104" t="s">
        <v>310</v>
      </c>
    </row>
    <row r="199" spans="2:6" x14ac:dyDescent="0.3">
      <c r="B199" s="104" t="s">
        <v>311</v>
      </c>
    </row>
    <row r="200" spans="2:6" x14ac:dyDescent="0.3">
      <c r="B200" s="104" t="s">
        <v>312</v>
      </c>
    </row>
    <row r="201" spans="2:6" x14ac:dyDescent="0.3">
      <c r="B201" s="104" t="s">
        <v>313</v>
      </c>
    </row>
    <row r="203" spans="2:6" x14ac:dyDescent="0.3">
      <c r="B203" s="420" t="s">
        <v>495</v>
      </c>
      <c r="C203" s="421"/>
      <c r="D203" s="422"/>
      <c r="E203" s="422"/>
      <c r="F203" s="422"/>
    </row>
    <row r="204" spans="2:6" x14ac:dyDescent="0.3">
      <c r="B204" s="405"/>
      <c r="C204" s="406"/>
      <c r="D204" s="407"/>
      <c r="E204" s="407"/>
      <c r="F204" s="407"/>
    </row>
    <row r="205" spans="2:6" x14ac:dyDescent="0.3">
      <c r="B205" s="405" t="s">
        <v>496</v>
      </c>
      <c r="C205" s="406"/>
      <c r="D205" s="407"/>
      <c r="E205" s="407"/>
      <c r="F205" s="407"/>
    </row>
    <row r="206" spans="2:6" x14ac:dyDescent="0.3">
      <c r="B206" s="408" t="s">
        <v>208</v>
      </c>
      <c r="C206" s="406"/>
      <c r="D206" s="407"/>
      <c r="E206" s="407"/>
      <c r="F206" s="407"/>
    </row>
    <row r="207" spans="2:6" x14ac:dyDescent="0.3">
      <c r="B207" s="405" t="s">
        <v>497</v>
      </c>
      <c r="C207" s="406" t="s">
        <v>209</v>
      </c>
      <c r="D207" s="407">
        <v>2.5</v>
      </c>
      <c r="E207" s="407">
        <v>1300</v>
      </c>
      <c r="F207" s="423">
        <f>E207*D207</f>
        <v>3250</v>
      </c>
    </row>
    <row r="208" spans="2:6" x14ac:dyDescent="0.3">
      <c r="B208" s="405" t="s">
        <v>498</v>
      </c>
      <c r="C208" s="406" t="s">
        <v>209</v>
      </c>
      <c r="D208" s="407">
        <v>2</v>
      </c>
      <c r="E208" s="407">
        <v>1300</v>
      </c>
      <c r="F208" s="423">
        <f>E208*D208</f>
        <v>2600</v>
      </c>
    </row>
    <row r="209" spans="2:6" x14ac:dyDescent="0.3">
      <c r="B209" s="408" t="s">
        <v>212</v>
      </c>
      <c r="C209" s="406"/>
      <c r="D209" s="407"/>
      <c r="E209" s="407"/>
      <c r="F209" s="423">
        <f>E209*D209</f>
        <v>0</v>
      </c>
    </row>
    <row r="210" spans="2:6" x14ac:dyDescent="0.3">
      <c r="B210" s="405" t="s">
        <v>499</v>
      </c>
      <c r="C210" s="406" t="s">
        <v>214</v>
      </c>
      <c r="D210" s="407">
        <v>2</v>
      </c>
      <c r="E210" s="407">
        <v>2800</v>
      </c>
      <c r="F210" s="423">
        <f>E210*D210</f>
        <v>5600</v>
      </c>
    </row>
    <row r="211" spans="2:6" x14ac:dyDescent="0.3">
      <c r="B211" s="408" t="s">
        <v>232</v>
      </c>
      <c r="C211" s="406"/>
      <c r="D211" s="407"/>
      <c r="E211" s="407"/>
      <c r="F211" s="407"/>
    </row>
    <row r="212" spans="2:6" x14ac:dyDescent="0.3">
      <c r="B212" s="405" t="s">
        <v>500</v>
      </c>
      <c r="C212" s="406"/>
      <c r="D212" s="407"/>
      <c r="E212" s="407"/>
      <c r="F212" s="407">
        <v>1800</v>
      </c>
    </row>
    <row r="213" spans="2:6" x14ac:dyDescent="0.3">
      <c r="B213" s="405" t="s">
        <v>501</v>
      </c>
      <c r="C213" s="406" t="s">
        <v>224</v>
      </c>
      <c r="D213" s="410">
        <v>2.5000000000000001E-2</v>
      </c>
      <c r="E213" s="407"/>
      <c r="F213" s="407">
        <f>(F208+F207)*0.025</f>
        <v>146.25</v>
      </c>
    </row>
    <row r="214" spans="2:6" x14ac:dyDescent="0.3">
      <c r="B214" s="405" t="s">
        <v>502</v>
      </c>
      <c r="C214" s="406" t="s">
        <v>224</v>
      </c>
      <c r="D214" s="423"/>
      <c r="E214" s="407"/>
      <c r="F214" s="407">
        <v>24000</v>
      </c>
    </row>
    <row r="215" spans="2:6" x14ac:dyDescent="0.3">
      <c r="B215" s="416" t="s">
        <v>235</v>
      </c>
      <c r="C215" s="406"/>
      <c r="D215" s="407"/>
      <c r="E215" s="417">
        <v>0.25</v>
      </c>
      <c r="F215" s="407">
        <f>SUM(F207:F214)*0.25</f>
        <v>9349.0625</v>
      </c>
    </row>
    <row r="216" spans="2:6" x14ac:dyDescent="0.3">
      <c r="B216" s="416" t="s">
        <v>503</v>
      </c>
      <c r="C216" s="406"/>
      <c r="D216" s="407"/>
      <c r="E216" s="407"/>
      <c r="F216" s="424">
        <f>SUM(F207:F215)</f>
        <v>46745.3125</v>
      </c>
    </row>
    <row r="217" spans="2:6" x14ac:dyDescent="0.3">
      <c r="B217" s="425" t="s">
        <v>504</v>
      </c>
      <c r="C217" s="426"/>
      <c r="D217" s="427"/>
      <c r="E217" s="427"/>
      <c r="F217" s="427">
        <f>F216/38.96</f>
        <v>1199.8283495893224</v>
      </c>
    </row>
    <row r="218" spans="2:6" x14ac:dyDescent="0.3">
      <c r="B218" s="400" t="s">
        <v>238</v>
      </c>
      <c r="C218" s="428" t="s">
        <v>68</v>
      </c>
      <c r="D218" s="402">
        <v>1</v>
      </c>
      <c r="E218" s="402"/>
      <c r="F218" s="402">
        <f>ROUND(F217,-1)</f>
        <v>1200</v>
      </c>
    </row>
  </sheetData>
  <pageMargins left="0.7" right="0.5" top="0.4" bottom="0.4" header="0.3" footer="0.3"/>
  <pageSetup paperSize="9" scale="85" orientation="portrait" r:id="rId1"/>
  <rowBreaks count="1" manualBreakCount="1">
    <brk id="38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3">
    <pageSetUpPr fitToPage="1"/>
  </sheetPr>
  <dimension ref="A1:H34"/>
  <sheetViews>
    <sheetView view="pageBreakPreview" zoomScale="96" zoomScaleNormal="100" zoomScaleSheetLayoutView="96" workbookViewId="0">
      <selection activeCell="K18" sqref="K18"/>
    </sheetView>
  </sheetViews>
  <sheetFormatPr defaultRowHeight="14.4" x14ac:dyDescent="0.3"/>
  <cols>
    <col min="1" max="1" width="9.109375" style="104"/>
    <col min="2" max="2" width="20.5546875" style="104" customWidth="1"/>
    <col min="3" max="3" width="0.88671875" style="104" customWidth="1"/>
    <col min="4" max="4" width="11.109375" style="104" customWidth="1"/>
    <col min="5" max="5" width="14.88671875" style="104" customWidth="1"/>
    <col min="6" max="6" width="15.109375" style="104" customWidth="1"/>
    <col min="7" max="7" width="17.109375" style="104" customWidth="1"/>
    <col min="8" max="8" width="49.5546875" style="104" customWidth="1"/>
    <col min="9" max="253" width="9.109375" style="104"/>
    <col min="254" max="254" width="20.5546875" style="104" customWidth="1"/>
    <col min="255" max="257" width="9.109375" style="104"/>
    <col min="258" max="258" width="17.44140625" style="104" customWidth="1"/>
    <col min="259" max="259" width="0.88671875" style="104" customWidth="1"/>
    <col min="260" max="260" width="11.109375" style="104" customWidth="1"/>
    <col min="261" max="261" width="14.88671875" style="104" customWidth="1"/>
    <col min="262" max="262" width="15.109375" style="104" customWidth="1"/>
    <col min="263" max="263" width="17.109375" style="104" customWidth="1"/>
    <col min="264" max="264" width="32.44140625" style="104" customWidth="1"/>
    <col min="265" max="509" width="9.109375" style="104"/>
    <col min="510" max="510" width="20.5546875" style="104" customWidth="1"/>
    <col min="511" max="513" width="9.109375" style="104"/>
    <col min="514" max="514" width="17.44140625" style="104" customWidth="1"/>
    <col min="515" max="515" width="0.88671875" style="104" customWidth="1"/>
    <col min="516" max="516" width="11.109375" style="104" customWidth="1"/>
    <col min="517" max="517" width="14.88671875" style="104" customWidth="1"/>
    <col min="518" max="518" width="15.109375" style="104" customWidth="1"/>
    <col min="519" max="519" width="17.109375" style="104" customWidth="1"/>
    <col min="520" max="520" width="32.44140625" style="104" customWidth="1"/>
    <col min="521" max="765" width="9.109375" style="104"/>
    <col min="766" max="766" width="20.5546875" style="104" customWidth="1"/>
    <col min="767" max="769" width="9.109375" style="104"/>
    <col min="770" max="770" width="17.44140625" style="104" customWidth="1"/>
    <col min="771" max="771" width="0.88671875" style="104" customWidth="1"/>
    <col min="772" max="772" width="11.109375" style="104" customWidth="1"/>
    <col min="773" max="773" width="14.88671875" style="104" customWidth="1"/>
    <col min="774" max="774" width="15.109375" style="104" customWidth="1"/>
    <col min="775" max="775" width="17.109375" style="104" customWidth="1"/>
    <col min="776" max="776" width="32.44140625" style="104" customWidth="1"/>
    <col min="777" max="1021" width="9.109375" style="104"/>
    <col min="1022" max="1022" width="20.5546875" style="104" customWidth="1"/>
    <col min="1023" max="1025" width="9.109375" style="104"/>
    <col min="1026" max="1026" width="17.44140625" style="104" customWidth="1"/>
    <col min="1027" max="1027" width="0.88671875" style="104" customWidth="1"/>
    <col min="1028" max="1028" width="11.109375" style="104" customWidth="1"/>
    <col min="1029" max="1029" width="14.88671875" style="104" customWidth="1"/>
    <col min="1030" max="1030" width="15.109375" style="104" customWidth="1"/>
    <col min="1031" max="1031" width="17.109375" style="104" customWidth="1"/>
    <col min="1032" max="1032" width="32.44140625" style="104" customWidth="1"/>
    <col min="1033" max="1277" width="9.109375" style="104"/>
    <col min="1278" max="1278" width="20.5546875" style="104" customWidth="1"/>
    <col min="1279" max="1281" width="9.109375" style="104"/>
    <col min="1282" max="1282" width="17.44140625" style="104" customWidth="1"/>
    <col min="1283" max="1283" width="0.88671875" style="104" customWidth="1"/>
    <col min="1284" max="1284" width="11.109375" style="104" customWidth="1"/>
    <col min="1285" max="1285" width="14.88671875" style="104" customWidth="1"/>
    <col min="1286" max="1286" width="15.109375" style="104" customWidth="1"/>
    <col min="1287" max="1287" width="17.109375" style="104" customWidth="1"/>
    <col min="1288" max="1288" width="32.44140625" style="104" customWidth="1"/>
    <col min="1289" max="1533" width="9.109375" style="104"/>
    <col min="1534" max="1534" width="20.5546875" style="104" customWidth="1"/>
    <col min="1535" max="1537" width="9.109375" style="104"/>
    <col min="1538" max="1538" width="17.44140625" style="104" customWidth="1"/>
    <col min="1539" max="1539" width="0.88671875" style="104" customWidth="1"/>
    <col min="1540" max="1540" width="11.109375" style="104" customWidth="1"/>
    <col min="1541" max="1541" width="14.88671875" style="104" customWidth="1"/>
    <col min="1542" max="1542" width="15.109375" style="104" customWidth="1"/>
    <col min="1543" max="1543" width="17.109375" style="104" customWidth="1"/>
    <col min="1544" max="1544" width="32.44140625" style="104" customWidth="1"/>
    <col min="1545" max="1789" width="9.109375" style="104"/>
    <col min="1790" max="1790" width="20.5546875" style="104" customWidth="1"/>
    <col min="1791" max="1793" width="9.109375" style="104"/>
    <col min="1794" max="1794" width="17.44140625" style="104" customWidth="1"/>
    <col min="1795" max="1795" width="0.88671875" style="104" customWidth="1"/>
    <col min="1796" max="1796" width="11.109375" style="104" customWidth="1"/>
    <col min="1797" max="1797" width="14.88671875" style="104" customWidth="1"/>
    <col min="1798" max="1798" width="15.109375" style="104" customWidth="1"/>
    <col min="1799" max="1799" width="17.109375" style="104" customWidth="1"/>
    <col min="1800" max="1800" width="32.44140625" style="104" customWidth="1"/>
    <col min="1801" max="2045" width="9.109375" style="104"/>
    <col min="2046" max="2046" width="20.5546875" style="104" customWidth="1"/>
    <col min="2047" max="2049" width="9.109375" style="104"/>
    <col min="2050" max="2050" width="17.44140625" style="104" customWidth="1"/>
    <col min="2051" max="2051" width="0.88671875" style="104" customWidth="1"/>
    <col min="2052" max="2052" width="11.109375" style="104" customWidth="1"/>
    <col min="2053" max="2053" width="14.88671875" style="104" customWidth="1"/>
    <col min="2054" max="2054" width="15.109375" style="104" customWidth="1"/>
    <col min="2055" max="2055" width="17.109375" style="104" customWidth="1"/>
    <col min="2056" max="2056" width="32.44140625" style="104" customWidth="1"/>
    <col min="2057" max="2301" width="9.109375" style="104"/>
    <col min="2302" max="2302" width="20.5546875" style="104" customWidth="1"/>
    <col min="2303" max="2305" width="9.109375" style="104"/>
    <col min="2306" max="2306" width="17.44140625" style="104" customWidth="1"/>
    <col min="2307" max="2307" width="0.88671875" style="104" customWidth="1"/>
    <col min="2308" max="2308" width="11.109375" style="104" customWidth="1"/>
    <col min="2309" max="2309" width="14.88671875" style="104" customWidth="1"/>
    <col min="2310" max="2310" width="15.109375" style="104" customWidth="1"/>
    <col min="2311" max="2311" width="17.109375" style="104" customWidth="1"/>
    <col min="2312" max="2312" width="32.44140625" style="104" customWidth="1"/>
    <col min="2313" max="2557" width="9.109375" style="104"/>
    <col min="2558" max="2558" width="20.5546875" style="104" customWidth="1"/>
    <col min="2559" max="2561" width="9.109375" style="104"/>
    <col min="2562" max="2562" width="17.44140625" style="104" customWidth="1"/>
    <col min="2563" max="2563" width="0.88671875" style="104" customWidth="1"/>
    <col min="2564" max="2564" width="11.109375" style="104" customWidth="1"/>
    <col min="2565" max="2565" width="14.88671875" style="104" customWidth="1"/>
    <col min="2566" max="2566" width="15.109375" style="104" customWidth="1"/>
    <col min="2567" max="2567" width="17.109375" style="104" customWidth="1"/>
    <col min="2568" max="2568" width="32.44140625" style="104" customWidth="1"/>
    <col min="2569" max="2813" width="9.109375" style="104"/>
    <col min="2814" max="2814" width="20.5546875" style="104" customWidth="1"/>
    <col min="2815" max="2817" width="9.109375" style="104"/>
    <col min="2818" max="2818" width="17.44140625" style="104" customWidth="1"/>
    <col min="2819" max="2819" width="0.88671875" style="104" customWidth="1"/>
    <col min="2820" max="2820" width="11.109375" style="104" customWidth="1"/>
    <col min="2821" max="2821" width="14.88671875" style="104" customWidth="1"/>
    <col min="2822" max="2822" width="15.109375" style="104" customWidth="1"/>
    <col min="2823" max="2823" width="17.109375" style="104" customWidth="1"/>
    <col min="2824" max="2824" width="32.44140625" style="104" customWidth="1"/>
    <col min="2825" max="3069" width="9.109375" style="104"/>
    <col min="3070" max="3070" width="20.5546875" style="104" customWidth="1"/>
    <col min="3071" max="3073" width="9.109375" style="104"/>
    <col min="3074" max="3074" width="17.44140625" style="104" customWidth="1"/>
    <col min="3075" max="3075" width="0.88671875" style="104" customWidth="1"/>
    <col min="3076" max="3076" width="11.109375" style="104" customWidth="1"/>
    <col min="3077" max="3077" width="14.88671875" style="104" customWidth="1"/>
    <col min="3078" max="3078" width="15.109375" style="104" customWidth="1"/>
    <col min="3079" max="3079" width="17.109375" style="104" customWidth="1"/>
    <col min="3080" max="3080" width="32.44140625" style="104" customWidth="1"/>
    <col min="3081" max="3325" width="9.109375" style="104"/>
    <col min="3326" max="3326" width="20.5546875" style="104" customWidth="1"/>
    <col min="3327" max="3329" width="9.109375" style="104"/>
    <col min="3330" max="3330" width="17.44140625" style="104" customWidth="1"/>
    <col min="3331" max="3331" width="0.88671875" style="104" customWidth="1"/>
    <col min="3332" max="3332" width="11.109375" style="104" customWidth="1"/>
    <col min="3333" max="3333" width="14.88671875" style="104" customWidth="1"/>
    <col min="3334" max="3334" width="15.109375" style="104" customWidth="1"/>
    <col min="3335" max="3335" width="17.109375" style="104" customWidth="1"/>
    <col min="3336" max="3336" width="32.44140625" style="104" customWidth="1"/>
    <col min="3337" max="3581" width="9.109375" style="104"/>
    <col min="3582" max="3582" width="20.5546875" style="104" customWidth="1"/>
    <col min="3583" max="3585" width="9.109375" style="104"/>
    <col min="3586" max="3586" width="17.44140625" style="104" customWidth="1"/>
    <col min="3587" max="3587" width="0.88671875" style="104" customWidth="1"/>
    <col min="3588" max="3588" width="11.109375" style="104" customWidth="1"/>
    <col min="3589" max="3589" width="14.88671875" style="104" customWidth="1"/>
    <col min="3590" max="3590" width="15.109375" style="104" customWidth="1"/>
    <col min="3591" max="3591" width="17.109375" style="104" customWidth="1"/>
    <col min="3592" max="3592" width="32.44140625" style="104" customWidth="1"/>
    <col min="3593" max="3837" width="9.109375" style="104"/>
    <col min="3838" max="3838" width="20.5546875" style="104" customWidth="1"/>
    <col min="3839" max="3841" width="9.109375" style="104"/>
    <col min="3842" max="3842" width="17.44140625" style="104" customWidth="1"/>
    <col min="3843" max="3843" width="0.88671875" style="104" customWidth="1"/>
    <col min="3844" max="3844" width="11.109375" style="104" customWidth="1"/>
    <col min="3845" max="3845" width="14.88671875" style="104" customWidth="1"/>
    <col min="3846" max="3846" width="15.109375" style="104" customWidth="1"/>
    <col min="3847" max="3847" width="17.109375" style="104" customWidth="1"/>
    <col min="3848" max="3848" width="32.44140625" style="104" customWidth="1"/>
    <col min="3849" max="4093" width="9.109375" style="104"/>
    <col min="4094" max="4094" width="20.5546875" style="104" customWidth="1"/>
    <col min="4095" max="4097" width="9.109375" style="104"/>
    <col min="4098" max="4098" width="17.44140625" style="104" customWidth="1"/>
    <col min="4099" max="4099" width="0.88671875" style="104" customWidth="1"/>
    <col min="4100" max="4100" width="11.109375" style="104" customWidth="1"/>
    <col min="4101" max="4101" width="14.88671875" style="104" customWidth="1"/>
    <col min="4102" max="4102" width="15.109375" style="104" customWidth="1"/>
    <col min="4103" max="4103" width="17.109375" style="104" customWidth="1"/>
    <col min="4104" max="4104" width="32.44140625" style="104" customWidth="1"/>
    <col min="4105" max="4349" width="9.109375" style="104"/>
    <col min="4350" max="4350" width="20.5546875" style="104" customWidth="1"/>
    <col min="4351" max="4353" width="9.109375" style="104"/>
    <col min="4354" max="4354" width="17.44140625" style="104" customWidth="1"/>
    <col min="4355" max="4355" width="0.88671875" style="104" customWidth="1"/>
    <col min="4356" max="4356" width="11.109375" style="104" customWidth="1"/>
    <col min="4357" max="4357" width="14.88671875" style="104" customWidth="1"/>
    <col min="4358" max="4358" width="15.109375" style="104" customWidth="1"/>
    <col min="4359" max="4359" width="17.109375" style="104" customWidth="1"/>
    <col min="4360" max="4360" width="32.44140625" style="104" customWidth="1"/>
    <col min="4361" max="4605" width="9.109375" style="104"/>
    <col min="4606" max="4606" width="20.5546875" style="104" customWidth="1"/>
    <col min="4607" max="4609" width="9.109375" style="104"/>
    <col min="4610" max="4610" width="17.44140625" style="104" customWidth="1"/>
    <col min="4611" max="4611" width="0.88671875" style="104" customWidth="1"/>
    <col min="4612" max="4612" width="11.109375" style="104" customWidth="1"/>
    <col min="4613" max="4613" width="14.88671875" style="104" customWidth="1"/>
    <col min="4614" max="4614" width="15.109375" style="104" customWidth="1"/>
    <col min="4615" max="4615" width="17.109375" style="104" customWidth="1"/>
    <col min="4616" max="4616" width="32.44140625" style="104" customWidth="1"/>
    <col min="4617" max="4861" width="9.109375" style="104"/>
    <col min="4862" max="4862" width="20.5546875" style="104" customWidth="1"/>
    <col min="4863" max="4865" width="9.109375" style="104"/>
    <col min="4866" max="4866" width="17.44140625" style="104" customWidth="1"/>
    <col min="4867" max="4867" width="0.88671875" style="104" customWidth="1"/>
    <col min="4868" max="4868" width="11.109375" style="104" customWidth="1"/>
    <col min="4869" max="4869" width="14.88671875" style="104" customWidth="1"/>
    <col min="4870" max="4870" width="15.109375" style="104" customWidth="1"/>
    <col min="4871" max="4871" width="17.109375" style="104" customWidth="1"/>
    <col min="4872" max="4872" width="32.44140625" style="104" customWidth="1"/>
    <col min="4873" max="5117" width="9.109375" style="104"/>
    <col min="5118" max="5118" width="20.5546875" style="104" customWidth="1"/>
    <col min="5119" max="5121" width="9.109375" style="104"/>
    <col min="5122" max="5122" width="17.44140625" style="104" customWidth="1"/>
    <col min="5123" max="5123" width="0.88671875" style="104" customWidth="1"/>
    <col min="5124" max="5124" width="11.109375" style="104" customWidth="1"/>
    <col min="5125" max="5125" width="14.88671875" style="104" customWidth="1"/>
    <col min="5126" max="5126" width="15.109375" style="104" customWidth="1"/>
    <col min="5127" max="5127" width="17.109375" style="104" customWidth="1"/>
    <col min="5128" max="5128" width="32.44140625" style="104" customWidth="1"/>
    <col min="5129" max="5373" width="9.109375" style="104"/>
    <col min="5374" max="5374" width="20.5546875" style="104" customWidth="1"/>
    <col min="5375" max="5377" width="9.109375" style="104"/>
    <col min="5378" max="5378" width="17.44140625" style="104" customWidth="1"/>
    <col min="5379" max="5379" width="0.88671875" style="104" customWidth="1"/>
    <col min="5380" max="5380" width="11.109375" style="104" customWidth="1"/>
    <col min="5381" max="5381" width="14.88671875" style="104" customWidth="1"/>
    <col min="5382" max="5382" width="15.109375" style="104" customWidth="1"/>
    <col min="5383" max="5383" width="17.109375" style="104" customWidth="1"/>
    <col min="5384" max="5384" width="32.44140625" style="104" customWidth="1"/>
    <col min="5385" max="5629" width="9.109375" style="104"/>
    <col min="5630" max="5630" width="20.5546875" style="104" customWidth="1"/>
    <col min="5631" max="5633" width="9.109375" style="104"/>
    <col min="5634" max="5634" width="17.44140625" style="104" customWidth="1"/>
    <col min="5635" max="5635" width="0.88671875" style="104" customWidth="1"/>
    <col min="5636" max="5636" width="11.109375" style="104" customWidth="1"/>
    <col min="5637" max="5637" width="14.88671875" style="104" customWidth="1"/>
    <col min="5638" max="5638" width="15.109375" style="104" customWidth="1"/>
    <col min="5639" max="5639" width="17.109375" style="104" customWidth="1"/>
    <col min="5640" max="5640" width="32.44140625" style="104" customWidth="1"/>
    <col min="5641" max="5885" width="9.109375" style="104"/>
    <col min="5886" max="5886" width="20.5546875" style="104" customWidth="1"/>
    <col min="5887" max="5889" width="9.109375" style="104"/>
    <col min="5890" max="5890" width="17.44140625" style="104" customWidth="1"/>
    <col min="5891" max="5891" width="0.88671875" style="104" customWidth="1"/>
    <col min="5892" max="5892" width="11.109375" style="104" customWidth="1"/>
    <col min="5893" max="5893" width="14.88671875" style="104" customWidth="1"/>
    <col min="5894" max="5894" width="15.109375" style="104" customWidth="1"/>
    <col min="5895" max="5895" width="17.109375" style="104" customWidth="1"/>
    <col min="5896" max="5896" width="32.44140625" style="104" customWidth="1"/>
    <col min="5897" max="6141" width="9.109375" style="104"/>
    <col min="6142" max="6142" width="20.5546875" style="104" customWidth="1"/>
    <col min="6143" max="6145" width="9.109375" style="104"/>
    <col min="6146" max="6146" width="17.44140625" style="104" customWidth="1"/>
    <col min="6147" max="6147" width="0.88671875" style="104" customWidth="1"/>
    <col min="6148" max="6148" width="11.109375" style="104" customWidth="1"/>
    <col min="6149" max="6149" width="14.88671875" style="104" customWidth="1"/>
    <col min="6150" max="6150" width="15.109375" style="104" customWidth="1"/>
    <col min="6151" max="6151" width="17.109375" style="104" customWidth="1"/>
    <col min="6152" max="6152" width="32.44140625" style="104" customWidth="1"/>
    <col min="6153" max="6397" width="9.109375" style="104"/>
    <col min="6398" max="6398" width="20.5546875" style="104" customWidth="1"/>
    <col min="6399" max="6401" width="9.109375" style="104"/>
    <col min="6402" max="6402" width="17.44140625" style="104" customWidth="1"/>
    <col min="6403" max="6403" width="0.88671875" style="104" customWidth="1"/>
    <col min="6404" max="6404" width="11.109375" style="104" customWidth="1"/>
    <col min="6405" max="6405" width="14.88671875" style="104" customWidth="1"/>
    <col min="6406" max="6406" width="15.109375" style="104" customWidth="1"/>
    <col min="6407" max="6407" width="17.109375" style="104" customWidth="1"/>
    <col min="6408" max="6408" width="32.44140625" style="104" customWidth="1"/>
    <col min="6409" max="6653" width="9.109375" style="104"/>
    <col min="6654" max="6654" width="20.5546875" style="104" customWidth="1"/>
    <col min="6655" max="6657" width="9.109375" style="104"/>
    <col min="6658" max="6658" width="17.44140625" style="104" customWidth="1"/>
    <col min="6659" max="6659" width="0.88671875" style="104" customWidth="1"/>
    <col min="6660" max="6660" width="11.109375" style="104" customWidth="1"/>
    <col min="6661" max="6661" width="14.88671875" style="104" customWidth="1"/>
    <col min="6662" max="6662" width="15.109375" style="104" customWidth="1"/>
    <col min="6663" max="6663" width="17.109375" style="104" customWidth="1"/>
    <col min="6664" max="6664" width="32.44140625" style="104" customWidth="1"/>
    <col min="6665" max="6909" width="9.109375" style="104"/>
    <col min="6910" max="6910" width="20.5546875" style="104" customWidth="1"/>
    <col min="6911" max="6913" width="9.109375" style="104"/>
    <col min="6914" max="6914" width="17.44140625" style="104" customWidth="1"/>
    <col min="6915" max="6915" width="0.88671875" style="104" customWidth="1"/>
    <col min="6916" max="6916" width="11.109375" style="104" customWidth="1"/>
    <col min="6917" max="6917" width="14.88671875" style="104" customWidth="1"/>
    <col min="6918" max="6918" width="15.109375" style="104" customWidth="1"/>
    <col min="6919" max="6919" width="17.109375" style="104" customWidth="1"/>
    <col min="6920" max="6920" width="32.44140625" style="104" customWidth="1"/>
    <col min="6921" max="7165" width="9.109375" style="104"/>
    <col min="7166" max="7166" width="20.5546875" style="104" customWidth="1"/>
    <col min="7167" max="7169" width="9.109375" style="104"/>
    <col min="7170" max="7170" width="17.44140625" style="104" customWidth="1"/>
    <col min="7171" max="7171" width="0.88671875" style="104" customWidth="1"/>
    <col min="7172" max="7172" width="11.109375" style="104" customWidth="1"/>
    <col min="7173" max="7173" width="14.88671875" style="104" customWidth="1"/>
    <col min="7174" max="7174" width="15.109375" style="104" customWidth="1"/>
    <col min="7175" max="7175" width="17.109375" style="104" customWidth="1"/>
    <col min="7176" max="7176" width="32.44140625" style="104" customWidth="1"/>
    <col min="7177" max="7421" width="9.109375" style="104"/>
    <col min="7422" max="7422" width="20.5546875" style="104" customWidth="1"/>
    <col min="7423" max="7425" width="9.109375" style="104"/>
    <col min="7426" max="7426" width="17.44140625" style="104" customWidth="1"/>
    <col min="7427" max="7427" width="0.88671875" style="104" customWidth="1"/>
    <col min="7428" max="7428" width="11.109375" style="104" customWidth="1"/>
    <col min="7429" max="7429" width="14.88671875" style="104" customWidth="1"/>
    <col min="7430" max="7430" width="15.109375" style="104" customWidth="1"/>
    <col min="7431" max="7431" width="17.109375" style="104" customWidth="1"/>
    <col min="7432" max="7432" width="32.44140625" style="104" customWidth="1"/>
    <col min="7433" max="7677" width="9.109375" style="104"/>
    <col min="7678" max="7678" width="20.5546875" style="104" customWidth="1"/>
    <col min="7679" max="7681" width="9.109375" style="104"/>
    <col min="7682" max="7682" width="17.44140625" style="104" customWidth="1"/>
    <col min="7683" max="7683" width="0.88671875" style="104" customWidth="1"/>
    <col min="7684" max="7684" width="11.109375" style="104" customWidth="1"/>
    <col min="7685" max="7685" width="14.88671875" style="104" customWidth="1"/>
    <col min="7686" max="7686" width="15.109375" style="104" customWidth="1"/>
    <col min="7687" max="7687" width="17.109375" style="104" customWidth="1"/>
    <col min="7688" max="7688" width="32.44140625" style="104" customWidth="1"/>
    <col min="7689" max="7933" width="9.109375" style="104"/>
    <col min="7934" max="7934" width="20.5546875" style="104" customWidth="1"/>
    <col min="7935" max="7937" width="9.109375" style="104"/>
    <col min="7938" max="7938" width="17.44140625" style="104" customWidth="1"/>
    <col min="7939" max="7939" width="0.88671875" style="104" customWidth="1"/>
    <col min="7940" max="7940" width="11.109375" style="104" customWidth="1"/>
    <col min="7941" max="7941" width="14.88671875" style="104" customWidth="1"/>
    <col min="7942" max="7942" width="15.109375" style="104" customWidth="1"/>
    <col min="7943" max="7943" width="17.109375" style="104" customWidth="1"/>
    <col min="7944" max="7944" width="32.44140625" style="104" customWidth="1"/>
    <col min="7945" max="8189" width="9.109375" style="104"/>
    <col min="8190" max="8190" width="20.5546875" style="104" customWidth="1"/>
    <col min="8191" max="8193" width="9.109375" style="104"/>
    <col min="8194" max="8194" width="17.44140625" style="104" customWidth="1"/>
    <col min="8195" max="8195" width="0.88671875" style="104" customWidth="1"/>
    <col min="8196" max="8196" width="11.109375" style="104" customWidth="1"/>
    <col min="8197" max="8197" width="14.88671875" style="104" customWidth="1"/>
    <col min="8198" max="8198" width="15.109375" style="104" customWidth="1"/>
    <col min="8199" max="8199" width="17.109375" style="104" customWidth="1"/>
    <col min="8200" max="8200" width="32.44140625" style="104" customWidth="1"/>
    <col min="8201" max="8445" width="9.109375" style="104"/>
    <col min="8446" max="8446" width="20.5546875" style="104" customWidth="1"/>
    <col min="8447" max="8449" width="9.109375" style="104"/>
    <col min="8450" max="8450" width="17.44140625" style="104" customWidth="1"/>
    <col min="8451" max="8451" width="0.88671875" style="104" customWidth="1"/>
    <col min="8452" max="8452" width="11.109375" style="104" customWidth="1"/>
    <col min="8453" max="8453" width="14.88671875" style="104" customWidth="1"/>
    <col min="8454" max="8454" width="15.109375" style="104" customWidth="1"/>
    <col min="8455" max="8455" width="17.109375" style="104" customWidth="1"/>
    <col min="8456" max="8456" width="32.44140625" style="104" customWidth="1"/>
    <col min="8457" max="8701" width="9.109375" style="104"/>
    <col min="8702" max="8702" width="20.5546875" style="104" customWidth="1"/>
    <col min="8703" max="8705" width="9.109375" style="104"/>
    <col min="8706" max="8706" width="17.44140625" style="104" customWidth="1"/>
    <col min="8707" max="8707" width="0.88671875" style="104" customWidth="1"/>
    <col min="8708" max="8708" width="11.109375" style="104" customWidth="1"/>
    <col min="8709" max="8709" width="14.88671875" style="104" customWidth="1"/>
    <col min="8710" max="8710" width="15.109375" style="104" customWidth="1"/>
    <col min="8711" max="8711" width="17.109375" style="104" customWidth="1"/>
    <col min="8712" max="8712" width="32.44140625" style="104" customWidth="1"/>
    <col min="8713" max="8957" width="9.109375" style="104"/>
    <col min="8958" max="8958" width="20.5546875" style="104" customWidth="1"/>
    <col min="8959" max="8961" width="9.109375" style="104"/>
    <col min="8962" max="8962" width="17.44140625" style="104" customWidth="1"/>
    <col min="8963" max="8963" width="0.88671875" style="104" customWidth="1"/>
    <col min="8964" max="8964" width="11.109375" style="104" customWidth="1"/>
    <col min="8965" max="8965" width="14.88671875" style="104" customWidth="1"/>
    <col min="8966" max="8966" width="15.109375" style="104" customWidth="1"/>
    <col min="8967" max="8967" width="17.109375" style="104" customWidth="1"/>
    <col min="8968" max="8968" width="32.44140625" style="104" customWidth="1"/>
    <col min="8969" max="9213" width="9.109375" style="104"/>
    <col min="9214" max="9214" width="20.5546875" style="104" customWidth="1"/>
    <col min="9215" max="9217" width="9.109375" style="104"/>
    <col min="9218" max="9218" width="17.44140625" style="104" customWidth="1"/>
    <col min="9219" max="9219" width="0.88671875" style="104" customWidth="1"/>
    <col min="9220" max="9220" width="11.109375" style="104" customWidth="1"/>
    <col min="9221" max="9221" width="14.88671875" style="104" customWidth="1"/>
    <col min="9222" max="9222" width="15.109375" style="104" customWidth="1"/>
    <col min="9223" max="9223" width="17.109375" style="104" customWidth="1"/>
    <col min="9224" max="9224" width="32.44140625" style="104" customWidth="1"/>
    <col min="9225" max="9469" width="9.109375" style="104"/>
    <col min="9470" max="9470" width="20.5546875" style="104" customWidth="1"/>
    <col min="9471" max="9473" width="9.109375" style="104"/>
    <col min="9474" max="9474" width="17.44140625" style="104" customWidth="1"/>
    <col min="9475" max="9475" width="0.88671875" style="104" customWidth="1"/>
    <col min="9476" max="9476" width="11.109375" style="104" customWidth="1"/>
    <col min="9477" max="9477" width="14.88671875" style="104" customWidth="1"/>
    <col min="9478" max="9478" width="15.109375" style="104" customWidth="1"/>
    <col min="9479" max="9479" width="17.109375" style="104" customWidth="1"/>
    <col min="9480" max="9480" width="32.44140625" style="104" customWidth="1"/>
    <col min="9481" max="9725" width="9.109375" style="104"/>
    <col min="9726" max="9726" width="20.5546875" style="104" customWidth="1"/>
    <col min="9727" max="9729" width="9.109375" style="104"/>
    <col min="9730" max="9730" width="17.44140625" style="104" customWidth="1"/>
    <col min="9731" max="9731" width="0.88671875" style="104" customWidth="1"/>
    <col min="9732" max="9732" width="11.109375" style="104" customWidth="1"/>
    <col min="9733" max="9733" width="14.88671875" style="104" customWidth="1"/>
    <col min="9734" max="9734" width="15.109375" style="104" customWidth="1"/>
    <col min="9735" max="9735" width="17.109375" style="104" customWidth="1"/>
    <col min="9736" max="9736" width="32.44140625" style="104" customWidth="1"/>
    <col min="9737" max="9981" width="9.109375" style="104"/>
    <col min="9982" max="9982" width="20.5546875" style="104" customWidth="1"/>
    <col min="9983" max="9985" width="9.109375" style="104"/>
    <col min="9986" max="9986" width="17.44140625" style="104" customWidth="1"/>
    <col min="9987" max="9987" width="0.88671875" style="104" customWidth="1"/>
    <col min="9988" max="9988" width="11.109375" style="104" customWidth="1"/>
    <col min="9989" max="9989" width="14.88671875" style="104" customWidth="1"/>
    <col min="9990" max="9990" width="15.109375" style="104" customWidth="1"/>
    <col min="9991" max="9991" width="17.109375" style="104" customWidth="1"/>
    <col min="9992" max="9992" width="32.44140625" style="104" customWidth="1"/>
    <col min="9993" max="10237" width="9.109375" style="104"/>
    <col min="10238" max="10238" width="20.5546875" style="104" customWidth="1"/>
    <col min="10239" max="10241" width="9.109375" style="104"/>
    <col min="10242" max="10242" width="17.44140625" style="104" customWidth="1"/>
    <col min="10243" max="10243" width="0.88671875" style="104" customWidth="1"/>
    <col min="10244" max="10244" width="11.109375" style="104" customWidth="1"/>
    <col min="10245" max="10245" width="14.88671875" style="104" customWidth="1"/>
    <col min="10246" max="10246" width="15.109375" style="104" customWidth="1"/>
    <col min="10247" max="10247" width="17.109375" style="104" customWidth="1"/>
    <col min="10248" max="10248" width="32.44140625" style="104" customWidth="1"/>
    <col min="10249" max="10493" width="9.109375" style="104"/>
    <col min="10494" max="10494" width="20.5546875" style="104" customWidth="1"/>
    <col min="10495" max="10497" width="9.109375" style="104"/>
    <col min="10498" max="10498" width="17.44140625" style="104" customWidth="1"/>
    <col min="10499" max="10499" width="0.88671875" style="104" customWidth="1"/>
    <col min="10500" max="10500" width="11.109375" style="104" customWidth="1"/>
    <col min="10501" max="10501" width="14.88671875" style="104" customWidth="1"/>
    <col min="10502" max="10502" width="15.109375" style="104" customWidth="1"/>
    <col min="10503" max="10503" width="17.109375" style="104" customWidth="1"/>
    <col min="10504" max="10504" width="32.44140625" style="104" customWidth="1"/>
    <col min="10505" max="10749" width="9.109375" style="104"/>
    <col min="10750" max="10750" width="20.5546875" style="104" customWidth="1"/>
    <col min="10751" max="10753" width="9.109375" style="104"/>
    <col min="10754" max="10754" width="17.44140625" style="104" customWidth="1"/>
    <col min="10755" max="10755" width="0.88671875" style="104" customWidth="1"/>
    <col min="10756" max="10756" width="11.109375" style="104" customWidth="1"/>
    <col min="10757" max="10757" width="14.88671875" style="104" customWidth="1"/>
    <col min="10758" max="10758" width="15.109375" style="104" customWidth="1"/>
    <col min="10759" max="10759" width="17.109375" style="104" customWidth="1"/>
    <col min="10760" max="10760" width="32.44140625" style="104" customWidth="1"/>
    <col min="10761" max="11005" width="9.109375" style="104"/>
    <col min="11006" max="11006" width="20.5546875" style="104" customWidth="1"/>
    <col min="11007" max="11009" width="9.109375" style="104"/>
    <col min="11010" max="11010" width="17.44140625" style="104" customWidth="1"/>
    <col min="11011" max="11011" width="0.88671875" style="104" customWidth="1"/>
    <col min="11012" max="11012" width="11.109375" style="104" customWidth="1"/>
    <col min="11013" max="11013" width="14.88671875" style="104" customWidth="1"/>
    <col min="11014" max="11014" width="15.109375" style="104" customWidth="1"/>
    <col min="11015" max="11015" width="17.109375" style="104" customWidth="1"/>
    <col min="11016" max="11016" width="32.44140625" style="104" customWidth="1"/>
    <col min="11017" max="11261" width="9.109375" style="104"/>
    <col min="11262" max="11262" width="20.5546875" style="104" customWidth="1"/>
    <col min="11263" max="11265" width="9.109375" style="104"/>
    <col min="11266" max="11266" width="17.44140625" style="104" customWidth="1"/>
    <col min="11267" max="11267" width="0.88671875" style="104" customWidth="1"/>
    <col min="11268" max="11268" width="11.109375" style="104" customWidth="1"/>
    <col min="11269" max="11269" width="14.88671875" style="104" customWidth="1"/>
    <col min="11270" max="11270" width="15.109375" style="104" customWidth="1"/>
    <col min="11271" max="11271" width="17.109375" style="104" customWidth="1"/>
    <col min="11272" max="11272" width="32.44140625" style="104" customWidth="1"/>
    <col min="11273" max="11517" width="9.109375" style="104"/>
    <col min="11518" max="11518" width="20.5546875" style="104" customWidth="1"/>
    <col min="11519" max="11521" width="9.109375" style="104"/>
    <col min="11522" max="11522" width="17.44140625" style="104" customWidth="1"/>
    <col min="11523" max="11523" width="0.88671875" style="104" customWidth="1"/>
    <col min="11524" max="11524" width="11.109375" style="104" customWidth="1"/>
    <col min="11525" max="11525" width="14.88671875" style="104" customWidth="1"/>
    <col min="11526" max="11526" width="15.109375" style="104" customWidth="1"/>
    <col min="11527" max="11527" width="17.109375" style="104" customWidth="1"/>
    <col min="11528" max="11528" width="32.44140625" style="104" customWidth="1"/>
    <col min="11529" max="11773" width="9.109375" style="104"/>
    <col min="11774" max="11774" width="20.5546875" style="104" customWidth="1"/>
    <col min="11775" max="11777" width="9.109375" style="104"/>
    <col min="11778" max="11778" width="17.44140625" style="104" customWidth="1"/>
    <col min="11779" max="11779" width="0.88671875" style="104" customWidth="1"/>
    <col min="11780" max="11780" width="11.109375" style="104" customWidth="1"/>
    <col min="11781" max="11781" width="14.88671875" style="104" customWidth="1"/>
    <col min="11782" max="11782" width="15.109375" style="104" customWidth="1"/>
    <col min="11783" max="11783" width="17.109375" style="104" customWidth="1"/>
    <col min="11784" max="11784" width="32.44140625" style="104" customWidth="1"/>
    <col min="11785" max="12029" width="9.109375" style="104"/>
    <col min="12030" max="12030" width="20.5546875" style="104" customWidth="1"/>
    <col min="12031" max="12033" width="9.109375" style="104"/>
    <col min="12034" max="12034" width="17.44140625" style="104" customWidth="1"/>
    <col min="12035" max="12035" width="0.88671875" style="104" customWidth="1"/>
    <col min="12036" max="12036" width="11.109375" style="104" customWidth="1"/>
    <col min="12037" max="12037" width="14.88671875" style="104" customWidth="1"/>
    <col min="12038" max="12038" width="15.109375" style="104" customWidth="1"/>
    <col min="12039" max="12039" width="17.109375" style="104" customWidth="1"/>
    <col min="12040" max="12040" width="32.44140625" style="104" customWidth="1"/>
    <col min="12041" max="12285" width="9.109375" style="104"/>
    <col min="12286" max="12286" width="20.5546875" style="104" customWidth="1"/>
    <col min="12287" max="12289" width="9.109375" style="104"/>
    <col min="12290" max="12290" width="17.44140625" style="104" customWidth="1"/>
    <col min="12291" max="12291" width="0.88671875" style="104" customWidth="1"/>
    <col min="12292" max="12292" width="11.109375" style="104" customWidth="1"/>
    <col min="12293" max="12293" width="14.88671875" style="104" customWidth="1"/>
    <col min="12294" max="12294" width="15.109375" style="104" customWidth="1"/>
    <col min="12295" max="12295" width="17.109375" style="104" customWidth="1"/>
    <col min="12296" max="12296" width="32.44140625" style="104" customWidth="1"/>
    <col min="12297" max="12541" width="9.109375" style="104"/>
    <col min="12542" max="12542" width="20.5546875" style="104" customWidth="1"/>
    <col min="12543" max="12545" width="9.109375" style="104"/>
    <col min="12546" max="12546" width="17.44140625" style="104" customWidth="1"/>
    <col min="12547" max="12547" width="0.88671875" style="104" customWidth="1"/>
    <col min="12548" max="12548" width="11.109375" style="104" customWidth="1"/>
    <col min="12549" max="12549" width="14.88671875" style="104" customWidth="1"/>
    <col min="12550" max="12550" width="15.109375" style="104" customWidth="1"/>
    <col min="12551" max="12551" width="17.109375" style="104" customWidth="1"/>
    <col min="12552" max="12552" width="32.44140625" style="104" customWidth="1"/>
    <col min="12553" max="12797" width="9.109375" style="104"/>
    <col min="12798" max="12798" width="20.5546875" style="104" customWidth="1"/>
    <col min="12799" max="12801" width="9.109375" style="104"/>
    <col min="12802" max="12802" width="17.44140625" style="104" customWidth="1"/>
    <col min="12803" max="12803" width="0.88671875" style="104" customWidth="1"/>
    <col min="12804" max="12804" width="11.109375" style="104" customWidth="1"/>
    <col min="12805" max="12805" width="14.88671875" style="104" customWidth="1"/>
    <col min="12806" max="12806" width="15.109375" style="104" customWidth="1"/>
    <col min="12807" max="12807" width="17.109375" style="104" customWidth="1"/>
    <col min="12808" max="12808" width="32.44140625" style="104" customWidth="1"/>
    <col min="12809" max="13053" width="9.109375" style="104"/>
    <col min="13054" max="13054" width="20.5546875" style="104" customWidth="1"/>
    <col min="13055" max="13057" width="9.109375" style="104"/>
    <col min="13058" max="13058" width="17.44140625" style="104" customWidth="1"/>
    <col min="13059" max="13059" width="0.88671875" style="104" customWidth="1"/>
    <col min="13060" max="13060" width="11.109375" style="104" customWidth="1"/>
    <col min="13061" max="13061" width="14.88671875" style="104" customWidth="1"/>
    <col min="13062" max="13062" width="15.109375" style="104" customWidth="1"/>
    <col min="13063" max="13063" width="17.109375" style="104" customWidth="1"/>
    <col min="13064" max="13064" width="32.44140625" style="104" customWidth="1"/>
    <col min="13065" max="13309" width="9.109375" style="104"/>
    <col min="13310" max="13310" width="20.5546875" style="104" customWidth="1"/>
    <col min="13311" max="13313" width="9.109375" style="104"/>
    <col min="13314" max="13314" width="17.44140625" style="104" customWidth="1"/>
    <col min="13315" max="13315" width="0.88671875" style="104" customWidth="1"/>
    <col min="13316" max="13316" width="11.109375" style="104" customWidth="1"/>
    <col min="13317" max="13317" width="14.88671875" style="104" customWidth="1"/>
    <col min="13318" max="13318" width="15.109375" style="104" customWidth="1"/>
    <col min="13319" max="13319" width="17.109375" style="104" customWidth="1"/>
    <col min="13320" max="13320" width="32.44140625" style="104" customWidth="1"/>
    <col min="13321" max="13565" width="9.109375" style="104"/>
    <col min="13566" max="13566" width="20.5546875" style="104" customWidth="1"/>
    <col min="13567" max="13569" width="9.109375" style="104"/>
    <col min="13570" max="13570" width="17.44140625" style="104" customWidth="1"/>
    <col min="13571" max="13571" width="0.88671875" style="104" customWidth="1"/>
    <col min="13572" max="13572" width="11.109375" style="104" customWidth="1"/>
    <col min="13573" max="13573" width="14.88671875" style="104" customWidth="1"/>
    <col min="13574" max="13574" width="15.109375" style="104" customWidth="1"/>
    <col min="13575" max="13575" width="17.109375" style="104" customWidth="1"/>
    <col min="13576" max="13576" width="32.44140625" style="104" customWidth="1"/>
    <col min="13577" max="13821" width="9.109375" style="104"/>
    <col min="13822" max="13822" width="20.5546875" style="104" customWidth="1"/>
    <col min="13823" max="13825" width="9.109375" style="104"/>
    <col min="13826" max="13826" width="17.44140625" style="104" customWidth="1"/>
    <col min="13827" max="13827" width="0.88671875" style="104" customWidth="1"/>
    <col min="13828" max="13828" width="11.109375" style="104" customWidth="1"/>
    <col min="13829" max="13829" width="14.88671875" style="104" customWidth="1"/>
    <col min="13830" max="13830" width="15.109375" style="104" customWidth="1"/>
    <col min="13831" max="13831" width="17.109375" style="104" customWidth="1"/>
    <col min="13832" max="13832" width="32.44140625" style="104" customWidth="1"/>
    <col min="13833" max="14077" width="9.109375" style="104"/>
    <col min="14078" max="14078" width="20.5546875" style="104" customWidth="1"/>
    <col min="14079" max="14081" width="9.109375" style="104"/>
    <col min="14082" max="14082" width="17.44140625" style="104" customWidth="1"/>
    <col min="14083" max="14083" width="0.88671875" style="104" customWidth="1"/>
    <col min="14084" max="14084" width="11.109375" style="104" customWidth="1"/>
    <col min="14085" max="14085" width="14.88671875" style="104" customWidth="1"/>
    <col min="14086" max="14086" width="15.109375" style="104" customWidth="1"/>
    <col min="14087" max="14087" width="17.109375" style="104" customWidth="1"/>
    <col min="14088" max="14088" width="32.44140625" style="104" customWidth="1"/>
    <col min="14089" max="14333" width="9.109375" style="104"/>
    <col min="14334" max="14334" width="20.5546875" style="104" customWidth="1"/>
    <col min="14335" max="14337" width="9.109375" style="104"/>
    <col min="14338" max="14338" width="17.44140625" style="104" customWidth="1"/>
    <col min="14339" max="14339" width="0.88671875" style="104" customWidth="1"/>
    <col min="14340" max="14340" width="11.109375" style="104" customWidth="1"/>
    <col min="14341" max="14341" width="14.88671875" style="104" customWidth="1"/>
    <col min="14342" max="14342" width="15.109375" style="104" customWidth="1"/>
    <col min="14343" max="14343" width="17.109375" style="104" customWidth="1"/>
    <col min="14344" max="14344" width="32.44140625" style="104" customWidth="1"/>
    <col min="14345" max="14589" width="9.109375" style="104"/>
    <col min="14590" max="14590" width="20.5546875" style="104" customWidth="1"/>
    <col min="14591" max="14593" width="9.109375" style="104"/>
    <col min="14594" max="14594" width="17.44140625" style="104" customWidth="1"/>
    <col min="14595" max="14595" width="0.88671875" style="104" customWidth="1"/>
    <col min="14596" max="14596" width="11.109375" style="104" customWidth="1"/>
    <col min="14597" max="14597" width="14.88671875" style="104" customWidth="1"/>
    <col min="14598" max="14598" width="15.109375" style="104" customWidth="1"/>
    <col min="14599" max="14599" width="17.109375" style="104" customWidth="1"/>
    <col min="14600" max="14600" width="32.44140625" style="104" customWidth="1"/>
    <col min="14601" max="14845" width="9.109375" style="104"/>
    <col min="14846" max="14846" width="20.5546875" style="104" customWidth="1"/>
    <col min="14847" max="14849" width="9.109375" style="104"/>
    <col min="14850" max="14850" width="17.44140625" style="104" customWidth="1"/>
    <col min="14851" max="14851" width="0.88671875" style="104" customWidth="1"/>
    <col min="14852" max="14852" width="11.109375" style="104" customWidth="1"/>
    <col min="14853" max="14853" width="14.88671875" style="104" customWidth="1"/>
    <col min="14854" max="14854" width="15.109375" style="104" customWidth="1"/>
    <col min="14855" max="14855" width="17.109375" style="104" customWidth="1"/>
    <col min="14856" max="14856" width="32.44140625" style="104" customWidth="1"/>
    <col min="14857" max="15101" width="9.109375" style="104"/>
    <col min="15102" max="15102" width="20.5546875" style="104" customWidth="1"/>
    <col min="15103" max="15105" width="9.109375" style="104"/>
    <col min="15106" max="15106" width="17.44140625" style="104" customWidth="1"/>
    <col min="15107" max="15107" width="0.88671875" style="104" customWidth="1"/>
    <col min="15108" max="15108" width="11.109375" style="104" customWidth="1"/>
    <col min="15109" max="15109" width="14.88671875" style="104" customWidth="1"/>
    <col min="15110" max="15110" width="15.109375" style="104" customWidth="1"/>
    <col min="15111" max="15111" width="17.109375" style="104" customWidth="1"/>
    <col min="15112" max="15112" width="32.44140625" style="104" customWidth="1"/>
    <col min="15113" max="15357" width="9.109375" style="104"/>
    <col min="15358" max="15358" width="20.5546875" style="104" customWidth="1"/>
    <col min="15359" max="15361" width="9.109375" style="104"/>
    <col min="15362" max="15362" width="17.44140625" style="104" customWidth="1"/>
    <col min="15363" max="15363" width="0.88671875" style="104" customWidth="1"/>
    <col min="15364" max="15364" width="11.109375" style="104" customWidth="1"/>
    <col min="15365" max="15365" width="14.88671875" style="104" customWidth="1"/>
    <col min="15366" max="15366" width="15.109375" style="104" customWidth="1"/>
    <col min="15367" max="15367" width="17.109375" style="104" customWidth="1"/>
    <col min="15368" max="15368" width="32.44140625" style="104" customWidth="1"/>
    <col min="15369" max="15613" width="9.109375" style="104"/>
    <col min="15614" max="15614" width="20.5546875" style="104" customWidth="1"/>
    <col min="15615" max="15617" width="9.109375" style="104"/>
    <col min="15618" max="15618" width="17.44140625" style="104" customWidth="1"/>
    <col min="15619" max="15619" width="0.88671875" style="104" customWidth="1"/>
    <col min="15620" max="15620" width="11.109375" style="104" customWidth="1"/>
    <col min="15621" max="15621" width="14.88671875" style="104" customWidth="1"/>
    <col min="15622" max="15622" width="15.109375" style="104" customWidth="1"/>
    <col min="15623" max="15623" width="17.109375" style="104" customWidth="1"/>
    <col min="15624" max="15624" width="32.44140625" style="104" customWidth="1"/>
    <col min="15625" max="15869" width="9.109375" style="104"/>
    <col min="15870" max="15870" width="20.5546875" style="104" customWidth="1"/>
    <col min="15871" max="15873" width="9.109375" style="104"/>
    <col min="15874" max="15874" width="17.44140625" style="104" customWidth="1"/>
    <col min="15875" max="15875" width="0.88671875" style="104" customWidth="1"/>
    <col min="15876" max="15876" width="11.109375" style="104" customWidth="1"/>
    <col min="15877" max="15877" width="14.88671875" style="104" customWidth="1"/>
    <col min="15878" max="15878" width="15.109375" style="104" customWidth="1"/>
    <col min="15879" max="15879" width="17.109375" style="104" customWidth="1"/>
    <col min="15880" max="15880" width="32.44140625" style="104" customWidth="1"/>
    <col min="15881" max="16125" width="9.109375" style="104"/>
    <col min="16126" max="16126" width="20.5546875" style="104" customWidth="1"/>
    <col min="16127" max="16129" width="9.109375" style="104"/>
    <col min="16130" max="16130" width="17.44140625" style="104" customWidth="1"/>
    <col min="16131" max="16131" width="0.88671875" style="104" customWidth="1"/>
    <col min="16132" max="16132" width="11.109375" style="104" customWidth="1"/>
    <col min="16133" max="16133" width="14.88671875" style="104" customWidth="1"/>
    <col min="16134" max="16134" width="15.109375" style="104" customWidth="1"/>
    <col min="16135" max="16135" width="17.109375" style="104" customWidth="1"/>
    <col min="16136" max="16136" width="32.44140625" style="104" customWidth="1"/>
    <col min="16137" max="16384" width="9.109375" style="104"/>
  </cols>
  <sheetData>
    <row r="1" spans="1:8" ht="17.399999999999999" x14ac:dyDescent="0.3">
      <c r="A1" s="153" t="s">
        <v>314</v>
      </c>
      <c r="B1" s="154"/>
      <c r="C1" s="154"/>
      <c r="D1" s="154"/>
      <c r="E1" s="154"/>
      <c r="F1" s="154"/>
      <c r="G1" s="154"/>
      <c r="H1" s="155"/>
    </row>
    <row r="2" spans="1:8" ht="15.6" x14ac:dyDescent="0.3">
      <c r="A2" s="1146"/>
      <c r="B2" s="1147"/>
      <c r="C2" s="1147"/>
      <c r="D2" s="1147"/>
      <c r="E2" s="1147"/>
      <c r="F2" s="1147"/>
      <c r="G2" s="1147"/>
      <c r="H2" s="156"/>
    </row>
    <row r="3" spans="1:8" ht="16.2" x14ac:dyDescent="0.3">
      <c r="A3" s="1148" t="s">
        <v>315</v>
      </c>
      <c r="B3" s="1149"/>
      <c r="C3" s="1149"/>
      <c r="D3" s="1149"/>
      <c r="E3" s="1149"/>
      <c r="F3" s="1149"/>
      <c r="G3" s="1149"/>
      <c r="H3" s="1150"/>
    </row>
    <row r="4" spans="1:8" ht="15.6" x14ac:dyDescent="0.3">
      <c r="A4" s="1146"/>
      <c r="B4" s="1147"/>
      <c r="C4" s="1147"/>
      <c r="D4" s="1147"/>
      <c r="E4" s="1147"/>
      <c r="F4" s="1147"/>
      <c r="G4" s="1147"/>
      <c r="H4" s="156"/>
    </row>
    <row r="5" spans="1:8" ht="15.6" x14ac:dyDescent="0.3">
      <c r="A5" s="1151" t="s">
        <v>316</v>
      </c>
      <c r="B5" s="1152"/>
      <c r="C5" s="157"/>
      <c r="D5" s="158" t="s">
        <v>317</v>
      </c>
      <c r="E5" s="157"/>
      <c r="F5" s="158" t="s">
        <v>318</v>
      </c>
      <c r="G5" s="159"/>
      <c r="H5" s="156"/>
    </row>
    <row r="6" spans="1:8" x14ac:dyDescent="0.3">
      <c r="A6" s="1151"/>
      <c r="B6" s="1152"/>
      <c r="C6" s="160"/>
      <c r="D6" s="158"/>
      <c r="E6" s="161"/>
      <c r="F6" s="158" t="s">
        <v>319</v>
      </c>
      <c r="G6" s="158"/>
      <c r="H6" s="162"/>
    </row>
    <row r="7" spans="1:8" x14ac:dyDescent="0.3">
      <c r="A7" s="163"/>
      <c r="B7" s="164"/>
      <c r="C7" s="166"/>
      <c r="D7" s="165"/>
      <c r="E7" s="167"/>
      <c r="F7" s="165"/>
      <c r="G7" s="165"/>
      <c r="H7" s="168"/>
    </row>
    <row r="8" spans="1:8" x14ac:dyDescent="0.3">
      <c r="A8" s="1153" t="s">
        <v>320</v>
      </c>
      <c r="B8" s="1156" t="s">
        <v>321</v>
      </c>
      <c r="C8" s="169"/>
      <c r="D8" s="1159" t="s">
        <v>322</v>
      </c>
      <c r="E8" s="1160"/>
      <c r="F8" s="1160"/>
      <c r="G8" s="1161"/>
      <c r="H8" s="1144" t="s">
        <v>323</v>
      </c>
    </row>
    <row r="9" spans="1:8" x14ac:dyDescent="0.3">
      <c r="A9" s="1154"/>
      <c r="B9" s="1157"/>
      <c r="C9" s="171"/>
      <c r="D9" s="1144" t="s">
        <v>1</v>
      </c>
      <c r="E9" s="170" t="s">
        <v>2</v>
      </c>
      <c r="F9" s="1144" t="s">
        <v>13</v>
      </c>
      <c r="G9" s="170" t="s">
        <v>324</v>
      </c>
      <c r="H9" s="1162"/>
    </row>
    <row r="10" spans="1:8" x14ac:dyDescent="0.3">
      <c r="A10" s="1155"/>
      <c r="B10" s="1158"/>
      <c r="C10" s="173"/>
      <c r="D10" s="1145"/>
      <c r="E10" s="172" t="s">
        <v>325</v>
      </c>
      <c r="F10" s="1145"/>
      <c r="G10" s="172" t="s">
        <v>325</v>
      </c>
      <c r="H10" s="1145"/>
    </row>
    <row r="11" spans="1:8" x14ac:dyDescent="0.3">
      <c r="A11" s="174"/>
      <c r="B11" s="175"/>
      <c r="C11" s="173"/>
      <c r="D11" s="176" t="s">
        <v>326</v>
      </c>
      <c r="E11" s="177"/>
      <c r="F11" s="177">
        <v>20.39</v>
      </c>
      <c r="G11" s="177" t="s">
        <v>59</v>
      </c>
      <c r="H11" s="172"/>
    </row>
    <row r="12" spans="1:8" x14ac:dyDescent="0.3">
      <c r="A12" s="178">
        <v>1</v>
      </c>
      <c r="B12" s="179" t="s">
        <v>327</v>
      </c>
      <c r="C12" s="183"/>
      <c r="D12" s="181"/>
      <c r="E12" s="181"/>
      <c r="F12" s="182"/>
      <c r="G12" s="181"/>
      <c r="H12" s="184"/>
    </row>
    <row r="13" spans="1:8" x14ac:dyDescent="0.3">
      <c r="A13" s="185">
        <v>1.01</v>
      </c>
      <c r="B13" s="182" t="s">
        <v>328</v>
      </c>
      <c r="C13" s="183"/>
      <c r="D13" s="186" t="s">
        <v>59</v>
      </c>
      <c r="E13" s="187">
        <f>(2641.76/(12*7*0.09290304))</f>
        <v>338.51985693389378</v>
      </c>
      <c r="F13" s="188">
        <f>F11</f>
        <v>20.39</v>
      </c>
      <c r="G13" s="181">
        <f>E13*F13</f>
        <v>6902.4198828820945</v>
      </c>
      <c r="H13" s="189" t="s">
        <v>329</v>
      </c>
    </row>
    <row r="14" spans="1:8" x14ac:dyDescent="0.3">
      <c r="A14" s="185"/>
      <c r="B14" s="190" t="s">
        <v>330</v>
      </c>
      <c r="C14" s="183"/>
      <c r="D14" s="186"/>
      <c r="E14" s="191">
        <v>0.05</v>
      </c>
      <c r="F14" s="188"/>
      <c r="G14" s="181">
        <f>E14*G13</f>
        <v>345.12099414410477</v>
      </c>
      <c r="H14" s="189"/>
    </row>
    <row r="15" spans="1:8" x14ac:dyDescent="0.3">
      <c r="A15" s="185">
        <v>1.02</v>
      </c>
      <c r="B15" s="190" t="s">
        <v>331</v>
      </c>
      <c r="C15" s="183"/>
      <c r="D15" s="186" t="s">
        <v>19</v>
      </c>
      <c r="E15" s="187">
        <v>1</v>
      </c>
      <c r="F15" s="188">
        <f>0.11/18.5*F11</f>
        <v>0.12123783783783784</v>
      </c>
      <c r="G15" s="181">
        <f>PRODUCT(E15:F15)</f>
        <v>0.12123783783783784</v>
      </c>
      <c r="H15" s="189"/>
    </row>
    <row r="16" spans="1:8" x14ac:dyDescent="0.3">
      <c r="A16" s="192">
        <v>1</v>
      </c>
      <c r="B16" s="193" t="s">
        <v>332</v>
      </c>
      <c r="C16" s="196"/>
      <c r="D16" s="197"/>
      <c r="E16" s="195"/>
      <c r="F16" s="195"/>
      <c r="G16" s="195">
        <f>SUM(G13:G15)</f>
        <v>7247.662114864037</v>
      </c>
      <c r="H16" s="184"/>
    </row>
    <row r="17" spans="1:8" x14ac:dyDescent="0.3">
      <c r="A17" s="185"/>
      <c r="B17" s="198"/>
      <c r="C17" s="183"/>
      <c r="D17" s="186"/>
      <c r="E17" s="181"/>
      <c r="F17" s="181"/>
      <c r="G17" s="181"/>
      <c r="H17" s="184"/>
    </row>
    <row r="18" spans="1:8" x14ac:dyDescent="0.3">
      <c r="A18" s="178">
        <v>2</v>
      </c>
      <c r="B18" s="179" t="s">
        <v>20</v>
      </c>
      <c r="C18" s="183"/>
      <c r="D18" s="181"/>
      <c r="E18" s="181"/>
      <c r="F18" s="181"/>
      <c r="G18" s="181"/>
      <c r="H18" s="184"/>
    </row>
    <row r="19" spans="1:8" x14ac:dyDescent="0.3">
      <c r="A19" s="185">
        <v>2.0099999999999998</v>
      </c>
      <c r="B19" s="182" t="s">
        <v>21</v>
      </c>
      <c r="C19" s="183"/>
      <c r="D19" s="180" t="s">
        <v>333</v>
      </c>
      <c r="E19" s="181">
        <v>1700</v>
      </c>
      <c r="F19" s="188">
        <f>1/18.5*F11</f>
        <v>1.1021621621621622</v>
      </c>
      <c r="G19" s="181">
        <f>PRODUCT(E19:F19)</f>
        <v>1873.6756756756758</v>
      </c>
      <c r="H19" s="199" t="s">
        <v>334</v>
      </c>
    </row>
    <row r="20" spans="1:8" x14ac:dyDescent="0.3">
      <c r="A20" s="185">
        <v>2.02</v>
      </c>
      <c r="B20" s="200" t="s">
        <v>22</v>
      </c>
      <c r="C20" s="183"/>
      <c r="D20" s="180" t="s">
        <v>333</v>
      </c>
      <c r="E20" s="181">
        <v>1100</v>
      </c>
      <c r="F20" s="188">
        <f>1/18.5*F11</f>
        <v>1.1021621621621622</v>
      </c>
      <c r="G20" s="181">
        <f>PRODUCT(E20:F20)</f>
        <v>1212.3783783783786</v>
      </c>
      <c r="H20" s="199" t="s">
        <v>335</v>
      </c>
    </row>
    <row r="21" spans="1:8" x14ac:dyDescent="0.3">
      <c r="A21" s="192">
        <v>2</v>
      </c>
      <c r="B21" s="179" t="s">
        <v>336</v>
      </c>
      <c r="C21" s="201"/>
      <c r="D21" s="202"/>
      <c r="E21" s="202"/>
      <c r="F21" s="203"/>
      <c r="G21" s="195">
        <f>SUM(G19:G20)</f>
        <v>3086.0540540540542</v>
      </c>
      <c r="H21" s="184"/>
    </row>
    <row r="22" spans="1:8" x14ac:dyDescent="0.3">
      <c r="A22" s="192"/>
      <c r="B22" s="204"/>
      <c r="C22" s="196"/>
      <c r="D22" s="195"/>
      <c r="E22" s="195"/>
      <c r="F22" s="195"/>
      <c r="G22" s="195"/>
      <c r="H22" s="205"/>
    </row>
    <row r="23" spans="1:8" x14ac:dyDescent="0.3">
      <c r="A23" s="178">
        <v>3</v>
      </c>
      <c r="B23" s="179" t="s">
        <v>337</v>
      </c>
      <c r="C23" s="183"/>
      <c r="D23" s="181"/>
      <c r="E23" s="181"/>
      <c r="F23" s="181"/>
      <c r="G23" s="181"/>
      <c r="H23" s="205"/>
    </row>
    <row r="24" spans="1:8" ht="24.6" x14ac:dyDescent="0.3">
      <c r="A24" s="185">
        <v>3.01</v>
      </c>
      <c r="B24" s="182" t="s">
        <v>338</v>
      </c>
      <c r="C24" s="183"/>
      <c r="D24" s="180" t="s">
        <v>234</v>
      </c>
      <c r="E24" s="181"/>
      <c r="F24" s="206">
        <v>0</v>
      </c>
      <c r="G24" s="181"/>
      <c r="H24" s="189" t="s">
        <v>339</v>
      </c>
    </row>
    <row r="25" spans="1:8" x14ac:dyDescent="0.3">
      <c r="A25" s="185"/>
      <c r="B25" s="207"/>
      <c r="C25" s="183"/>
      <c r="D25" s="180"/>
      <c r="E25" s="181"/>
      <c r="F25" s="206"/>
      <c r="G25" s="181"/>
      <c r="H25" s="189"/>
    </row>
    <row r="26" spans="1:8" x14ac:dyDescent="0.3">
      <c r="A26" s="192">
        <v>3</v>
      </c>
      <c r="B26" s="193" t="s">
        <v>340</v>
      </c>
      <c r="C26" s="196"/>
      <c r="D26" s="195"/>
      <c r="E26" s="195"/>
      <c r="F26" s="195"/>
      <c r="G26" s="195">
        <f>SUM(G24:G25)</f>
        <v>0</v>
      </c>
      <c r="H26" s="205"/>
    </row>
    <row r="27" spans="1:8" x14ac:dyDescent="0.3">
      <c r="A27" s="185"/>
      <c r="B27" s="208"/>
      <c r="C27" s="183"/>
      <c r="D27" s="181"/>
      <c r="E27" s="181"/>
      <c r="F27" s="181"/>
      <c r="G27" s="181"/>
      <c r="H27" s="184"/>
    </row>
    <row r="28" spans="1:8" x14ac:dyDescent="0.3">
      <c r="A28" s="185"/>
      <c r="B28" s="182" t="s">
        <v>341</v>
      </c>
      <c r="C28" s="183"/>
      <c r="D28" s="181"/>
      <c r="E28" s="181"/>
      <c r="F28" s="181"/>
      <c r="G28" s="195">
        <f>SUM(G16+G21+G26)</f>
        <v>10333.71616891809</v>
      </c>
      <c r="H28" s="184"/>
    </row>
    <row r="29" spans="1:8" x14ac:dyDescent="0.3">
      <c r="A29" s="185"/>
      <c r="B29" s="182" t="s">
        <v>342</v>
      </c>
      <c r="C29" s="183"/>
      <c r="D29" s="181"/>
      <c r="E29" s="181"/>
      <c r="F29" s="206">
        <v>0.3</v>
      </c>
      <c r="G29" s="181">
        <f>ROUNDUP((G28*F29),2)</f>
        <v>3100.1200000000003</v>
      </c>
      <c r="H29" s="184"/>
    </row>
    <row r="30" spans="1:8" x14ac:dyDescent="0.3">
      <c r="A30" s="185"/>
      <c r="B30" s="182"/>
      <c r="C30" s="209"/>
      <c r="D30" s="181"/>
      <c r="E30" s="181"/>
      <c r="F30" s="181"/>
      <c r="G30" s="195">
        <f>SUM(G28:G29)</f>
        <v>13433.836168918091</v>
      </c>
      <c r="H30" s="184"/>
    </row>
    <row r="31" spans="1:8" x14ac:dyDescent="0.3">
      <c r="A31" s="192"/>
      <c r="B31" s="194"/>
      <c r="C31" s="211"/>
      <c r="D31" s="212"/>
      <c r="E31" s="212"/>
      <c r="F31" s="212"/>
      <c r="G31" s="210">
        <f>ROUNDUP(G30/F11,0)</f>
        <v>659</v>
      </c>
      <c r="H31" s="184"/>
    </row>
    <row r="32" spans="1:8" ht="9" customHeight="1" x14ac:dyDescent="0.3">
      <c r="A32" s="213"/>
      <c r="B32" s="214"/>
      <c r="C32" s="214"/>
      <c r="D32" s="215"/>
      <c r="E32" s="215"/>
      <c r="F32" s="215"/>
      <c r="G32" s="215"/>
      <c r="H32" s="216"/>
    </row>
    <row r="33" spans="1:8" x14ac:dyDescent="0.3">
      <c r="A33" s="213"/>
      <c r="B33" s="217" t="s">
        <v>343</v>
      </c>
      <c r="C33" s="214"/>
      <c r="D33" s="215"/>
      <c r="E33" s="215"/>
      <c r="F33" s="215"/>
      <c r="G33" s="215">
        <f>G31/0.1</f>
        <v>6590</v>
      </c>
      <c r="H33" s="216"/>
    </row>
    <row r="34" spans="1:8" x14ac:dyDescent="0.3">
      <c r="A34" s="213"/>
      <c r="B34" s="214"/>
      <c r="C34" s="214"/>
      <c r="D34" s="215"/>
      <c r="E34" s="215"/>
      <c r="F34" s="215"/>
      <c r="G34" s="215"/>
      <c r="H34" s="216"/>
    </row>
  </sheetData>
  <mergeCells count="10">
    <mergeCell ref="D9:D10"/>
    <mergeCell ref="F9:F10"/>
    <mergeCell ref="A2:G2"/>
    <mergeCell ref="A3:H3"/>
    <mergeCell ref="A4:G4"/>
    <mergeCell ref="A5:B6"/>
    <mergeCell ref="A8:A10"/>
    <mergeCell ref="B8:B10"/>
    <mergeCell ref="D8:G8"/>
    <mergeCell ref="H8:H10"/>
  </mergeCells>
  <pageMargins left="0.7" right="0.7" top="0.75" bottom="0.75" header="0.3" footer="0.3"/>
  <pageSetup paperSize="9" scale="9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4">
    <tabColor rgb="FFFF0000"/>
    <pageSetUpPr fitToPage="1"/>
  </sheetPr>
  <dimension ref="A1:L145"/>
  <sheetViews>
    <sheetView view="pageBreakPreview" topLeftCell="A11" zoomScaleNormal="100" zoomScaleSheetLayoutView="100" workbookViewId="0">
      <selection activeCell="K18" sqref="K18"/>
    </sheetView>
  </sheetViews>
  <sheetFormatPr defaultRowHeight="13.8" x14ac:dyDescent="0.25"/>
  <cols>
    <col min="1" max="1" width="7.109375" style="429" customWidth="1"/>
    <col min="2" max="2" width="41.6640625" style="429" customWidth="1"/>
    <col min="3" max="3" width="0.6640625" style="429" customWidth="1"/>
    <col min="4" max="4" width="10.109375" style="429" customWidth="1"/>
    <col min="5" max="6" width="11.44140625" style="429" customWidth="1"/>
    <col min="7" max="7" width="12.88671875" style="429" customWidth="1"/>
    <col min="8" max="8" width="37.33203125" style="429" customWidth="1"/>
    <col min="9" max="9" width="14" style="429" bestFit="1" customWidth="1"/>
    <col min="10" max="11" width="9.109375" style="429"/>
    <col min="12" max="12" width="10.44140625" style="429" bestFit="1" customWidth="1"/>
    <col min="13" max="252" width="9.109375" style="429"/>
    <col min="253" max="253" width="7.109375" style="429" customWidth="1"/>
    <col min="254" max="254" width="41.6640625" style="429" customWidth="1"/>
    <col min="255" max="255" width="7.6640625" style="429" customWidth="1"/>
    <col min="256" max="256" width="11" style="429" customWidth="1"/>
    <col min="257" max="257" width="9.6640625" style="429" customWidth="1"/>
    <col min="258" max="258" width="14.6640625" style="429" customWidth="1"/>
    <col min="259" max="259" width="0.6640625" style="429" customWidth="1"/>
    <col min="260" max="260" width="10.109375" style="429" customWidth="1"/>
    <col min="261" max="262" width="11.44140625" style="429" customWidth="1"/>
    <col min="263" max="263" width="12.88671875" style="429" customWidth="1"/>
    <col min="264" max="264" width="34.33203125" style="429" customWidth="1"/>
    <col min="265" max="265" width="14" style="429" bestFit="1" customWidth="1"/>
    <col min="266" max="267" width="9.109375" style="429"/>
    <col min="268" max="268" width="10.44140625" style="429" bestFit="1" customWidth="1"/>
    <col min="269" max="508" width="9.109375" style="429"/>
    <col min="509" max="509" width="7.109375" style="429" customWidth="1"/>
    <col min="510" max="510" width="41.6640625" style="429" customWidth="1"/>
    <col min="511" max="511" width="7.6640625" style="429" customWidth="1"/>
    <col min="512" max="512" width="11" style="429" customWidth="1"/>
    <col min="513" max="513" width="9.6640625" style="429" customWidth="1"/>
    <col min="514" max="514" width="14.6640625" style="429" customWidth="1"/>
    <col min="515" max="515" width="0.6640625" style="429" customWidth="1"/>
    <col min="516" max="516" width="10.109375" style="429" customWidth="1"/>
    <col min="517" max="518" width="11.44140625" style="429" customWidth="1"/>
    <col min="519" max="519" width="12.88671875" style="429" customWidth="1"/>
    <col min="520" max="520" width="34.33203125" style="429" customWidth="1"/>
    <col min="521" max="521" width="14" style="429" bestFit="1" customWidth="1"/>
    <col min="522" max="523" width="9.109375" style="429"/>
    <col min="524" max="524" width="10.44140625" style="429" bestFit="1" customWidth="1"/>
    <col min="525" max="764" width="9.109375" style="429"/>
    <col min="765" max="765" width="7.109375" style="429" customWidth="1"/>
    <col min="766" max="766" width="41.6640625" style="429" customWidth="1"/>
    <col min="767" max="767" width="7.6640625" style="429" customWidth="1"/>
    <col min="768" max="768" width="11" style="429" customWidth="1"/>
    <col min="769" max="769" width="9.6640625" style="429" customWidth="1"/>
    <col min="770" max="770" width="14.6640625" style="429" customWidth="1"/>
    <col min="771" max="771" width="0.6640625" style="429" customWidth="1"/>
    <col min="772" max="772" width="10.109375" style="429" customWidth="1"/>
    <col min="773" max="774" width="11.44140625" style="429" customWidth="1"/>
    <col min="775" max="775" width="12.88671875" style="429" customWidth="1"/>
    <col min="776" max="776" width="34.33203125" style="429" customWidth="1"/>
    <col min="777" max="777" width="14" style="429" bestFit="1" customWidth="1"/>
    <col min="778" max="779" width="9.109375" style="429"/>
    <col min="780" max="780" width="10.44140625" style="429" bestFit="1" customWidth="1"/>
    <col min="781" max="1020" width="9.109375" style="429"/>
    <col min="1021" max="1021" width="7.109375" style="429" customWidth="1"/>
    <col min="1022" max="1022" width="41.6640625" style="429" customWidth="1"/>
    <col min="1023" max="1023" width="7.6640625" style="429" customWidth="1"/>
    <col min="1024" max="1024" width="11" style="429" customWidth="1"/>
    <col min="1025" max="1025" width="9.6640625" style="429" customWidth="1"/>
    <col min="1026" max="1026" width="14.6640625" style="429" customWidth="1"/>
    <col min="1027" max="1027" width="0.6640625" style="429" customWidth="1"/>
    <col min="1028" max="1028" width="10.109375" style="429" customWidth="1"/>
    <col min="1029" max="1030" width="11.44140625" style="429" customWidth="1"/>
    <col min="1031" max="1031" width="12.88671875" style="429" customWidth="1"/>
    <col min="1032" max="1032" width="34.33203125" style="429" customWidth="1"/>
    <col min="1033" max="1033" width="14" style="429" bestFit="1" customWidth="1"/>
    <col min="1034" max="1035" width="9.109375" style="429"/>
    <col min="1036" max="1036" width="10.44140625" style="429" bestFit="1" customWidth="1"/>
    <col min="1037" max="1276" width="9.109375" style="429"/>
    <col min="1277" max="1277" width="7.109375" style="429" customWidth="1"/>
    <col min="1278" max="1278" width="41.6640625" style="429" customWidth="1"/>
    <col min="1279" max="1279" width="7.6640625" style="429" customWidth="1"/>
    <col min="1280" max="1280" width="11" style="429" customWidth="1"/>
    <col min="1281" max="1281" width="9.6640625" style="429" customWidth="1"/>
    <col min="1282" max="1282" width="14.6640625" style="429" customWidth="1"/>
    <col min="1283" max="1283" width="0.6640625" style="429" customWidth="1"/>
    <col min="1284" max="1284" width="10.109375" style="429" customWidth="1"/>
    <col min="1285" max="1286" width="11.44140625" style="429" customWidth="1"/>
    <col min="1287" max="1287" width="12.88671875" style="429" customWidth="1"/>
    <col min="1288" max="1288" width="34.33203125" style="429" customWidth="1"/>
    <col min="1289" max="1289" width="14" style="429" bestFit="1" customWidth="1"/>
    <col min="1290" max="1291" width="9.109375" style="429"/>
    <col min="1292" max="1292" width="10.44140625" style="429" bestFit="1" customWidth="1"/>
    <col min="1293" max="1532" width="9.109375" style="429"/>
    <col min="1533" max="1533" width="7.109375" style="429" customWidth="1"/>
    <col min="1534" max="1534" width="41.6640625" style="429" customWidth="1"/>
    <col min="1535" max="1535" width="7.6640625" style="429" customWidth="1"/>
    <col min="1536" max="1536" width="11" style="429" customWidth="1"/>
    <col min="1537" max="1537" width="9.6640625" style="429" customWidth="1"/>
    <col min="1538" max="1538" width="14.6640625" style="429" customWidth="1"/>
    <col min="1539" max="1539" width="0.6640625" style="429" customWidth="1"/>
    <col min="1540" max="1540" width="10.109375" style="429" customWidth="1"/>
    <col min="1541" max="1542" width="11.44140625" style="429" customWidth="1"/>
    <col min="1543" max="1543" width="12.88671875" style="429" customWidth="1"/>
    <col min="1544" max="1544" width="34.33203125" style="429" customWidth="1"/>
    <col min="1545" max="1545" width="14" style="429" bestFit="1" customWidth="1"/>
    <col min="1546" max="1547" width="9.109375" style="429"/>
    <col min="1548" max="1548" width="10.44140625" style="429" bestFit="1" customWidth="1"/>
    <col min="1549" max="1788" width="9.109375" style="429"/>
    <col min="1789" max="1789" width="7.109375" style="429" customWidth="1"/>
    <col min="1790" max="1790" width="41.6640625" style="429" customWidth="1"/>
    <col min="1791" max="1791" width="7.6640625" style="429" customWidth="1"/>
    <col min="1792" max="1792" width="11" style="429" customWidth="1"/>
    <col min="1793" max="1793" width="9.6640625" style="429" customWidth="1"/>
    <col min="1794" max="1794" width="14.6640625" style="429" customWidth="1"/>
    <col min="1795" max="1795" width="0.6640625" style="429" customWidth="1"/>
    <col min="1796" max="1796" width="10.109375" style="429" customWidth="1"/>
    <col min="1797" max="1798" width="11.44140625" style="429" customWidth="1"/>
    <col min="1799" max="1799" width="12.88671875" style="429" customWidth="1"/>
    <col min="1800" max="1800" width="34.33203125" style="429" customWidth="1"/>
    <col min="1801" max="1801" width="14" style="429" bestFit="1" customWidth="1"/>
    <col min="1802" max="1803" width="9.109375" style="429"/>
    <col min="1804" max="1804" width="10.44140625" style="429" bestFit="1" customWidth="1"/>
    <col min="1805" max="2044" width="9.109375" style="429"/>
    <col min="2045" max="2045" width="7.109375" style="429" customWidth="1"/>
    <col min="2046" max="2046" width="41.6640625" style="429" customWidth="1"/>
    <col min="2047" max="2047" width="7.6640625" style="429" customWidth="1"/>
    <col min="2048" max="2048" width="11" style="429" customWidth="1"/>
    <col min="2049" max="2049" width="9.6640625" style="429" customWidth="1"/>
    <col min="2050" max="2050" width="14.6640625" style="429" customWidth="1"/>
    <col min="2051" max="2051" width="0.6640625" style="429" customWidth="1"/>
    <col min="2052" max="2052" width="10.109375" style="429" customWidth="1"/>
    <col min="2053" max="2054" width="11.44140625" style="429" customWidth="1"/>
    <col min="2055" max="2055" width="12.88671875" style="429" customWidth="1"/>
    <col min="2056" max="2056" width="34.33203125" style="429" customWidth="1"/>
    <col min="2057" max="2057" width="14" style="429" bestFit="1" customWidth="1"/>
    <col min="2058" max="2059" width="9.109375" style="429"/>
    <col min="2060" max="2060" width="10.44140625" style="429" bestFit="1" customWidth="1"/>
    <col min="2061" max="2300" width="9.109375" style="429"/>
    <col min="2301" max="2301" width="7.109375" style="429" customWidth="1"/>
    <col min="2302" max="2302" width="41.6640625" style="429" customWidth="1"/>
    <col min="2303" max="2303" width="7.6640625" style="429" customWidth="1"/>
    <col min="2304" max="2304" width="11" style="429" customWidth="1"/>
    <col min="2305" max="2305" width="9.6640625" style="429" customWidth="1"/>
    <col min="2306" max="2306" width="14.6640625" style="429" customWidth="1"/>
    <col min="2307" max="2307" width="0.6640625" style="429" customWidth="1"/>
    <col min="2308" max="2308" width="10.109375" style="429" customWidth="1"/>
    <col min="2309" max="2310" width="11.44140625" style="429" customWidth="1"/>
    <col min="2311" max="2311" width="12.88671875" style="429" customWidth="1"/>
    <col min="2312" max="2312" width="34.33203125" style="429" customWidth="1"/>
    <col min="2313" max="2313" width="14" style="429" bestFit="1" customWidth="1"/>
    <col min="2314" max="2315" width="9.109375" style="429"/>
    <col min="2316" max="2316" width="10.44140625" style="429" bestFit="1" customWidth="1"/>
    <col min="2317" max="2556" width="9.109375" style="429"/>
    <col min="2557" max="2557" width="7.109375" style="429" customWidth="1"/>
    <col min="2558" max="2558" width="41.6640625" style="429" customWidth="1"/>
    <col min="2559" max="2559" width="7.6640625" style="429" customWidth="1"/>
    <col min="2560" max="2560" width="11" style="429" customWidth="1"/>
    <col min="2561" max="2561" width="9.6640625" style="429" customWidth="1"/>
    <col min="2562" max="2562" width="14.6640625" style="429" customWidth="1"/>
    <col min="2563" max="2563" width="0.6640625" style="429" customWidth="1"/>
    <col min="2564" max="2564" width="10.109375" style="429" customWidth="1"/>
    <col min="2565" max="2566" width="11.44140625" style="429" customWidth="1"/>
    <col min="2567" max="2567" width="12.88671875" style="429" customWidth="1"/>
    <col min="2568" max="2568" width="34.33203125" style="429" customWidth="1"/>
    <col min="2569" max="2569" width="14" style="429" bestFit="1" customWidth="1"/>
    <col min="2570" max="2571" width="9.109375" style="429"/>
    <col min="2572" max="2572" width="10.44140625" style="429" bestFit="1" customWidth="1"/>
    <col min="2573" max="2812" width="9.109375" style="429"/>
    <col min="2813" max="2813" width="7.109375" style="429" customWidth="1"/>
    <col min="2814" max="2814" width="41.6640625" style="429" customWidth="1"/>
    <col min="2815" max="2815" width="7.6640625" style="429" customWidth="1"/>
    <col min="2816" max="2816" width="11" style="429" customWidth="1"/>
    <col min="2817" max="2817" width="9.6640625" style="429" customWidth="1"/>
    <col min="2818" max="2818" width="14.6640625" style="429" customWidth="1"/>
    <col min="2819" max="2819" width="0.6640625" style="429" customWidth="1"/>
    <col min="2820" max="2820" width="10.109375" style="429" customWidth="1"/>
    <col min="2821" max="2822" width="11.44140625" style="429" customWidth="1"/>
    <col min="2823" max="2823" width="12.88671875" style="429" customWidth="1"/>
    <col min="2824" max="2824" width="34.33203125" style="429" customWidth="1"/>
    <col min="2825" max="2825" width="14" style="429" bestFit="1" customWidth="1"/>
    <col min="2826" max="2827" width="9.109375" style="429"/>
    <col min="2828" max="2828" width="10.44140625" style="429" bestFit="1" customWidth="1"/>
    <col min="2829" max="3068" width="9.109375" style="429"/>
    <col min="3069" max="3069" width="7.109375" style="429" customWidth="1"/>
    <col min="3070" max="3070" width="41.6640625" style="429" customWidth="1"/>
    <col min="3071" max="3071" width="7.6640625" style="429" customWidth="1"/>
    <col min="3072" max="3072" width="11" style="429" customWidth="1"/>
    <col min="3073" max="3073" width="9.6640625" style="429" customWidth="1"/>
    <col min="3074" max="3074" width="14.6640625" style="429" customWidth="1"/>
    <col min="3075" max="3075" width="0.6640625" style="429" customWidth="1"/>
    <col min="3076" max="3076" width="10.109375" style="429" customWidth="1"/>
    <col min="3077" max="3078" width="11.44140625" style="429" customWidth="1"/>
    <col min="3079" max="3079" width="12.88671875" style="429" customWidth="1"/>
    <col min="3080" max="3080" width="34.33203125" style="429" customWidth="1"/>
    <col min="3081" max="3081" width="14" style="429" bestFit="1" customWidth="1"/>
    <col min="3082" max="3083" width="9.109375" style="429"/>
    <col min="3084" max="3084" width="10.44140625" style="429" bestFit="1" customWidth="1"/>
    <col min="3085" max="3324" width="9.109375" style="429"/>
    <col min="3325" max="3325" width="7.109375" style="429" customWidth="1"/>
    <col min="3326" max="3326" width="41.6640625" style="429" customWidth="1"/>
    <col min="3327" max="3327" width="7.6640625" style="429" customWidth="1"/>
    <col min="3328" max="3328" width="11" style="429" customWidth="1"/>
    <col min="3329" max="3329" width="9.6640625" style="429" customWidth="1"/>
    <col min="3330" max="3330" width="14.6640625" style="429" customWidth="1"/>
    <col min="3331" max="3331" width="0.6640625" style="429" customWidth="1"/>
    <col min="3332" max="3332" width="10.109375" style="429" customWidth="1"/>
    <col min="3333" max="3334" width="11.44140625" style="429" customWidth="1"/>
    <col min="3335" max="3335" width="12.88671875" style="429" customWidth="1"/>
    <col min="3336" max="3336" width="34.33203125" style="429" customWidth="1"/>
    <col min="3337" max="3337" width="14" style="429" bestFit="1" customWidth="1"/>
    <col min="3338" max="3339" width="9.109375" style="429"/>
    <col min="3340" max="3340" width="10.44140625" style="429" bestFit="1" customWidth="1"/>
    <col min="3341" max="3580" width="9.109375" style="429"/>
    <col min="3581" max="3581" width="7.109375" style="429" customWidth="1"/>
    <col min="3582" max="3582" width="41.6640625" style="429" customWidth="1"/>
    <col min="3583" max="3583" width="7.6640625" style="429" customWidth="1"/>
    <col min="3584" max="3584" width="11" style="429" customWidth="1"/>
    <col min="3585" max="3585" width="9.6640625" style="429" customWidth="1"/>
    <col min="3586" max="3586" width="14.6640625" style="429" customWidth="1"/>
    <col min="3587" max="3587" width="0.6640625" style="429" customWidth="1"/>
    <col min="3588" max="3588" width="10.109375" style="429" customWidth="1"/>
    <col min="3589" max="3590" width="11.44140625" style="429" customWidth="1"/>
    <col min="3591" max="3591" width="12.88671875" style="429" customWidth="1"/>
    <col min="3592" max="3592" width="34.33203125" style="429" customWidth="1"/>
    <col min="3593" max="3593" width="14" style="429" bestFit="1" customWidth="1"/>
    <col min="3594" max="3595" width="9.109375" style="429"/>
    <col min="3596" max="3596" width="10.44140625" style="429" bestFit="1" customWidth="1"/>
    <col min="3597" max="3836" width="9.109375" style="429"/>
    <col min="3837" max="3837" width="7.109375" style="429" customWidth="1"/>
    <col min="3838" max="3838" width="41.6640625" style="429" customWidth="1"/>
    <col min="3839" max="3839" width="7.6640625" style="429" customWidth="1"/>
    <col min="3840" max="3840" width="11" style="429" customWidth="1"/>
    <col min="3841" max="3841" width="9.6640625" style="429" customWidth="1"/>
    <col min="3842" max="3842" width="14.6640625" style="429" customWidth="1"/>
    <col min="3843" max="3843" width="0.6640625" style="429" customWidth="1"/>
    <col min="3844" max="3844" width="10.109375" style="429" customWidth="1"/>
    <col min="3845" max="3846" width="11.44140625" style="429" customWidth="1"/>
    <col min="3847" max="3847" width="12.88671875" style="429" customWidth="1"/>
    <col min="3848" max="3848" width="34.33203125" style="429" customWidth="1"/>
    <col min="3849" max="3849" width="14" style="429" bestFit="1" customWidth="1"/>
    <col min="3850" max="3851" width="9.109375" style="429"/>
    <col min="3852" max="3852" width="10.44140625" style="429" bestFit="1" customWidth="1"/>
    <col min="3853" max="4092" width="9.109375" style="429"/>
    <col min="4093" max="4093" width="7.109375" style="429" customWidth="1"/>
    <col min="4094" max="4094" width="41.6640625" style="429" customWidth="1"/>
    <col min="4095" max="4095" width="7.6640625" style="429" customWidth="1"/>
    <col min="4096" max="4096" width="11" style="429" customWidth="1"/>
    <col min="4097" max="4097" width="9.6640625" style="429" customWidth="1"/>
    <col min="4098" max="4098" width="14.6640625" style="429" customWidth="1"/>
    <col min="4099" max="4099" width="0.6640625" style="429" customWidth="1"/>
    <col min="4100" max="4100" width="10.109375" style="429" customWidth="1"/>
    <col min="4101" max="4102" width="11.44140625" style="429" customWidth="1"/>
    <col min="4103" max="4103" width="12.88671875" style="429" customWidth="1"/>
    <col min="4104" max="4104" width="34.33203125" style="429" customWidth="1"/>
    <col min="4105" max="4105" width="14" style="429" bestFit="1" customWidth="1"/>
    <col min="4106" max="4107" width="9.109375" style="429"/>
    <col min="4108" max="4108" width="10.44140625" style="429" bestFit="1" customWidth="1"/>
    <col min="4109" max="4348" width="9.109375" style="429"/>
    <col min="4349" max="4349" width="7.109375" style="429" customWidth="1"/>
    <col min="4350" max="4350" width="41.6640625" style="429" customWidth="1"/>
    <col min="4351" max="4351" width="7.6640625" style="429" customWidth="1"/>
    <col min="4352" max="4352" width="11" style="429" customWidth="1"/>
    <col min="4353" max="4353" width="9.6640625" style="429" customWidth="1"/>
    <col min="4354" max="4354" width="14.6640625" style="429" customWidth="1"/>
    <col min="4355" max="4355" width="0.6640625" style="429" customWidth="1"/>
    <col min="4356" max="4356" width="10.109375" style="429" customWidth="1"/>
    <col min="4357" max="4358" width="11.44140625" style="429" customWidth="1"/>
    <col min="4359" max="4359" width="12.88671875" style="429" customWidth="1"/>
    <col min="4360" max="4360" width="34.33203125" style="429" customWidth="1"/>
    <col min="4361" max="4361" width="14" style="429" bestFit="1" customWidth="1"/>
    <col min="4362" max="4363" width="9.109375" style="429"/>
    <col min="4364" max="4364" width="10.44140625" style="429" bestFit="1" customWidth="1"/>
    <col min="4365" max="4604" width="9.109375" style="429"/>
    <col min="4605" max="4605" width="7.109375" style="429" customWidth="1"/>
    <col min="4606" max="4606" width="41.6640625" style="429" customWidth="1"/>
    <col min="4607" max="4607" width="7.6640625" style="429" customWidth="1"/>
    <col min="4608" max="4608" width="11" style="429" customWidth="1"/>
    <col min="4609" max="4609" width="9.6640625" style="429" customWidth="1"/>
    <col min="4610" max="4610" width="14.6640625" style="429" customWidth="1"/>
    <col min="4611" max="4611" width="0.6640625" style="429" customWidth="1"/>
    <col min="4612" max="4612" width="10.109375" style="429" customWidth="1"/>
    <col min="4613" max="4614" width="11.44140625" style="429" customWidth="1"/>
    <col min="4615" max="4615" width="12.88671875" style="429" customWidth="1"/>
    <col min="4616" max="4616" width="34.33203125" style="429" customWidth="1"/>
    <col min="4617" max="4617" width="14" style="429" bestFit="1" customWidth="1"/>
    <col min="4618" max="4619" width="9.109375" style="429"/>
    <col min="4620" max="4620" width="10.44140625" style="429" bestFit="1" customWidth="1"/>
    <col min="4621" max="4860" width="9.109375" style="429"/>
    <col min="4861" max="4861" width="7.109375" style="429" customWidth="1"/>
    <col min="4862" max="4862" width="41.6640625" style="429" customWidth="1"/>
    <col min="4863" max="4863" width="7.6640625" style="429" customWidth="1"/>
    <col min="4864" max="4864" width="11" style="429" customWidth="1"/>
    <col min="4865" max="4865" width="9.6640625" style="429" customWidth="1"/>
    <col min="4866" max="4866" width="14.6640625" style="429" customWidth="1"/>
    <col min="4867" max="4867" width="0.6640625" style="429" customWidth="1"/>
    <col min="4868" max="4868" width="10.109375" style="429" customWidth="1"/>
    <col min="4869" max="4870" width="11.44140625" style="429" customWidth="1"/>
    <col min="4871" max="4871" width="12.88671875" style="429" customWidth="1"/>
    <col min="4872" max="4872" width="34.33203125" style="429" customWidth="1"/>
    <col min="4873" max="4873" width="14" style="429" bestFit="1" customWidth="1"/>
    <col min="4874" max="4875" width="9.109375" style="429"/>
    <col min="4876" max="4876" width="10.44140625" style="429" bestFit="1" customWidth="1"/>
    <col min="4877" max="5116" width="9.109375" style="429"/>
    <col min="5117" max="5117" width="7.109375" style="429" customWidth="1"/>
    <col min="5118" max="5118" width="41.6640625" style="429" customWidth="1"/>
    <col min="5119" max="5119" width="7.6640625" style="429" customWidth="1"/>
    <col min="5120" max="5120" width="11" style="429" customWidth="1"/>
    <col min="5121" max="5121" width="9.6640625" style="429" customWidth="1"/>
    <col min="5122" max="5122" width="14.6640625" style="429" customWidth="1"/>
    <col min="5123" max="5123" width="0.6640625" style="429" customWidth="1"/>
    <col min="5124" max="5124" width="10.109375" style="429" customWidth="1"/>
    <col min="5125" max="5126" width="11.44140625" style="429" customWidth="1"/>
    <col min="5127" max="5127" width="12.88671875" style="429" customWidth="1"/>
    <col min="5128" max="5128" width="34.33203125" style="429" customWidth="1"/>
    <col min="5129" max="5129" width="14" style="429" bestFit="1" customWidth="1"/>
    <col min="5130" max="5131" width="9.109375" style="429"/>
    <col min="5132" max="5132" width="10.44140625" style="429" bestFit="1" customWidth="1"/>
    <col min="5133" max="5372" width="9.109375" style="429"/>
    <col min="5373" max="5373" width="7.109375" style="429" customWidth="1"/>
    <col min="5374" max="5374" width="41.6640625" style="429" customWidth="1"/>
    <col min="5375" max="5375" width="7.6640625" style="429" customWidth="1"/>
    <col min="5376" max="5376" width="11" style="429" customWidth="1"/>
    <col min="5377" max="5377" width="9.6640625" style="429" customWidth="1"/>
    <col min="5378" max="5378" width="14.6640625" style="429" customWidth="1"/>
    <col min="5379" max="5379" width="0.6640625" style="429" customWidth="1"/>
    <col min="5380" max="5380" width="10.109375" style="429" customWidth="1"/>
    <col min="5381" max="5382" width="11.44140625" style="429" customWidth="1"/>
    <col min="5383" max="5383" width="12.88671875" style="429" customWidth="1"/>
    <col min="5384" max="5384" width="34.33203125" style="429" customWidth="1"/>
    <col min="5385" max="5385" width="14" style="429" bestFit="1" customWidth="1"/>
    <col min="5386" max="5387" width="9.109375" style="429"/>
    <col min="5388" max="5388" width="10.44140625" style="429" bestFit="1" customWidth="1"/>
    <col min="5389" max="5628" width="9.109375" style="429"/>
    <col min="5629" max="5629" width="7.109375" style="429" customWidth="1"/>
    <col min="5630" max="5630" width="41.6640625" style="429" customWidth="1"/>
    <col min="5631" max="5631" width="7.6640625" style="429" customWidth="1"/>
    <col min="5632" max="5632" width="11" style="429" customWidth="1"/>
    <col min="5633" max="5633" width="9.6640625" style="429" customWidth="1"/>
    <col min="5634" max="5634" width="14.6640625" style="429" customWidth="1"/>
    <col min="5635" max="5635" width="0.6640625" style="429" customWidth="1"/>
    <col min="5636" max="5636" width="10.109375" style="429" customWidth="1"/>
    <col min="5637" max="5638" width="11.44140625" style="429" customWidth="1"/>
    <col min="5639" max="5639" width="12.88671875" style="429" customWidth="1"/>
    <col min="5640" max="5640" width="34.33203125" style="429" customWidth="1"/>
    <col min="5641" max="5641" width="14" style="429" bestFit="1" customWidth="1"/>
    <col min="5642" max="5643" width="9.109375" style="429"/>
    <col min="5644" max="5644" width="10.44140625" style="429" bestFit="1" customWidth="1"/>
    <col min="5645" max="5884" width="9.109375" style="429"/>
    <col min="5885" max="5885" width="7.109375" style="429" customWidth="1"/>
    <col min="5886" max="5886" width="41.6640625" style="429" customWidth="1"/>
    <col min="5887" max="5887" width="7.6640625" style="429" customWidth="1"/>
    <col min="5888" max="5888" width="11" style="429" customWidth="1"/>
    <col min="5889" max="5889" width="9.6640625" style="429" customWidth="1"/>
    <col min="5890" max="5890" width="14.6640625" style="429" customWidth="1"/>
    <col min="5891" max="5891" width="0.6640625" style="429" customWidth="1"/>
    <col min="5892" max="5892" width="10.109375" style="429" customWidth="1"/>
    <col min="5893" max="5894" width="11.44140625" style="429" customWidth="1"/>
    <col min="5895" max="5895" width="12.88671875" style="429" customWidth="1"/>
    <col min="5896" max="5896" width="34.33203125" style="429" customWidth="1"/>
    <col min="5897" max="5897" width="14" style="429" bestFit="1" customWidth="1"/>
    <col min="5898" max="5899" width="9.109375" style="429"/>
    <col min="5900" max="5900" width="10.44140625" style="429" bestFit="1" customWidth="1"/>
    <col min="5901" max="6140" width="9.109375" style="429"/>
    <col min="6141" max="6141" width="7.109375" style="429" customWidth="1"/>
    <col min="6142" max="6142" width="41.6640625" style="429" customWidth="1"/>
    <col min="6143" max="6143" width="7.6640625" style="429" customWidth="1"/>
    <col min="6144" max="6144" width="11" style="429" customWidth="1"/>
    <col min="6145" max="6145" width="9.6640625" style="429" customWidth="1"/>
    <col min="6146" max="6146" width="14.6640625" style="429" customWidth="1"/>
    <col min="6147" max="6147" width="0.6640625" style="429" customWidth="1"/>
    <col min="6148" max="6148" width="10.109375" style="429" customWidth="1"/>
    <col min="6149" max="6150" width="11.44140625" style="429" customWidth="1"/>
    <col min="6151" max="6151" width="12.88671875" style="429" customWidth="1"/>
    <col min="6152" max="6152" width="34.33203125" style="429" customWidth="1"/>
    <col min="6153" max="6153" width="14" style="429" bestFit="1" customWidth="1"/>
    <col min="6154" max="6155" width="9.109375" style="429"/>
    <col min="6156" max="6156" width="10.44140625" style="429" bestFit="1" customWidth="1"/>
    <col min="6157" max="6396" width="9.109375" style="429"/>
    <col min="6397" max="6397" width="7.109375" style="429" customWidth="1"/>
    <col min="6398" max="6398" width="41.6640625" style="429" customWidth="1"/>
    <col min="6399" max="6399" width="7.6640625" style="429" customWidth="1"/>
    <col min="6400" max="6400" width="11" style="429" customWidth="1"/>
    <col min="6401" max="6401" width="9.6640625" style="429" customWidth="1"/>
    <col min="6402" max="6402" width="14.6640625" style="429" customWidth="1"/>
    <col min="6403" max="6403" width="0.6640625" style="429" customWidth="1"/>
    <col min="6404" max="6404" width="10.109375" style="429" customWidth="1"/>
    <col min="6405" max="6406" width="11.44140625" style="429" customWidth="1"/>
    <col min="6407" max="6407" width="12.88671875" style="429" customWidth="1"/>
    <col min="6408" max="6408" width="34.33203125" style="429" customWidth="1"/>
    <col min="6409" max="6409" width="14" style="429" bestFit="1" customWidth="1"/>
    <col min="6410" max="6411" width="9.109375" style="429"/>
    <col min="6412" max="6412" width="10.44140625" style="429" bestFit="1" customWidth="1"/>
    <col min="6413" max="6652" width="9.109375" style="429"/>
    <col min="6653" max="6653" width="7.109375" style="429" customWidth="1"/>
    <col min="6654" max="6654" width="41.6640625" style="429" customWidth="1"/>
    <col min="6655" max="6655" width="7.6640625" style="429" customWidth="1"/>
    <col min="6656" max="6656" width="11" style="429" customWidth="1"/>
    <col min="6657" max="6657" width="9.6640625" style="429" customWidth="1"/>
    <col min="6658" max="6658" width="14.6640625" style="429" customWidth="1"/>
    <col min="6659" max="6659" width="0.6640625" style="429" customWidth="1"/>
    <col min="6660" max="6660" width="10.109375" style="429" customWidth="1"/>
    <col min="6661" max="6662" width="11.44140625" style="429" customWidth="1"/>
    <col min="6663" max="6663" width="12.88671875" style="429" customWidth="1"/>
    <col min="6664" max="6664" width="34.33203125" style="429" customWidth="1"/>
    <col min="6665" max="6665" width="14" style="429" bestFit="1" customWidth="1"/>
    <col min="6666" max="6667" width="9.109375" style="429"/>
    <col min="6668" max="6668" width="10.44140625" style="429" bestFit="1" customWidth="1"/>
    <col min="6669" max="6908" width="9.109375" style="429"/>
    <col min="6909" max="6909" width="7.109375" style="429" customWidth="1"/>
    <col min="6910" max="6910" width="41.6640625" style="429" customWidth="1"/>
    <col min="6911" max="6911" width="7.6640625" style="429" customWidth="1"/>
    <col min="6912" max="6912" width="11" style="429" customWidth="1"/>
    <col min="6913" max="6913" width="9.6640625" style="429" customWidth="1"/>
    <col min="6914" max="6914" width="14.6640625" style="429" customWidth="1"/>
    <col min="6915" max="6915" width="0.6640625" style="429" customWidth="1"/>
    <col min="6916" max="6916" width="10.109375" style="429" customWidth="1"/>
    <col min="6917" max="6918" width="11.44140625" style="429" customWidth="1"/>
    <col min="6919" max="6919" width="12.88671875" style="429" customWidth="1"/>
    <col min="6920" max="6920" width="34.33203125" style="429" customWidth="1"/>
    <col min="6921" max="6921" width="14" style="429" bestFit="1" customWidth="1"/>
    <col min="6922" max="6923" width="9.109375" style="429"/>
    <col min="6924" max="6924" width="10.44140625" style="429" bestFit="1" customWidth="1"/>
    <col min="6925" max="7164" width="9.109375" style="429"/>
    <col min="7165" max="7165" width="7.109375" style="429" customWidth="1"/>
    <col min="7166" max="7166" width="41.6640625" style="429" customWidth="1"/>
    <col min="7167" max="7167" width="7.6640625" style="429" customWidth="1"/>
    <col min="7168" max="7168" width="11" style="429" customWidth="1"/>
    <col min="7169" max="7169" width="9.6640625" style="429" customWidth="1"/>
    <col min="7170" max="7170" width="14.6640625" style="429" customWidth="1"/>
    <col min="7171" max="7171" width="0.6640625" style="429" customWidth="1"/>
    <col min="7172" max="7172" width="10.109375" style="429" customWidth="1"/>
    <col min="7173" max="7174" width="11.44140625" style="429" customWidth="1"/>
    <col min="7175" max="7175" width="12.88671875" style="429" customWidth="1"/>
    <col min="7176" max="7176" width="34.33203125" style="429" customWidth="1"/>
    <col min="7177" max="7177" width="14" style="429" bestFit="1" customWidth="1"/>
    <col min="7178" max="7179" width="9.109375" style="429"/>
    <col min="7180" max="7180" width="10.44140625" style="429" bestFit="1" customWidth="1"/>
    <col min="7181" max="7420" width="9.109375" style="429"/>
    <col min="7421" max="7421" width="7.109375" style="429" customWidth="1"/>
    <col min="7422" max="7422" width="41.6640625" style="429" customWidth="1"/>
    <col min="7423" max="7423" width="7.6640625" style="429" customWidth="1"/>
    <col min="7424" max="7424" width="11" style="429" customWidth="1"/>
    <col min="7425" max="7425" width="9.6640625" style="429" customWidth="1"/>
    <col min="7426" max="7426" width="14.6640625" style="429" customWidth="1"/>
    <col min="7427" max="7427" width="0.6640625" style="429" customWidth="1"/>
    <col min="7428" max="7428" width="10.109375" style="429" customWidth="1"/>
    <col min="7429" max="7430" width="11.44140625" style="429" customWidth="1"/>
    <col min="7431" max="7431" width="12.88671875" style="429" customWidth="1"/>
    <col min="7432" max="7432" width="34.33203125" style="429" customWidth="1"/>
    <col min="7433" max="7433" width="14" style="429" bestFit="1" customWidth="1"/>
    <col min="7434" max="7435" width="9.109375" style="429"/>
    <col min="7436" max="7436" width="10.44140625" style="429" bestFit="1" customWidth="1"/>
    <col min="7437" max="7676" width="9.109375" style="429"/>
    <col min="7677" max="7677" width="7.109375" style="429" customWidth="1"/>
    <col min="7678" max="7678" width="41.6640625" style="429" customWidth="1"/>
    <col min="7679" max="7679" width="7.6640625" style="429" customWidth="1"/>
    <col min="7680" max="7680" width="11" style="429" customWidth="1"/>
    <col min="7681" max="7681" width="9.6640625" style="429" customWidth="1"/>
    <col min="7682" max="7682" width="14.6640625" style="429" customWidth="1"/>
    <col min="7683" max="7683" width="0.6640625" style="429" customWidth="1"/>
    <col min="7684" max="7684" width="10.109375" style="429" customWidth="1"/>
    <col min="7685" max="7686" width="11.44140625" style="429" customWidth="1"/>
    <col min="7687" max="7687" width="12.88671875" style="429" customWidth="1"/>
    <col min="7688" max="7688" width="34.33203125" style="429" customWidth="1"/>
    <col min="7689" max="7689" width="14" style="429" bestFit="1" customWidth="1"/>
    <col min="7690" max="7691" width="9.109375" style="429"/>
    <col min="7692" max="7692" width="10.44140625" style="429" bestFit="1" customWidth="1"/>
    <col min="7693" max="7932" width="9.109375" style="429"/>
    <col min="7933" max="7933" width="7.109375" style="429" customWidth="1"/>
    <col min="7934" max="7934" width="41.6640625" style="429" customWidth="1"/>
    <col min="7935" max="7935" width="7.6640625" style="429" customWidth="1"/>
    <col min="7936" max="7936" width="11" style="429" customWidth="1"/>
    <col min="7937" max="7937" width="9.6640625" style="429" customWidth="1"/>
    <col min="7938" max="7938" width="14.6640625" style="429" customWidth="1"/>
    <col min="7939" max="7939" width="0.6640625" style="429" customWidth="1"/>
    <col min="7940" max="7940" width="10.109375" style="429" customWidth="1"/>
    <col min="7941" max="7942" width="11.44140625" style="429" customWidth="1"/>
    <col min="7943" max="7943" width="12.88671875" style="429" customWidth="1"/>
    <col min="7944" max="7944" width="34.33203125" style="429" customWidth="1"/>
    <col min="7945" max="7945" width="14" style="429" bestFit="1" customWidth="1"/>
    <col min="7946" max="7947" width="9.109375" style="429"/>
    <col min="7948" max="7948" width="10.44140625" style="429" bestFit="1" customWidth="1"/>
    <col min="7949" max="8188" width="9.109375" style="429"/>
    <col min="8189" max="8189" width="7.109375" style="429" customWidth="1"/>
    <col min="8190" max="8190" width="41.6640625" style="429" customWidth="1"/>
    <col min="8191" max="8191" width="7.6640625" style="429" customWidth="1"/>
    <col min="8192" max="8192" width="11" style="429" customWidth="1"/>
    <col min="8193" max="8193" width="9.6640625" style="429" customWidth="1"/>
    <col min="8194" max="8194" width="14.6640625" style="429" customWidth="1"/>
    <col min="8195" max="8195" width="0.6640625" style="429" customWidth="1"/>
    <col min="8196" max="8196" width="10.109375" style="429" customWidth="1"/>
    <col min="8197" max="8198" width="11.44140625" style="429" customWidth="1"/>
    <col min="8199" max="8199" width="12.88671875" style="429" customWidth="1"/>
    <col min="8200" max="8200" width="34.33203125" style="429" customWidth="1"/>
    <col min="8201" max="8201" width="14" style="429" bestFit="1" customWidth="1"/>
    <col min="8202" max="8203" width="9.109375" style="429"/>
    <col min="8204" max="8204" width="10.44140625" style="429" bestFit="1" customWidth="1"/>
    <col min="8205" max="8444" width="9.109375" style="429"/>
    <col min="8445" max="8445" width="7.109375" style="429" customWidth="1"/>
    <col min="8446" max="8446" width="41.6640625" style="429" customWidth="1"/>
    <col min="8447" max="8447" width="7.6640625" style="429" customWidth="1"/>
    <col min="8448" max="8448" width="11" style="429" customWidth="1"/>
    <col min="8449" max="8449" width="9.6640625" style="429" customWidth="1"/>
    <col min="8450" max="8450" width="14.6640625" style="429" customWidth="1"/>
    <col min="8451" max="8451" width="0.6640625" style="429" customWidth="1"/>
    <col min="8452" max="8452" width="10.109375" style="429" customWidth="1"/>
    <col min="8453" max="8454" width="11.44140625" style="429" customWidth="1"/>
    <col min="8455" max="8455" width="12.88671875" style="429" customWidth="1"/>
    <col min="8456" max="8456" width="34.33203125" style="429" customWidth="1"/>
    <col min="8457" max="8457" width="14" style="429" bestFit="1" customWidth="1"/>
    <col min="8458" max="8459" width="9.109375" style="429"/>
    <col min="8460" max="8460" width="10.44140625" style="429" bestFit="1" customWidth="1"/>
    <col min="8461" max="8700" width="9.109375" style="429"/>
    <col min="8701" max="8701" width="7.109375" style="429" customWidth="1"/>
    <col min="8702" max="8702" width="41.6640625" style="429" customWidth="1"/>
    <col min="8703" max="8703" width="7.6640625" style="429" customWidth="1"/>
    <col min="8704" max="8704" width="11" style="429" customWidth="1"/>
    <col min="8705" max="8705" width="9.6640625" style="429" customWidth="1"/>
    <col min="8706" max="8706" width="14.6640625" style="429" customWidth="1"/>
    <col min="8707" max="8707" width="0.6640625" style="429" customWidth="1"/>
    <col min="8708" max="8708" width="10.109375" style="429" customWidth="1"/>
    <col min="8709" max="8710" width="11.44140625" style="429" customWidth="1"/>
    <col min="8711" max="8711" width="12.88671875" style="429" customWidth="1"/>
    <col min="8712" max="8712" width="34.33203125" style="429" customWidth="1"/>
    <col min="8713" max="8713" width="14" style="429" bestFit="1" customWidth="1"/>
    <col min="8714" max="8715" width="9.109375" style="429"/>
    <col min="8716" max="8716" width="10.44140625" style="429" bestFit="1" customWidth="1"/>
    <col min="8717" max="8956" width="9.109375" style="429"/>
    <col min="8957" max="8957" width="7.109375" style="429" customWidth="1"/>
    <col min="8958" max="8958" width="41.6640625" style="429" customWidth="1"/>
    <col min="8959" max="8959" width="7.6640625" style="429" customWidth="1"/>
    <col min="8960" max="8960" width="11" style="429" customWidth="1"/>
    <col min="8961" max="8961" width="9.6640625" style="429" customWidth="1"/>
    <col min="8962" max="8962" width="14.6640625" style="429" customWidth="1"/>
    <col min="8963" max="8963" width="0.6640625" style="429" customWidth="1"/>
    <col min="8964" max="8964" width="10.109375" style="429" customWidth="1"/>
    <col min="8965" max="8966" width="11.44140625" style="429" customWidth="1"/>
    <col min="8967" max="8967" width="12.88671875" style="429" customWidth="1"/>
    <col min="8968" max="8968" width="34.33203125" style="429" customWidth="1"/>
    <col min="8969" max="8969" width="14" style="429" bestFit="1" customWidth="1"/>
    <col min="8970" max="8971" width="9.109375" style="429"/>
    <col min="8972" max="8972" width="10.44140625" style="429" bestFit="1" customWidth="1"/>
    <col min="8973" max="9212" width="9.109375" style="429"/>
    <col min="9213" max="9213" width="7.109375" style="429" customWidth="1"/>
    <col min="9214" max="9214" width="41.6640625" style="429" customWidth="1"/>
    <col min="9215" max="9215" width="7.6640625" style="429" customWidth="1"/>
    <col min="9216" max="9216" width="11" style="429" customWidth="1"/>
    <col min="9217" max="9217" width="9.6640625" style="429" customWidth="1"/>
    <col min="9218" max="9218" width="14.6640625" style="429" customWidth="1"/>
    <col min="9219" max="9219" width="0.6640625" style="429" customWidth="1"/>
    <col min="9220" max="9220" width="10.109375" style="429" customWidth="1"/>
    <col min="9221" max="9222" width="11.44140625" style="429" customWidth="1"/>
    <col min="9223" max="9223" width="12.88671875" style="429" customWidth="1"/>
    <col min="9224" max="9224" width="34.33203125" style="429" customWidth="1"/>
    <col min="9225" max="9225" width="14" style="429" bestFit="1" customWidth="1"/>
    <col min="9226" max="9227" width="9.109375" style="429"/>
    <col min="9228" max="9228" width="10.44140625" style="429" bestFit="1" customWidth="1"/>
    <col min="9229" max="9468" width="9.109375" style="429"/>
    <col min="9469" max="9469" width="7.109375" style="429" customWidth="1"/>
    <col min="9470" max="9470" width="41.6640625" style="429" customWidth="1"/>
    <col min="9471" max="9471" width="7.6640625" style="429" customWidth="1"/>
    <col min="9472" max="9472" width="11" style="429" customWidth="1"/>
    <col min="9473" max="9473" width="9.6640625" style="429" customWidth="1"/>
    <col min="9474" max="9474" width="14.6640625" style="429" customWidth="1"/>
    <col min="9475" max="9475" width="0.6640625" style="429" customWidth="1"/>
    <col min="9476" max="9476" width="10.109375" style="429" customWidth="1"/>
    <col min="9477" max="9478" width="11.44140625" style="429" customWidth="1"/>
    <col min="9479" max="9479" width="12.88671875" style="429" customWidth="1"/>
    <col min="9480" max="9480" width="34.33203125" style="429" customWidth="1"/>
    <col min="9481" max="9481" width="14" style="429" bestFit="1" customWidth="1"/>
    <col min="9482" max="9483" width="9.109375" style="429"/>
    <col min="9484" max="9484" width="10.44140625" style="429" bestFit="1" customWidth="1"/>
    <col min="9485" max="9724" width="9.109375" style="429"/>
    <col min="9725" max="9725" width="7.109375" style="429" customWidth="1"/>
    <col min="9726" max="9726" width="41.6640625" style="429" customWidth="1"/>
    <col min="9727" max="9727" width="7.6640625" style="429" customWidth="1"/>
    <col min="9728" max="9728" width="11" style="429" customWidth="1"/>
    <col min="9729" max="9729" width="9.6640625" style="429" customWidth="1"/>
    <col min="9730" max="9730" width="14.6640625" style="429" customWidth="1"/>
    <col min="9731" max="9731" width="0.6640625" style="429" customWidth="1"/>
    <col min="9732" max="9732" width="10.109375" style="429" customWidth="1"/>
    <col min="9733" max="9734" width="11.44140625" style="429" customWidth="1"/>
    <col min="9735" max="9735" width="12.88671875" style="429" customWidth="1"/>
    <col min="9736" max="9736" width="34.33203125" style="429" customWidth="1"/>
    <col min="9737" max="9737" width="14" style="429" bestFit="1" customWidth="1"/>
    <col min="9738" max="9739" width="9.109375" style="429"/>
    <col min="9740" max="9740" width="10.44140625" style="429" bestFit="1" customWidth="1"/>
    <col min="9741" max="9980" width="9.109375" style="429"/>
    <col min="9981" max="9981" width="7.109375" style="429" customWidth="1"/>
    <col min="9982" max="9982" width="41.6640625" style="429" customWidth="1"/>
    <col min="9983" max="9983" width="7.6640625" style="429" customWidth="1"/>
    <col min="9984" max="9984" width="11" style="429" customWidth="1"/>
    <col min="9985" max="9985" width="9.6640625" style="429" customWidth="1"/>
    <col min="9986" max="9986" width="14.6640625" style="429" customWidth="1"/>
    <col min="9987" max="9987" width="0.6640625" style="429" customWidth="1"/>
    <col min="9988" max="9988" width="10.109375" style="429" customWidth="1"/>
    <col min="9989" max="9990" width="11.44140625" style="429" customWidth="1"/>
    <col min="9991" max="9991" width="12.88671875" style="429" customWidth="1"/>
    <col min="9992" max="9992" width="34.33203125" style="429" customWidth="1"/>
    <col min="9993" max="9993" width="14" style="429" bestFit="1" customWidth="1"/>
    <col min="9994" max="9995" width="9.109375" style="429"/>
    <col min="9996" max="9996" width="10.44140625" style="429" bestFit="1" customWidth="1"/>
    <col min="9997" max="10236" width="9.109375" style="429"/>
    <col min="10237" max="10237" width="7.109375" style="429" customWidth="1"/>
    <col min="10238" max="10238" width="41.6640625" style="429" customWidth="1"/>
    <col min="10239" max="10239" width="7.6640625" style="429" customWidth="1"/>
    <col min="10240" max="10240" width="11" style="429" customWidth="1"/>
    <col min="10241" max="10241" width="9.6640625" style="429" customWidth="1"/>
    <col min="10242" max="10242" width="14.6640625" style="429" customWidth="1"/>
    <col min="10243" max="10243" width="0.6640625" style="429" customWidth="1"/>
    <col min="10244" max="10244" width="10.109375" style="429" customWidth="1"/>
    <col min="10245" max="10246" width="11.44140625" style="429" customWidth="1"/>
    <col min="10247" max="10247" width="12.88671875" style="429" customWidth="1"/>
    <col min="10248" max="10248" width="34.33203125" style="429" customWidth="1"/>
    <col min="10249" max="10249" width="14" style="429" bestFit="1" customWidth="1"/>
    <col min="10250" max="10251" width="9.109375" style="429"/>
    <col min="10252" max="10252" width="10.44140625" style="429" bestFit="1" customWidth="1"/>
    <col min="10253" max="10492" width="9.109375" style="429"/>
    <col min="10493" max="10493" width="7.109375" style="429" customWidth="1"/>
    <col min="10494" max="10494" width="41.6640625" style="429" customWidth="1"/>
    <col min="10495" max="10495" width="7.6640625" style="429" customWidth="1"/>
    <col min="10496" max="10496" width="11" style="429" customWidth="1"/>
    <col min="10497" max="10497" width="9.6640625" style="429" customWidth="1"/>
    <col min="10498" max="10498" width="14.6640625" style="429" customWidth="1"/>
    <col min="10499" max="10499" width="0.6640625" style="429" customWidth="1"/>
    <col min="10500" max="10500" width="10.109375" style="429" customWidth="1"/>
    <col min="10501" max="10502" width="11.44140625" style="429" customWidth="1"/>
    <col min="10503" max="10503" width="12.88671875" style="429" customWidth="1"/>
    <col min="10504" max="10504" width="34.33203125" style="429" customWidth="1"/>
    <col min="10505" max="10505" width="14" style="429" bestFit="1" customWidth="1"/>
    <col min="10506" max="10507" width="9.109375" style="429"/>
    <col min="10508" max="10508" width="10.44140625" style="429" bestFit="1" customWidth="1"/>
    <col min="10509" max="10748" width="9.109375" style="429"/>
    <col min="10749" max="10749" width="7.109375" style="429" customWidth="1"/>
    <col min="10750" max="10750" width="41.6640625" style="429" customWidth="1"/>
    <col min="10751" max="10751" width="7.6640625" style="429" customWidth="1"/>
    <col min="10752" max="10752" width="11" style="429" customWidth="1"/>
    <col min="10753" max="10753" width="9.6640625" style="429" customWidth="1"/>
    <col min="10754" max="10754" width="14.6640625" style="429" customWidth="1"/>
    <col min="10755" max="10755" width="0.6640625" style="429" customWidth="1"/>
    <col min="10756" max="10756" width="10.109375" style="429" customWidth="1"/>
    <col min="10757" max="10758" width="11.44140625" style="429" customWidth="1"/>
    <col min="10759" max="10759" width="12.88671875" style="429" customWidth="1"/>
    <col min="10760" max="10760" width="34.33203125" style="429" customWidth="1"/>
    <col min="10761" max="10761" width="14" style="429" bestFit="1" customWidth="1"/>
    <col min="10762" max="10763" width="9.109375" style="429"/>
    <col min="10764" max="10764" width="10.44140625" style="429" bestFit="1" customWidth="1"/>
    <col min="10765" max="11004" width="9.109375" style="429"/>
    <col min="11005" max="11005" width="7.109375" style="429" customWidth="1"/>
    <col min="11006" max="11006" width="41.6640625" style="429" customWidth="1"/>
    <col min="11007" max="11007" width="7.6640625" style="429" customWidth="1"/>
    <col min="11008" max="11008" width="11" style="429" customWidth="1"/>
    <col min="11009" max="11009" width="9.6640625" style="429" customWidth="1"/>
    <col min="11010" max="11010" width="14.6640625" style="429" customWidth="1"/>
    <col min="11011" max="11011" width="0.6640625" style="429" customWidth="1"/>
    <col min="11012" max="11012" width="10.109375" style="429" customWidth="1"/>
    <col min="11013" max="11014" width="11.44140625" style="429" customWidth="1"/>
    <col min="11015" max="11015" width="12.88671875" style="429" customWidth="1"/>
    <col min="11016" max="11016" width="34.33203125" style="429" customWidth="1"/>
    <col min="11017" max="11017" width="14" style="429" bestFit="1" customWidth="1"/>
    <col min="11018" max="11019" width="9.109375" style="429"/>
    <col min="11020" max="11020" width="10.44140625" style="429" bestFit="1" customWidth="1"/>
    <col min="11021" max="11260" width="9.109375" style="429"/>
    <col min="11261" max="11261" width="7.109375" style="429" customWidth="1"/>
    <col min="11262" max="11262" width="41.6640625" style="429" customWidth="1"/>
    <col min="11263" max="11263" width="7.6640625" style="429" customWidth="1"/>
    <col min="11264" max="11264" width="11" style="429" customWidth="1"/>
    <col min="11265" max="11265" width="9.6640625" style="429" customWidth="1"/>
    <col min="11266" max="11266" width="14.6640625" style="429" customWidth="1"/>
    <col min="11267" max="11267" width="0.6640625" style="429" customWidth="1"/>
    <col min="11268" max="11268" width="10.109375" style="429" customWidth="1"/>
    <col min="11269" max="11270" width="11.44140625" style="429" customWidth="1"/>
    <col min="11271" max="11271" width="12.88671875" style="429" customWidth="1"/>
    <col min="11272" max="11272" width="34.33203125" style="429" customWidth="1"/>
    <col min="11273" max="11273" width="14" style="429" bestFit="1" customWidth="1"/>
    <col min="11274" max="11275" width="9.109375" style="429"/>
    <col min="11276" max="11276" width="10.44140625" style="429" bestFit="1" customWidth="1"/>
    <col min="11277" max="11516" width="9.109375" style="429"/>
    <col min="11517" max="11517" width="7.109375" style="429" customWidth="1"/>
    <col min="11518" max="11518" width="41.6640625" style="429" customWidth="1"/>
    <col min="11519" max="11519" width="7.6640625" style="429" customWidth="1"/>
    <col min="11520" max="11520" width="11" style="429" customWidth="1"/>
    <col min="11521" max="11521" width="9.6640625" style="429" customWidth="1"/>
    <col min="11522" max="11522" width="14.6640625" style="429" customWidth="1"/>
    <col min="11523" max="11523" width="0.6640625" style="429" customWidth="1"/>
    <col min="11524" max="11524" width="10.109375" style="429" customWidth="1"/>
    <col min="11525" max="11526" width="11.44140625" style="429" customWidth="1"/>
    <col min="11527" max="11527" width="12.88671875" style="429" customWidth="1"/>
    <col min="11528" max="11528" width="34.33203125" style="429" customWidth="1"/>
    <col min="11529" max="11529" width="14" style="429" bestFit="1" customWidth="1"/>
    <col min="11530" max="11531" width="9.109375" style="429"/>
    <col min="11532" max="11532" width="10.44140625" style="429" bestFit="1" customWidth="1"/>
    <col min="11533" max="11772" width="9.109375" style="429"/>
    <col min="11773" max="11773" width="7.109375" style="429" customWidth="1"/>
    <col min="11774" max="11774" width="41.6640625" style="429" customWidth="1"/>
    <col min="11775" max="11775" width="7.6640625" style="429" customWidth="1"/>
    <col min="11776" max="11776" width="11" style="429" customWidth="1"/>
    <col min="11777" max="11777" width="9.6640625" style="429" customWidth="1"/>
    <col min="11778" max="11778" width="14.6640625" style="429" customWidth="1"/>
    <col min="11779" max="11779" width="0.6640625" style="429" customWidth="1"/>
    <col min="11780" max="11780" width="10.109375" style="429" customWidth="1"/>
    <col min="11781" max="11782" width="11.44140625" style="429" customWidth="1"/>
    <col min="11783" max="11783" width="12.88671875" style="429" customWidth="1"/>
    <col min="11784" max="11784" width="34.33203125" style="429" customWidth="1"/>
    <col min="11785" max="11785" width="14" style="429" bestFit="1" customWidth="1"/>
    <col min="11786" max="11787" width="9.109375" style="429"/>
    <col min="11788" max="11788" width="10.44140625" style="429" bestFit="1" customWidth="1"/>
    <col min="11789" max="12028" width="9.109375" style="429"/>
    <col min="12029" max="12029" width="7.109375" style="429" customWidth="1"/>
    <col min="12030" max="12030" width="41.6640625" style="429" customWidth="1"/>
    <col min="12031" max="12031" width="7.6640625" style="429" customWidth="1"/>
    <col min="12032" max="12032" width="11" style="429" customWidth="1"/>
    <col min="12033" max="12033" width="9.6640625" style="429" customWidth="1"/>
    <col min="12034" max="12034" width="14.6640625" style="429" customWidth="1"/>
    <col min="12035" max="12035" width="0.6640625" style="429" customWidth="1"/>
    <col min="12036" max="12036" width="10.109375" style="429" customWidth="1"/>
    <col min="12037" max="12038" width="11.44140625" style="429" customWidth="1"/>
    <col min="12039" max="12039" width="12.88671875" style="429" customWidth="1"/>
    <col min="12040" max="12040" width="34.33203125" style="429" customWidth="1"/>
    <col min="12041" max="12041" width="14" style="429" bestFit="1" customWidth="1"/>
    <col min="12042" max="12043" width="9.109375" style="429"/>
    <col min="12044" max="12044" width="10.44140625" style="429" bestFit="1" customWidth="1"/>
    <col min="12045" max="12284" width="9.109375" style="429"/>
    <col min="12285" max="12285" width="7.109375" style="429" customWidth="1"/>
    <col min="12286" max="12286" width="41.6640625" style="429" customWidth="1"/>
    <col min="12287" max="12287" width="7.6640625" style="429" customWidth="1"/>
    <col min="12288" max="12288" width="11" style="429" customWidth="1"/>
    <col min="12289" max="12289" width="9.6640625" style="429" customWidth="1"/>
    <col min="12290" max="12290" width="14.6640625" style="429" customWidth="1"/>
    <col min="12291" max="12291" width="0.6640625" style="429" customWidth="1"/>
    <col min="12292" max="12292" width="10.109375" style="429" customWidth="1"/>
    <col min="12293" max="12294" width="11.44140625" style="429" customWidth="1"/>
    <col min="12295" max="12295" width="12.88671875" style="429" customWidth="1"/>
    <col min="12296" max="12296" width="34.33203125" style="429" customWidth="1"/>
    <col min="12297" max="12297" width="14" style="429" bestFit="1" customWidth="1"/>
    <col min="12298" max="12299" width="9.109375" style="429"/>
    <col min="12300" max="12300" width="10.44140625" style="429" bestFit="1" customWidth="1"/>
    <col min="12301" max="12540" width="9.109375" style="429"/>
    <col min="12541" max="12541" width="7.109375" style="429" customWidth="1"/>
    <col min="12542" max="12542" width="41.6640625" style="429" customWidth="1"/>
    <col min="12543" max="12543" width="7.6640625" style="429" customWidth="1"/>
    <col min="12544" max="12544" width="11" style="429" customWidth="1"/>
    <col min="12545" max="12545" width="9.6640625" style="429" customWidth="1"/>
    <col min="12546" max="12546" width="14.6640625" style="429" customWidth="1"/>
    <col min="12547" max="12547" width="0.6640625" style="429" customWidth="1"/>
    <col min="12548" max="12548" width="10.109375" style="429" customWidth="1"/>
    <col min="12549" max="12550" width="11.44140625" style="429" customWidth="1"/>
    <col min="12551" max="12551" width="12.88671875" style="429" customWidth="1"/>
    <col min="12552" max="12552" width="34.33203125" style="429" customWidth="1"/>
    <col min="12553" max="12553" width="14" style="429" bestFit="1" customWidth="1"/>
    <col min="12554" max="12555" width="9.109375" style="429"/>
    <col min="12556" max="12556" width="10.44140625" style="429" bestFit="1" customWidth="1"/>
    <col min="12557" max="12796" width="9.109375" style="429"/>
    <col min="12797" max="12797" width="7.109375" style="429" customWidth="1"/>
    <col min="12798" max="12798" width="41.6640625" style="429" customWidth="1"/>
    <col min="12799" max="12799" width="7.6640625" style="429" customWidth="1"/>
    <col min="12800" max="12800" width="11" style="429" customWidth="1"/>
    <col min="12801" max="12801" width="9.6640625" style="429" customWidth="1"/>
    <col min="12802" max="12802" width="14.6640625" style="429" customWidth="1"/>
    <col min="12803" max="12803" width="0.6640625" style="429" customWidth="1"/>
    <col min="12804" max="12804" width="10.109375" style="429" customWidth="1"/>
    <col min="12805" max="12806" width="11.44140625" style="429" customWidth="1"/>
    <col min="12807" max="12807" width="12.88671875" style="429" customWidth="1"/>
    <col min="12808" max="12808" width="34.33203125" style="429" customWidth="1"/>
    <col min="12809" max="12809" width="14" style="429" bestFit="1" customWidth="1"/>
    <col min="12810" max="12811" width="9.109375" style="429"/>
    <col min="12812" max="12812" width="10.44140625" style="429" bestFit="1" customWidth="1"/>
    <col min="12813" max="13052" width="9.109375" style="429"/>
    <col min="13053" max="13053" width="7.109375" style="429" customWidth="1"/>
    <col min="13054" max="13054" width="41.6640625" style="429" customWidth="1"/>
    <col min="13055" max="13055" width="7.6640625" style="429" customWidth="1"/>
    <col min="13056" max="13056" width="11" style="429" customWidth="1"/>
    <col min="13057" max="13057" width="9.6640625" style="429" customWidth="1"/>
    <col min="13058" max="13058" width="14.6640625" style="429" customWidth="1"/>
    <col min="13059" max="13059" width="0.6640625" style="429" customWidth="1"/>
    <col min="13060" max="13060" width="10.109375" style="429" customWidth="1"/>
    <col min="13061" max="13062" width="11.44140625" style="429" customWidth="1"/>
    <col min="13063" max="13063" width="12.88671875" style="429" customWidth="1"/>
    <col min="13064" max="13064" width="34.33203125" style="429" customWidth="1"/>
    <col min="13065" max="13065" width="14" style="429" bestFit="1" customWidth="1"/>
    <col min="13066" max="13067" width="9.109375" style="429"/>
    <col min="13068" max="13068" width="10.44140625" style="429" bestFit="1" customWidth="1"/>
    <col min="13069" max="13308" width="9.109375" style="429"/>
    <col min="13309" max="13309" width="7.109375" style="429" customWidth="1"/>
    <col min="13310" max="13310" width="41.6640625" style="429" customWidth="1"/>
    <col min="13311" max="13311" width="7.6640625" style="429" customWidth="1"/>
    <col min="13312" max="13312" width="11" style="429" customWidth="1"/>
    <col min="13313" max="13313" width="9.6640625" style="429" customWidth="1"/>
    <col min="13314" max="13314" width="14.6640625" style="429" customWidth="1"/>
    <col min="13315" max="13315" width="0.6640625" style="429" customWidth="1"/>
    <col min="13316" max="13316" width="10.109375" style="429" customWidth="1"/>
    <col min="13317" max="13318" width="11.44140625" style="429" customWidth="1"/>
    <col min="13319" max="13319" width="12.88671875" style="429" customWidth="1"/>
    <col min="13320" max="13320" width="34.33203125" style="429" customWidth="1"/>
    <col min="13321" max="13321" width="14" style="429" bestFit="1" customWidth="1"/>
    <col min="13322" max="13323" width="9.109375" style="429"/>
    <col min="13324" max="13324" width="10.44140625" style="429" bestFit="1" customWidth="1"/>
    <col min="13325" max="13564" width="9.109375" style="429"/>
    <col min="13565" max="13565" width="7.109375" style="429" customWidth="1"/>
    <col min="13566" max="13566" width="41.6640625" style="429" customWidth="1"/>
    <col min="13567" max="13567" width="7.6640625" style="429" customWidth="1"/>
    <col min="13568" max="13568" width="11" style="429" customWidth="1"/>
    <col min="13569" max="13569" width="9.6640625" style="429" customWidth="1"/>
    <col min="13570" max="13570" width="14.6640625" style="429" customWidth="1"/>
    <col min="13571" max="13571" width="0.6640625" style="429" customWidth="1"/>
    <col min="13572" max="13572" width="10.109375" style="429" customWidth="1"/>
    <col min="13573" max="13574" width="11.44140625" style="429" customWidth="1"/>
    <col min="13575" max="13575" width="12.88671875" style="429" customWidth="1"/>
    <col min="13576" max="13576" width="34.33203125" style="429" customWidth="1"/>
    <col min="13577" max="13577" width="14" style="429" bestFit="1" customWidth="1"/>
    <col min="13578" max="13579" width="9.109375" style="429"/>
    <col min="13580" max="13580" width="10.44140625" style="429" bestFit="1" customWidth="1"/>
    <col min="13581" max="13820" width="9.109375" style="429"/>
    <col min="13821" max="13821" width="7.109375" style="429" customWidth="1"/>
    <col min="13822" max="13822" width="41.6640625" style="429" customWidth="1"/>
    <col min="13823" max="13823" width="7.6640625" style="429" customWidth="1"/>
    <col min="13824" max="13824" width="11" style="429" customWidth="1"/>
    <col min="13825" max="13825" width="9.6640625" style="429" customWidth="1"/>
    <col min="13826" max="13826" width="14.6640625" style="429" customWidth="1"/>
    <col min="13827" max="13827" width="0.6640625" style="429" customWidth="1"/>
    <col min="13828" max="13828" width="10.109375" style="429" customWidth="1"/>
    <col min="13829" max="13830" width="11.44140625" style="429" customWidth="1"/>
    <col min="13831" max="13831" width="12.88671875" style="429" customWidth="1"/>
    <col min="13832" max="13832" width="34.33203125" style="429" customWidth="1"/>
    <col min="13833" max="13833" width="14" style="429" bestFit="1" customWidth="1"/>
    <col min="13834" max="13835" width="9.109375" style="429"/>
    <col min="13836" max="13836" width="10.44140625" style="429" bestFit="1" customWidth="1"/>
    <col min="13837" max="14076" width="9.109375" style="429"/>
    <col min="14077" max="14077" width="7.109375" style="429" customWidth="1"/>
    <col min="14078" max="14078" width="41.6640625" style="429" customWidth="1"/>
    <col min="14079" max="14079" width="7.6640625" style="429" customWidth="1"/>
    <col min="14080" max="14080" width="11" style="429" customWidth="1"/>
    <col min="14081" max="14081" width="9.6640625" style="429" customWidth="1"/>
    <col min="14082" max="14082" width="14.6640625" style="429" customWidth="1"/>
    <col min="14083" max="14083" width="0.6640625" style="429" customWidth="1"/>
    <col min="14084" max="14084" width="10.109375" style="429" customWidth="1"/>
    <col min="14085" max="14086" width="11.44140625" style="429" customWidth="1"/>
    <col min="14087" max="14087" width="12.88671875" style="429" customWidth="1"/>
    <col min="14088" max="14088" width="34.33203125" style="429" customWidth="1"/>
    <col min="14089" max="14089" width="14" style="429" bestFit="1" customWidth="1"/>
    <col min="14090" max="14091" width="9.109375" style="429"/>
    <col min="14092" max="14092" width="10.44140625" style="429" bestFit="1" customWidth="1"/>
    <col min="14093" max="14332" width="9.109375" style="429"/>
    <col min="14333" max="14333" width="7.109375" style="429" customWidth="1"/>
    <col min="14334" max="14334" width="41.6640625" style="429" customWidth="1"/>
    <col min="14335" max="14335" width="7.6640625" style="429" customWidth="1"/>
    <col min="14336" max="14336" width="11" style="429" customWidth="1"/>
    <col min="14337" max="14337" width="9.6640625" style="429" customWidth="1"/>
    <col min="14338" max="14338" width="14.6640625" style="429" customWidth="1"/>
    <col min="14339" max="14339" width="0.6640625" style="429" customWidth="1"/>
    <col min="14340" max="14340" width="10.109375" style="429" customWidth="1"/>
    <col min="14341" max="14342" width="11.44140625" style="429" customWidth="1"/>
    <col min="14343" max="14343" width="12.88671875" style="429" customWidth="1"/>
    <col min="14344" max="14344" width="34.33203125" style="429" customWidth="1"/>
    <col min="14345" max="14345" width="14" style="429" bestFit="1" customWidth="1"/>
    <col min="14346" max="14347" width="9.109375" style="429"/>
    <col min="14348" max="14348" width="10.44140625" style="429" bestFit="1" customWidth="1"/>
    <col min="14349" max="14588" width="9.109375" style="429"/>
    <col min="14589" max="14589" width="7.109375" style="429" customWidth="1"/>
    <col min="14590" max="14590" width="41.6640625" style="429" customWidth="1"/>
    <col min="14591" max="14591" width="7.6640625" style="429" customWidth="1"/>
    <col min="14592" max="14592" width="11" style="429" customWidth="1"/>
    <col min="14593" max="14593" width="9.6640625" style="429" customWidth="1"/>
    <col min="14594" max="14594" width="14.6640625" style="429" customWidth="1"/>
    <col min="14595" max="14595" width="0.6640625" style="429" customWidth="1"/>
    <col min="14596" max="14596" width="10.109375" style="429" customWidth="1"/>
    <col min="14597" max="14598" width="11.44140625" style="429" customWidth="1"/>
    <col min="14599" max="14599" width="12.88671875" style="429" customWidth="1"/>
    <col min="14600" max="14600" width="34.33203125" style="429" customWidth="1"/>
    <col min="14601" max="14601" width="14" style="429" bestFit="1" customWidth="1"/>
    <col min="14602" max="14603" width="9.109375" style="429"/>
    <col min="14604" max="14604" width="10.44140625" style="429" bestFit="1" customWidth="1"/>
    <col min="14605" max="14844" width="9.109375" style="429"/>
    <col min="14845" max="14845" width="7.109375" style="429" customWidth="1"/>
    <col min="14846" max="14846" width="41.6640625" style="429" customWidth="1"/>
    <col min="14847" max="14847" width="7.6640625" style="429" customWidth="1"/>
    <col min="14848" max="14848" width="11" style="429" customWidth="1"/>
    <col min="14849" max="14849" width="9.6640625" style="429" customWidth="1"/>
    <col min="14850" max="14850" width="14.6640625" style="429" customWidth="1"/>
    <col min="14851" max="14851" width="0.6640625" style="429" customWidth="1"/>
    <col min="14852" max="14852" width="10.109375" style="429" customWidth="1"/>
    <col min="14853" max="14854" width="11.44140625" style="429" customWidth="1"/>
    <col min="14855" max="14855" width="12.88671875" style="429" customWidth="1"/>
    <col min="14856" max="14856" width="34.33203125" style="429" customWidth="1"/>
    <col min="14857" max="14857" width="14" style="429" bestFit="1" customWidth="1"/>
    <col min="14858" max="14859" width="9.109375" style="429"/>
    <col min="14860" max="14860" width="10.44140625" style="429" bestFit="1" customWidth="1"/>
    <col min="14861" max="15100" width="9.109375" style="429"/>
    <col min="15101" max="15101" width="7.109375" style="429" customWidth="1"/>
    <col min="15102" max="15102" width="41.6640625" style="429" customWidth="1"/>
    <col min="15103" max="15103" width="7.6640625" style="429" customWidth="1"/>
    <col min="15104" max="15104" width="11" style="429" customWidth="1"/>
    <col min="15105" max="15105" width="9.6640625" style="429" customWidth="1"/>
    <col min="15106" max="15106" width="14.6640625" style="429" customWidth="1"/>
    <col min="15107" max="15107" width="0.6640625" style="429" customWidth="1"/>
    <col min="15108" max="15108" width="10.109375" style="429" customWidth="1"/>
    <col min="15109" max="15110" width="11.44140625" style="429" customWidth="1"/>
    <col min="15111" max="15111" width="12.88671875" style="429" customWidth="1"/>
    <col min="15112" max="15112" width="34.33203125" style="429" customWidth="1"/>
    <col min="15113" max="15113" width="14" style="429" bestFit="1" customWidth="1"/>
    <col min="15114" max="15115" width="9.109375" style="429"/>
    <col min="15116" max="15116" width="10.44140625" style="429" bestFit="1" customWidth="1"/>
    <col min="15117" max="15356" width="9.109375" style="429"/>
    <col min="15357" max="15357" width="7.109375" style="429" customWidth="1"/>
    <col min="15358" max="15358" width="41.6640625" style="429" customWidth="1"/>
    <col min="15359" max="15359" width="7.6640625" style="429" customWidth="1"/>
    <col min="15360" max="15360" width="11" style="429" customWidth="1"/>
    <col min="15361" max="15361" width="9.6640625" style="429" customWidth="1"/>
    <col min="15362" max="15362" width="14.6640625" style="429" customWidth="1"/>
    <col min="15363" max="15363" width="0.6640625" style="429" customWidth="1"/>
    <col min="15364" max="15364" width="10.109375" style="429" customWidth="1"/>
    <col min="15365" max="15366" width="11.44140625" style="429" customWidth="1"/>
    <col min="15367" max="15367" width="12.88671875" style="429" customWidth="1"/>
    <col min="15368" max="15368" width="34.33203125" style="429" customWidth="1"/>
    <col min="15369" max="15369" width="14" style="429" bestFit="1" customWidth="1"/>
    <col min="15370" max="15371" width="9.109375" style="429"/>
    <col min="15372" max="15372" width="10.44140625" style="429" bestFit="1" customWidth="1"/>
    <col min="15373" max="15612" width="9.109375" style="429"/>
    <col min="15613" max="15613" width="7.109375" style="429" customWidth="1"/>
    <col min="15614" max="15614" width="41.6640625" style="429" customWidth="1"/>
    <col min="15615" max="15615" width="7.6640625" style="429" customWidth="1"/>
    <col min="15616" max="15616" width="11" style="429" customWidth="1"/>
    <col min="15617" max="15617" width="9.6640625" style="429" customWidth="1"/>
    <col min="15618" max="15618" width="14.6640625" style="429" customWidth="1"/>
    <col min="15619" max="15619" width="0.6640625" style="429" customWidth="1"/>
    <col min="15620" max="15620" width="10.109375" style="429" customWidth="1"/>
    <col min="15621" max="15622" width="11.44140625" style="429" customWidth="1"/>
    <col min="15623" max="15623" width="12.88671875" style="429" customWidth="1"/>
    <col min="15624" max="15624" width="34.33203125" style="429" customWidth="1"/>
    <col min="15625" max="15625" width="14" style="429" bestFit="1" customWidth="1"/>
    <col min="15626" max="15627" width="9.109375" style="429"/>
    <col min="15628" max="15628" width="10.44140625" style="429" bestFit="1" customWidth="1"/>
    <col min="15629" max="15868" width="9.109375" style="429"/>
    <col min="15869" max="15869" width="7.109375" style="429" customWidth="1"/>
    <col min="15870" max="15870" width="41.6640625" style="429" customWidth="1"/>
    <col min="15871" max="15871" width="7.6640625" style="429" customWidth="1"/>
    <col min="15872" max="15872" width="11" style="429" customWidth="1"/>
    <col min="15873" max="15873" width="9.6640625" style="429" customWidth="1"/>
    <col min="15874" max="15874" width="14.6640625" style="429" customWidth="1"/>
    <col min="15875" max="15875" width="0.6640625" style="429" customWidth="1"/>
    <col min="15876" max="15876" width="10.109375" style="429" customWidth="1"/>
    <col min="15877" max="15878" width="11.44140625" style="429" customWidth="1"/>
    <col min="15879" max="15879" width="12.88671875" style="429" customWidth="1"/>
    <col min="15880" max="15880" width="34.33203125" style="429" customWidth="1"/>
    <col min="15881" max="15881" width="14" style="429" bestFit="1" customWidth="1"/>
    <col min="15882" max="15883" width="9.109375" style="429"/>
    <col min="15884" max="15884" width="10.44140625" style="429" bestFit="1" customWidth="1"/>
    <col min="15885" max="16124" width="9.109375" style="429"/>
    <col min="16125" max="16125" width="7.109375" style="429" customWidth="1"/>
    <col min="16126" max="16126" width="41.6640625" style="429" customWidth="1"/>
    <col min="16127" max="16127" width="7.6640625" style="429" customWidth="1"/>
    <col min="16128" max="16128" width="11" style="429" customWidth="1"/>
    <col min="16129" max="16129" width="9.6640625" style="429" customWidth="1"/>
    <col min="16130" max="16130" width="14.6640625" style="429" customWidth="1"/>
    <col min="16131" max="16131" width="0.6640625" style="429" customWidth="1"/>
    <col min="16132" max="16132" width="10.109375" style="429" customWidth="1"/>
    <col min="16133" max="16134" width="11.44140625" style="429" customWidth="1"/>
    <col min="16135" max="16135" width="12.88671875" style="429" customWidth="1"/>
    <col min="16136" max="16136" width="34.33203125" style="429" customWidth="1"/>
    <col min="16137" max="16137" width="14" style="429" bestFit="1" customWidth="1"/>
    <col min="16138" max="16139" width="9.109375" style="429"/>
    <col min="16140" max="16140" width="10.44140625" style="429" bestFit="1" customWidth="1"/>
    <col min="16141" max="16384" width="9.109375" style="429"/>
  </cols>
  <sheetData>
    <row r="1" spans="1:9" ht="21" customHeight="1" x14ac:dyDescent="0.25">
      <c r="A1" s="1176" t="s">
        <v>314</v>
      </c>
      <c r="B1" s="1177"/>
      <c r="C1" s="1177"/>
      <c r="D1" s="1177"/>
      <c r="E1" s="1177"/>
      <c r="F1" s="1177"/>
      <c r="G1" s="1177"/>
      <c r="H1" s="1178"/>
    </row>
    <row r="2" spans="1:9" ht="21" customHeight="1" x14ac:dyDescent="0.25">
      <c r="A2" s="1179" t="s">
        <v>505</v>
      </c>
      <c r="B2" s="1180"/>
      <c r="C2" s="1180"/>
      <c r="D2" s="1180"/>
      <c r="E2" s="1180"/>
      <c r="F2" s="1180"/>
      <c r="G2" s="1180"/>
      <c r="H2" s="1181"/>
    </row>
    <row r="3" spans="1:9" ht="12.75" customHeight="1" x14ac:dyDescent="0.25">
      <c r="A3" s="1182"/>
      <c r="B3" s="1183"/>
      <c r="C3" s="1183"/>
      <c r="D3" s="1183"/>
      <c r="E3" s="1183"/>
      <c r="F3" s="1183"/>
      <c r="G3" s="1183"/>
      <c r="H3" s="430" t="s">
        <v>506</v>
      </c>
    </row>
    <row r="4" spans="1:9" ht="15.75" customHeight="1" x14ac:dyDescent="0.25">
      <c r="A4" s="1184" t="s">
        <v>507</v>
      </c>
      <c r="B4" s="1185"/>
      <c r="C4" s="431"/>
      <c r="D4" s="1186"/>
      <c r="E4" s="1186"/>
      <c r="F4" s="1186"/>
      <c r="G4" s="1186"/>
      <c r="H4" s="1187"/>
    </row>
    <row r="5" spans="1:9" ht="13.5" customHeight="1" x14ac:dyDescent="0.25">
      <c r="A5" s="1184"/>
      <c r="B5" s="1185"/>
      <c r="C5" s="432"/>
      <c r="D5" s="1188"/>
      <c r="E5" s="1188"/>
      <c r="F5" s="1188"/>
      <c r="G5" s="1188"/>
      <c r="H5" s="433"/>
      <c r="I5" s="429">
        <f>750*0.05</f>
        <v>37.5</v>
      </c>
    </row>
    <row r="6" spans="1:9" ht="8.25" customHeight="1" x14ac:dyDescent="0.25">
      <c r="A6" s="434"/>
      <c r="B6" s="435"/>
      <c r="C6" s="437"/>
      <c r="D6" s="436"/>
      <c r="E6" s="438"/>
      <c r="F6" s="436"/>
      <c r="G6" s="436"/>
      <c r="H6" s="439"/>
    </row>
    <row r="7" spans="1:9" x14ac:dyDescent="0.25">
      <c r="A7" s="1164" t="s">
        <v>320</v>
      </c>
      <c r="B7" s="1167" t="s">
        <v>321</v>
      </c>
      <c r="C7" s="440"/>
      <c r="D7" s="1170" t="s">
        <v>322</v>
      </c>
      <c r="E7" s="1171"/>
      <c r="F7" s="1171"/>
      <c r="G7" s="1172"/>
      <c r="H7" s="1173" t="s">
        <v>508</v>
      </c>
    </row>
    <row r="8" spans="1:9" ht="15" customHeight="1" x14ac:dyDescent="0.25">
      <c r="A8" s="1165"/>
      <c r="B8" s="1168"/>
      <c r="C8" s="442"/>
      <c r="D8" s="1173" t="s">
        <v>1</v>
      </c>
      <c r="E8" s="441" t="s">
        <v>2</v>
      </c>
      <c r="F8" s="1173" t="s">
        <v>509</v>
      </c>
      <c r="G8" s="441" t="s">
        <v>324</v>
      </c>
      <c r="H8" s="1174"/>
      <c r="I8" s="429">
        <f>[5]Labour!N15/'Gabion base'!F10</f>
        <v>31.176954974933434</v>
      </c>
    </row>
    <row r="9" spans="1:9" x14ac:dyDescent="0.25">
      <c r="A9" s="1166"/>
      <c r="B9" s="1169"/>
      <c r="C9" s="443"/>
      <c r="D9" s="1175"/>
      <c r="E9" s="443" t="s">
        <v>325</v>
      </c>
      <c r="F9" s="1175"/>
      <c r="G9" s="443" t="s">
        <v>325</v>
      </c>
      <c r="H9" s="1175"/>
    </row>
    <row r="10" spans="1:9" x14ac:dyDescent="0.25">
      <c r="A10" s="444"/>
      <c r="B10" s="445"/>
      <c r="C10" s="448"/>
      <c r="D10" s="446" t="s">
        <v>326</v>
      </c>
      <c r="E10" s="447"/>
      <c r="F10" s="447">
        <v>1</v>
      </c>
      <c r="G10" s="447" t="s">
        <v>68</v>
      </c>
      <c r="H10" s="449"/>
      <c r="I10" s="429">
        <f>F10/2.83</f>
        <v>0.35335689045936397</v>
      </c>
    </row>
    <row r="11" spans="1:9" x14ac:dyDescent="0.25">
      <c r="A11" s="450">
        <v>1</v>
      </c>
      <c r="B11" s="451" t="s">
        <v>23</v>
      </c>
      <c r="C11" s="453"/>
      <c r="D11" s="453"/>
      <c r="E11" s="453"/>
      <c r="F11" s="454"/>
      <c r="G11" s="453"/>
      <c r="H11" s="455"/>
      <c r="I11" s="429">
        <v>4000</v>
      </c>
    </row>
    <row r="12" spans="1:9" ht="36.75" customHeight="1" x14ac:dyDescent="0.25">
      <c r="A12" s="456">
        <v>1.01</v>
      </c>
      <c r="B12" s="454" t="s">
        <v>510</v>
      </c>
      <c r="C12" s="453"/>
      <c r="D12" s="457" t="s">
        <v>68</v>
      </c>
      <c r="E12" s="458">
        <v>2000</v>
      </c>
      <c r="F12" s="459">
        <v>1</v>
      </c>
      <c r="G12" s="453">
        <f>F12*E12</f>
        <v>2000</v>
      </c>
      <c r="H12" s="460" t="s">
        <v>511</v>
      </c>
      <c r="I12" s="429">
        <f>I11/1.25</f>
        <v>3200</v>
      </c>
    </row>
    <row r="13" spans="1:9" ht="35.25" customHeight="1" x14ac:dyDescent="0.25">
      <c r="A13" s="456">
        <v>1.02</v>
      </c>
      <c r="B13" s="461" t="s">
        <v>512</v>
      </c>
      <c r="C13" s="453"/>
      <c r="D13" s="457" t="s">
        <v>68</v>
      </c>
      <c r="E13" s="458">
        <f>2102.48*1.05</f>
        <v>2207.6040000000003</v>
      </c>
      <c r="F13" s="459">
        <v>0.25</v>
      </c>
      <c r="G13" s="453">
        <f>F13*E13</f>
        <v>551.90100000000007</v>
      </c>
      <c r="H13" s="460" t="s">
        <v>513</v>
      </c>
      <c r="I13" s="429">
        <f>11/5</f>
        <v>2.2000000000000002</v>
      </c>
    </row>
    <row r="14" spans="1:9" ht="6.75" customHeight="1" x14ac:dyDescent="0.25">
      <c r="A14" s="456"/>
      <c r="B14" s="461"/>
      <c r="C14" s="453"/>
      <c r="D14" s="457"/>
      <c r="E14" s="458"/>
      <c r="F14" s="459"/>
      <c r="G14" s="453"/>
      <c r="H14" s="460"/>
      <c r="I14" s="462" t="e">
        <f>#REF!*2.83</f>
        <v>#REF!</v>
      </c>
    </row>
    <row r="15" spans="1:9" x14ac:dyDescent="0.25">
      <c r="A15" s="463">
        <v>1</v>
      </c>
      <c r="B15" s="464" t="s">
        <v>332</v>
      </c>
      <c r="C15" s="465"/>
      <c r="D15" s="466"/>
      <c r="E15" s="465"/>
      <c r="F15" s="465"/>
      <c r="G15" s="465">
        <f>SUM(G12:G14)</f>
        <v>2551.9009999999998</v>
      </c>
      <c r="H15" s="455"/>
      <c r="I15" s="462">
        <f>2*3.14*150</f>
        <v>942</v>
      </c>
    </row>
    <row r="16" spans="1:9" ht="7.5" customHeight="1" x14ac:dyDescent="0.25">
      <c r="A16" s="456"/>
      <c r="B16" s="467"/>
      <c r="C16" s="453"/>
      <c r="D16" s="457"/>
      <c r="E16" s="453"/>
      <c r="F16" s="453"/>
      <c r="G16" s="453"/>
      <c r="H16" s="455"/>
      <c r="I16" s="429">
        <f>75*0.4</f>
        <v>30</v>
      </c>
    </row>
    <row r="17" spans="1:12" x14ac:dyDescent="0.25">
      <c r="A17" s="450">
        <v>2</v>
      </c>
      <c r="B17" s="451" t="s">
        <v>514</v>
      </c>
      <c r="C17" s="453"/>
      <c r="D17" s="453"/>
      <c r="E17" s="458"/>
      <c r="F17" s="454"/>
      <c r="G17" s="453"/>
      <c r="H17" s="455"/>
      <c r="L17" s="462"/>
    </row>
    <row r="18" spans="1:12" ht="60" x14ac:dyDescent="0.25">
      <c r="A18" s="456">
        <v>2.0099999999999998</v>
      </c>
      <c r="B18" s="461" t="s">
        <v>515</v>
      </c>
      <c r="C18" s="453"/>
      <c r="D18" s="457" t="s">
        <v>516</v>
      </c>
      <c r="E18" s="458">
        <v>2500</v>
      </c>
      <c r="F18" s="459">
        <v>0.25</v>
      </c>
      <c r="G18" s="453">
        <f>F18*E18</f>
        <v>625</v>
      </c>
      <c r="H18" s="468" t="s">
        <v>517</v>
      </c>
      <c r="I18" s="429">
        <f>11/5</f>
        <v>2.2000000000000002</v>
      </c>
    </row>
    <row r="19" spans="1:12" ht="6" customHeight="1" x14ac:dyDescent="0.25">
      <c r="A19" s="456"/>
      <c r="B19" s="461"/>
      <c r="C19" s="453"/>
      <c r="D19" s="457"/>
      <c r="E19" s="453"/>
      <c r="F19" s="459"/>
      <c r="G19" s="453"/>
      <c r="H19" s="460"/>
      <c r="I19" s="469"/>
    </row>
    <row r="20" spans="1:12" x14ac:dyDescent="0.25">
      <c r="A20" s="463">
        <v>2</v>
      </c>
      <c r="B20" s="464" t="s">
        <v>518</v>
      </c>
      <c r="C20" s="465"/>
      <c r="D20" s="465"/>
      <c r="E20" s="470"/>
      <c r="F20" s="465"/>
      <c r="G20" s="465">
        <f>SUM(G18:G19)</f>
        <v>625</v>
      </c>
      <c r="H20" s="455"/>
      <c r="I20" s="469"/>
    </row>
    <row r="21" spans="1:12" ht="6" customHeight="1" x14ac:dyDescent="0.25">
      <c r="A21" s="463"/>
      <c r="B21" s="471"/>
      <c r="C21" s="465"/>
      <c r="D21" s="465"/>
      <c r="E21" s="470"/>
      <c r="F21" s="465"/>
      <c r="G21" s="465"/>
      <c r="H21" s="455"/>
      <c r="I21" s="469">
        <v>60</v>
      </c>
    </row>
    <row r="22" spans="1:12" x14ac:dyDescent="0.25">
      <c r="A22" s="450">
        <v>3</v>
      </c>
      <c r="B22" s="451" t="s">
        <v>519</v>
      </c>
      <c r="C22" s="453"/>
      <c r="D22" s="453"/>
      <c r="E22" s="453"/>
      <c r="F22" s="453"/>
      <c r="G22" s="453"/>
      <c r="H22" s="472"/>
      <c r="I22" s="469">
        <v>0.3</v>
      </c>
    </row>
    <row r="23" spans="1:12" ht="24" x14ac:dyDescent="0.25">
      <c r="A23" s="456">
        <v>3.01</v>
      </c>
      <c r="B23" s="473" t="s">
        <v>208</v>
      </c>
      <c r="C23" s="453"/>
      <c r="D23" s="452" t="s">
        <v>333</v>
      </c>
      <c r="E23" s="453">
        <v>1500</v>
      </c>
      <c r="F23" s="459">
        <v>0.75</v>
      </c>
      <c r="G23" s="453">
        <f>F23*E23</f>
        <v>1125</v>
      </c>
      <c r="H23" s="460" t="s">
        <v>520</v>
      </c>
      <c r="I23" s="469">
        <f>I21*I22</f>
        <v>18</v>
      </c>
    </row>
    <row r="24" spans="1:12" x14ac:dyDescent="0.25">
      <c r="A24" s="463">
        <v>3</v>
      </c>
      <c r="B24" s="451" t="s">
        <v>336</v>
      </c>
      <c r="C24" s="474"/>
      <c r="D24" s="474"/>
      <c r="E24" s="474"/>
      <c r="F24" s="475"/>
      <c r="G24" s="465">
        <f>SUM(G23:G23)</f>
        <v>1125</v>
      </c>
      <c r="H24" s="472"/>
      <c r="I24" s="469">
        <f>23614/8</f>
        <v>2951.75</v>
      </c>
    </row>
    <row r="25" spans="1:12" x14ac:dyDescent="0.25">
      <c r="A25" s="463"/>
      <c r="B25" s="471"/>
      <c r="C25" s="465"/>
      <c r="D25" s="465"/>
      <c r="E25" s="465"/>
      <c r="F25" s="465"/>
      <c r="G25" s="465"/>
      <c r="H25" s="472"/>
      <c r="I25" s="469"/>
    </row>
    <row r="26" spans="1:12" x14ac:dyDescent="0.25">
      <c r="A26" s="450">
        <v>4</v>
      </c>
      <c r="B26" s="451" t="s">
        <v>337</v>
      </c>
      <c r="C26" s="453"/>
      <c r="D26" s="453"/>
      <c r="E26" s="453"/>
      <c r="F26" s="453"/>
      <c r="G26" s="453"/>
      <c r="H26" s="472"/>
      <c r="I26" s="469">
        <f>1.75/2.83</f>
        <v>0.61837455830388688</v>
      </c>
    </row>
    <row r="27" spans="1:12" x14ac:dyDescent="0.25">
      <c r="A27" s="456">
        <v>4.01</v>
      </c>
      <c r="B27" s="454" t="s">
        <v>338</v>
      </c>
      <c r="C27" s="453"/>
      <c r="D27" s="452" t="s">
        <v>234</v>
      </c>
      <c r="E27" s="453"/>
      <c r="F27" s="477"/>
      <c r="G27" s="453"/>
      <c r="H27" s="478"/>
      <c r="I27" s="469"/>
    </row>
    <row r="28" spans="1:12" x14ac:dyDescent="0.25">
      <c r="A28" s="463">
        <v>4</v>
      </c>
      <c r="B28" s="464" t="s">
        <v>340</v>
      </c>
      <c r="C28" s="465"/>
      <c r="D28" s="465"/>
      <c r="E28" s="465"/>
      <c r="F28" s="465"/>
      <c r="G28" s="465">
        <f>SUM(G27:G27)</f>
        <v>0</v>
      </c>
      <c r="H28" s="472"/>
      <c r="I28" s="462"/>
    </row>
    <row r="29" spans="1:12" x14ac:dyDescent="0.25">
      <c r="A29" s="456"/>
      <c r="B29" s="454" t="s">
        <v>341</v>
      </c>
      <c r="C29" s="453"/>
      <c r="D29" s="453"/>
      <c r="E29" s="453"/>
      <c r="F29" s="453"/>
      <c r="G29" s="453">
        <f>SUM(G15+G28+G20+G24)</f>
        <v>4301.9009999999998</v>
      </c>
      <c r="H29" s="455"/>
      <c r="I29" s="462">
        <f>G29/F10</f>
        <v>4301.9009999999998</v>
      </c>
    </row>
    <row r="30" spans="1:12" x14ac:dyDescent="0.25">
      <c r="A30" s="456"/>
      <c r="B30" s="454" t="s">
        <v>521</v>
      </c>
      <c r="C30" s="453"/>
      <c r="D30" s="453"/>
      <c r="E30" s="453"/>
      <c r="F30" s="476">
        <v>0.3</v>
      </c>
      <c r="G30" s="453">
        <f>ROUNDUP((G29*F30),2)</f>
        <v>1290.58</v>
      </c>
      <c r="H30" s="455"/>
    </row>
    <row r="31" spans="1:12" x14ac:dyDescent="0.25">
      <c r="A31" s="456"/>
      <c r="B31" s="454" t="str">
        <f>CONCATENATE("Net Total  ",F5," ",G5)</f>
        <v xml:space="preserve">Net Total   </v>
      </c>
      <c r="C31" s="454"/>
      <c r="D31" s="453"/>
      <c r="E31" s="453"/>
      <c r="F31" s="453"/>
      <c r="G31" s="453">
        <f>SUM(G29:G30)</f>
        <v>5592.4809999999998</v>
      </c>
      <c r="H31" s="455"/>
    </row>
    <row r="32" spans="1:12" x14ac:dyDescent="0.25">
      <c r="A32" s="463"/>
      <c r="B32" s="479" t="s">
        <v>522</v>
      </c>
      <c r="C32" s="479"/>
      <c r="D32" s="481"/>
      <c r="E32" s="481"/>
      <c r="F32" s="481"/>
      <c r="G32" s="480">
        <f>ROUNDUP((G31/F10),-2)</f>
        <v>5600</v>
      </c>
      <c r="H32" s="455"/>
    </row>
    <row r="33" spans="1:8" x14ac:dyDescent="0.25">
      <c r="A33" s="482"/>
      <c r="B33" s="483"/>
      <c r="C33" s="483"/>
      <c r="D33" s="484"/>
      <c r="E33" s="484"/>
      <c r="F33" s="484"/>
      <c r="G33" s="485"/>
    </row>
    <row r="34" spans="1:8" ht="16.5" customHeight="1" x14ac:dyDescent="0.25">
      <c r="A34" s="482"/>
      <c r="B34" s="1163"/>
      <c r="C34" s="1163"/>
      <c r="D34" s="1163"/>
      <c r="E34" s="1163"/>
      <c r="F34" s="1163"/>
      <c r="G34" s="1163"/>
      <c r="H34" s="1163"/>
    </row>
    <row r="35" spans="1:8" x14ac:dyDescent="0.25">
      <c r="A35" s="482"/>
      <c r="B35" s="483"/>
      <c r="C35" s="483"/>
      <c r="D35" s="484"/>
      <c r="E35" s="484"/>
      <c r="F35" s="484"/>
      <c r="G35" s="484"/>
    </row>
    <row r="36" spans="1:8" x14ac:dyDescent="0.25">
      <c r="A36" s="482"/>
      <c r="B36" s="483"/>
      <c r="C36" s="483"/>
      <c r="D36" s="484"/>
      <c r="E36" s="484"/>
      <c r="F36" s="484"/>
      <c r="H36" s="483"/>
    </row>
    <row r="37" spans="1:8" s="486" customFormat="1" ht="21" customHeight="1" x14ac:dyDescent="0.3">
      <c r="B37" s="483" t="s">
        <v>523</v>
      </c>
      <c r="D37" s="488" t="s">
        <v>280</v>
      </c>
      <c r="E37" s="488" t="s">
        <v>524</v>
      </c>
      <c r="F37" s="488" t="s">
        <v>525</v>
      </c>
      <c r="H37" s="483"/>
    </row>
    <row r="38" spans="1:8" s="486" customFormat="1" ht="14.4" x14ac:dyDescent="0.3">
      <c r="B38" s="483"/>
      <c r="D38" s="488"/>
      <c r="E38" s="488"/>
      <c r="F38" s="488"/>
      <c r="H38" s="483"/>
    </row>
    <row r="39" spans="1:8" s="486" customFormat="1" ht="14.4" x14ac:dyDescent="0.3">
      <c r="B39" s="483" t="s">
        <v>526</v>
      </c>
      <c r="D39" s="489">
        <f>138</f>
        <v>138</v>
      </c>
      <c r="E39" s="489">
        <v>3.5</v>
      </c>
      <c r="F39" s="489">
        <f>(0.45+0.6)/2</f>
        <v>0.52500000000000002</v>
      </c>
      <c r="G39" s="489">
        <f>F39*E39*D39</f>
        <v>253.57500000000002</v>
      </c>
      <c r="H39" s="487"/>
    </row>
    <row r="40" spans="1:8" s="486" customFormat="1" ht="14.4" x14ac:dyDescent="0.3">
      <c r="B40" s="483" t="s">
        <v>527</v>
      </c>
      <c r="D40" s="489">
        <v>120</v>
      </c>
      <c r="E40" s="489">
        <v>2.5</v>
      </c>
      <c r="F40" s="489">
        <f>(0.3+0.45)/2</f>
        <v>0.375</v>
      </c>
      <c r="G40" s="489">
        <f>F40*E40*D40</f>
        <v>112.5</v>
      </c>
    </row>
    <row r="41" spans="1:8" s="486" customFormat="1" ht="14.4" x14ac:dyDescent="0.3">
      <c r="B41" s="483"/>
      <c r="D41" s="489"/>
      <c r="E41" s="489"/>
      <c r="F41" s="489"/>
      <c r="G41" s="489">
        <f>(G40+G39)*0.1</f>
        <v>36.607500000000009</v>
      </c>
    </row>
    <row r="42" spans="1:8" s="486" customFormat="1" ht="14.4" x14ac:dyDescent="0.3">
      <c r="B42" s="486" t="s">
        <v>528</v>
      </c>
      <c r="D42" s="489"/>
      <c r="E42" s="489"/>
      <c r="F42" s="489"/>
      <c r="G42" s="491">
        <f>ROUND(SUM(G39:G41),-1)</f>
        <v>400</v>
      </c>
    </row>
    <row r="43" spans="1:8" s="486" customFormat="1" ht="14.4" x14ac:dyDescent="0.3">
      <c r="D43" s="488"/>
      <c r="E43" s="488"/>
      <c r="F43" s="488"/>
      <c r="G43" s="493"/>
    </row>
    <row r="44" spans="1:8" s="486" customFormat="1" ht="14.4" x14ac:dyDescent="0.3">
      <c r="D44" s="488"/>
      <c r="E44" s="488"/>
      <c r="F44" s="488"/>
      <c r="G44" s="488"/>
    </row>
    <row r="45" spans="1:8" s="486" customFormat="1" ht="14.4" x14ac:dyDescent="0.3">
      <c r="B45" s="483" t="s">
        <v>529</v>
      </c>
      <c r="D45" s="488"/>
      <c r="E45" s="488"/>
      <c r="F45" s="488"/>
      <c r="G45" s="488"/>
    </row>
    <row r="46" spans="1:8" s="486" customFormat="1" ht="14.4" x14ac:dyDescent="0.3">
      <c r="D46" s="488">
        <v>50</v>
      </c>
      <c r="E46" s="488">
        <v>3.4</v>
      </c>
      <c r="F46" s="489">
        <f>(0.45+0.75)/2</f>
        <v>0.6</v>
      </c>
      <c r="G46" s="489">
        <f>F46*E46*D46</f>
        <v>102</v>
      </c>
    </row>
    <row r="47" spans="1:8" s="486" customFormat="1" ht="14.4" x14ac:dyDescent="0.3">
      <c r="D47" s="488"/>
      <c r="E47" s="488"/>
      <c r="F47" s="489"/>
      <c r="G47" s="489">
        <f>G46*0.1</f>
        <v>10.200000000000001</v>
      </c>
    </row>
    <row r="48" spans="1:8" s="486" customFormat="1" ht="14.4" x14ac:dyDescent="0.3">
      <c r="F48" s="490"/>
      <c r="G48" s="491">
        <f>ROUND(SUM(G46:G47),0)</f>
        <v>112</v>
      </c>
    </row>
    <row r="49" spans="7:7" s="486" customFormat="1" ht="14.4" x14ac:dyDescent="0.3">
      <c r="G49" s="492"/>
    </row>
    <row r="50" spans="7:7" s="486" customFormat="1" ht="14.4" x14ac:dyDescent="0.3"/>
    <row r="51" spans="7:7" s="486" customFormat="1" ht="14.4" x14ac:dyDescent="0.3"/>
    <row r="52" spans="7:7" s="486" customFormat="1" ht="14.4" x14ac:dyDescent="0.3"/>
    <row r="53" spans="7:7" s="486" customFormat="1" ht="14.4" x14ac:dyDescent="0.3"/>
    <row r="54" spans="7:7" s="486" customFormat="1" ht="14.4" x14ac:dyDescent="0.3"/>
    <row r="55" spans="7:7" s="486" customFormat="1" ht="14.4" x14ac:dyDescent="0.3"/>
    <row r="56" spans="7:7" s="486" customFormat="1" ht="14.4" x14ac:dyDescent="0.3"/>
    <row r="57" spans="7:7" s="486" customFormat="1" ht="14.4" x14ac:dyDescent="0.3"/>
    <row r="58" spans="7:7" s="486" customFormat="1" ht="14.4" x14ac:dyDescent="0.3"/>
    <row r="59" spans="7:7" s="486" customFormat="1" ht="14.4" x14ac:dyDescent="0.3"/>
    <row r="60" spans="7:7" s="486" customFormat="1" ht="14.4" x14ac:dyDescent="0.3"/>
    <row r="61" spans="7:7" s="486" customFormat="1" ht="14.4" x14ac:dyDescent="0.3"/>
    <row r="62" spans="7:7" s="486" customFormat="1" ht="14.4" x14ac:dyDescent="0.3"/>
    <row r="63" spans="7:7" s="486" customFormat="1" ht="21" customHeight="1" x14ac:dyDescent="0.3"/>
    <row r="64" spans="7:7" s="486" customFormat="1" ht="21" customHeight="1" x14ac:dyDescent="0.3"/>
    <row r="65" s="486" customFormat="1" ht="21" customHeight="1" x14ac:dyDescent="0.3"/>
    <row r="66" s="486" customFormat="1" ht="14.4" x14ac:dyDescent="0.3"/>
    <row r="67" s="486" customFormat="1" ht="14.4" x14ac:dyDescent="0.3"/>
    <row r="68" s="486" customFormat="1" ht="14.4" x14ac:dyDescent="0.3"/>
    <row r="69" s="486" customFormat="1" ht="14.4" x14ac:dyDescent="0.3"/>
    <row r="70" s="486" customFormat="1" ht="14.4" x14ac:dyDescent="0.3"/>
    <row r="71" s="486" customFormat="1" ht="14.4" x14ac:dyDescent="0.3"/>
    <row r="72" s="486" customFormat="1" ht="14.4" x14ac:dyDescent="0.3"/>
    <row r="73" s="486" customFormat="1" ht="14.4" x14ac:dyDescent="0.3"/>
    <row r="74" s="486" customFormat="1" ht="14.4" x14ac:dyDescent="0.3"/>
    <row r="75" s="486" customFormat="1" ht="14.4" x14ac:dyDescent="0.3"/>
    <row r="76" s="486" customFormat="1" ht="21" customHeight="1" x14ac:dyDescent="0.3"/>
    <row r="77" s="486" customFormat="1" ht="21" customHeight="1" x14ac:dyDescent="0.3"/>
    <row r="78" s="486" customFormat="1" ht="21" customHeight="1" x14ac:dyDescent="0.3"/>
    <row r="79" s="486" customFormat="1" ht="14.4" x14ac:dyDescent="0.3"/>
    <row r="80" s="486" customFormat="1" ht="14.4" x14ac:dyDescent="0.3"/>
    <row r="81" s="486" customFormat="1" ht="14.4" x14ac:dyDescent="0.3"/>
    <row r="82" s="486" customFormat="1" ht="14.4" x14ac:dyDescent="0.3"/>
    <row r="83" s="486" customFormat="1" ht="14.4" x14ac:dyDescent="0.3"/>
    <row r="84" s="486" customFormat="1" ht="14.4" x14ac:dyDescent="0.3"/>
    <row r="85" s="486" customFormat="1" ht="14.4" x14ac:dyDescent="0.3"/>
    <row r="86" s="486" customFormat="1" ht="14.4" x14ac:dyDescent="0.3"/>
    <row r="87" s="486" customFormat="1" ht="14.4" x14ac:dyDescent="0.3"/>
    <row r="88" s="486" customFormat="1" ht="14.4" x14ac:dyDescent="0.3"/>
    <row r="89" s="486" customFormat="1" ht="14.4" x14ac:dyDescent="0.3"/>
    <row r="90" s="486" customFormat="1" ht="14.4" x14ac:dyDescent="0.3"/>
    <row r="91" s="486" customFormat="1" ht="14.4" x14ac:dyDescent="0.3"/>
    <row r="92" s="486" customFormat="1" ht="14.4" x14ac:dyDescent="0.3"/>
    <row r="93" s="486" customFormat="1" ht="14.4" x14ac:dyDescent="0.3"/>
    <row r="94" s="486" customFormat="1" ht="14.4" x14ac:dyDescent="0.3"/>
    <row r="95" s="486" customFormat="1" ht="14.4" x14ac:dyDescent="0.3"/>
    <row r="96" s="486" customFormat="1" ht="14.4" x14ac:dyDescent="0.3"/>
    <row r="97" s="486" customFormat="1" ht="14.4" x14ac:dyDescent="0.3"/>
    <row r="98" s="486" customFormat="1" ht="21" customHeight="1" x14ac:dyDescent="0.3"/>
    <row r="99" s="486" customFormat="1" ht="21" customHeight="1" x14ac:dyDescent="0.3"/>
    <row r="100" s="486" customFormat="1" ht="21" customHeight="1" x14ac:dyDescent="0.3"/>
    <row r="101" s="486" customFormat="1" ht="14.4" x14ac:dyDescent="0.3"/>
    <row r="102" s="486" customFormat="1" ht="14.4" x14ac:dyDescent="0.3"/>
    <row r="103" s="486" customFormat="1" ht="14.4" x14ac:dyDescent="0.3"/>
    <row r="104" s="486" customFormat="1" ht="14.4" x14ac:dyDescent="0.3"/>
    <row r="105" s="486" customFormat="1" ht="14.4" x14ac:dyDescent="0.3"/>
    <row r="106" s="486" customFormat="1" ht="14.4" x14ac:dyDescent="0.3"/>
    <row r="107" s="486" customFormat="1" ht="14.4" x14ac:dyDescent="0.3"/>
    <row r="108" s="486" customFormat="1" ht="14.4" x14ac:dyDescent="0.3"/>
    <row r="109" s="486" customFormat="1" ht="14.4" x14ac:dyDescent="0.3"/>
    <row r="110" s="486" customFormat="1" ht="21" customHeight="1" x14ac:dyDescent="0.3"/>
    <row r="111" s="486" customFormat="1" ht="21" customHeight="1" x14ac:dyDescent="0.3"/>
    <row r="112" s="486" customFormat="1" ht="21" customHeight="1" x14ac:dyDescent="0.3"/>
    <row r="113" s="486" customFormat="1" ht="14.4" x14ac:dyDescent="0.3"/>
    <row r="114" s="486" customFormat="1" ht="14.4" x14ac:dyDescent="0.3"/>
    <row r="115" s="486" customFormat="1" ht="14.4" x14ac:dyDescent="0.3"/>
    <row r="116" s="486" customFormat="1" ht="14.4" x14ac:dyDescent="0.3"/>
    <row r="117" s="486" customFormat="1" ht="14.4" x14ac:dyDescent="0.3"/>
    <row r="118" s="486" customFormat="1" ht="14.4" x14ac:dyDescent="0.3"/>
    <row r="119" s="486" customFormat="1" ht="14.4" x14ac:dyDescent="0.3"/>
    <row r="120" s="486" customFormat="1" ht="14.4" x14ac:dyDescent="0.3"/>
    <row r="121" s="486" customFormat="1" ht="14.4" x14ac:dyDescent="0.3"/>
    <row r="122" s="486" customFormat="1" ht="14.4" x14ac:dyDescent="0.3"/>
    <row r="123" s="486" customFormat="1" ht="14.4" x14ac:dyDescent="0.3"/>
    <row r="124" s="486" customFormat="1" ht="14.4" x14ac:dyDescent="0.3"/>
    <row r="125" s="486" customFormat="1" ht="14.4" x14ac:dyDescent="0.3"/>
    <row r="126" s="486" customFormat="1" ht="14.4" x14ac:dyDescent="0.3"/>
    <row r="127" s="486" customFormat="1" ht="14.4" x14ac:dyDescent="0.3"/>
    <row r="128" s="486" customFormat="1" ht="14.4" x14ac:dyDescent="0.3"/>
    <row r="129" s="486" customFormat="1" ht="14.4" x14ac:dyDescent="0.3"/>
    <row r="130" s="486" customFormat="1" ht="14.4" x14ac:dyDescent="0.3"/>
    <row r="131" s="486" customFormat="1" ht="14.4" x14ac:dyDescent="0.3"/>
    <row r="132" s="486" customFormat="1" ht="21" customHeight="1" x14ac:dyDescent="0.3"/>
    <row r="133" s="486" customFormat="1" ht="21" customHeight="1" x14ac:dyDescent="0.3"/>
    <row r="134" s="486" customFormat="1" ht="21" customHeight="1" x14ac:dyDescent="0.3"/>
    <row r="135" s="486" customFormat="1" ht="14.4" x14ac:dyDescent="0.3"/>
    <row r="136" s="486" customFormat="1" ht="14.4" x14ac:dyDescent="0.3"/>
    <row r="137" s="486" customFormat="1" ht="14.4" x14ac:dyDescent="0.3"/>
    <row r="138" s="486" customFormat="1" ht="14.4" x14ac:dyDescent="0.3"/>
    <row r="139" s="486" customFormat="1" ht="14.4" x14ac:dyDescent="0.3"/>
    <row r="140" s="486" customFormat="1" ht="14.4" x14ac:dyDescent="0.3"/>
    <row r="141" s="486" customFormat="1" ht="14.4" x14ac:dyDescent="0.3"/>
    <row r="142" s="486" customFormat="1" ht="14.4" x14ac:dyDescent="0.3"/>
    <row r="143" s="486" customFormat="1" ht="14.4" x14ac:dyDescent="0.3"/>
    <row r="144" s="486" customFormat="1" ht="14.4" x14ac:dyDescent="0.3"/>
    <row r="145" s="486" customFormat="1" ht="14.4" x14ac:dyDescent="0.3"/>
  </sheetData>
  <mergeCells count="13">
    <mergeCell ref="A1:H1"/>
    <mergeCell ref="A2:H2"/>
    <mergeCell ref="A3:G3"/>
    <mergeCell ref="A4:B5"/>
    <mergeCell ref="D4:H4"/>
    <mergeCell ref="D5:G5"/>
    <mergeCell ref="B34:H34"/>
    <mergeCell ref="A7:A9"/>
    <mergeCell ref="B7:B9"/>
    <mergeCell ref="D7:G7"/>
    <mergeCell ref="H7:H9"/>
    <mergeCell ref="D8:D9"/>
    <mergeCell ref="F8:F9"/>
  </mergeCells>
  <printOptions horizontalCentered="1"/>
  <pageMargins left="0.32" right="0.25" top="0.5" bottom="0.25" header="0.25" footer="0.25"/>
  <pageSetup paperSize="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74AC-FFE3-4824-9579-E09B8FF402B5}">
  <sheetPr>
    <tabColor theme="9" tint="-0.249977111117893"/>
    <pageSetUpPr fitToPage="1"/>
  </sheetPr>
  <dimension ref="A1:Q72"/>
  <sheetViews>
    <sheetView showGridLines="0" view="pageBreakPreview" topLeftCell="A13" zoomScaleNormal="100" zoomScaleSheetLayoutView="100" workbookViewId="0">
      <selection activeCell="T18" sqref="T18"/>
    </sheetView>
  </sheetViews>
  <sheetFormatPr defaultColWidth="9.5546875" defaultRowHeight="13.2" x14ac:dyDescent="0.25"/>
  <cols>
    <col min="1" max="1" width="7" style="816" customWidth="1"/>
    <col min="2" max="2" width="43" style="764" customWidth="1"/>
    <col min="3" max="3" width="7" style="816" customWidth="1"/>
    <col min="4" max="4" width="9.109375" style="817" customWidth="1"/>
    <col min="5" max="5" width="14" style="841" customWidth="1"/>
    <col min="6" max="6" width="27.6640625" style="841" customWidth="1"/>
    <col min="7" max="7" width="1.6640625" style="764" customWidth="1"/>
    <col min="8" max="8" width="0" style="764" hidden="1" customWidth="1"/>
    <col min="9" max="9" width="12.33203125" style="842" hidden="1" customWidth="1"/>
    <col min="10" max="10" width="15.109375" style="764" hidden="1" customWidth="1"/>
    <col min="11" max="11" width="10.44140625" style="764" hidden="1" customWidth="1"/>
    <col min="12" max="14" width="0" style="764" hidden="1" customWidth="1"/>
    <col min="15" max="16384" width="9.5546875" style="764"/>
  </cols>
  <sheetData>
    <row r="1" spans="1:17" ht="8.25" customHeight="1" thickBot="1" x14ac:dyDescent="0.3">
      <c r="A1" s="992"/>
      <c r="B1" s="993"/>
      <c r="C1" s="994"/>
      <c r="D1" s="995"/>
      <c r="E1" s="996"/>
      <c r="F1" s="997"/>
    </row>
    <row r="2" spans="1:17" s="771" customFormat="1" ht="63" customHeight="1" x14ac:dyDescent="0.25">
      <c r="A2" s="1025" t="s">
        <v>785</v>
      </c>
      <c r="B2" s="1026"/>
      <c r="C2" s="1026"/>
      <c r="D2" s="1026"/>
      <c r="E2" s="1026"/>
      <c r="F2" s="1027"/>
      <c r="I2" s="790">
        <v>140</v>
      </c>
      <c r="J2" s="791"/>
    </row>
    <row r="3" spans="1:17" ht="21" customHeight="1" thickBot="1" x14ac:dyDescent="0.3">
      <c r="A3" s="1028" t="s">
        <v>872</v>
      </c>
      <c r="B3" s="1029"/>
      <c r="C3" s="1029"/>
      <c r="D3" s="1029"/>
      <c r="E3" s="1030"/>
      <c r="F3" s="1031"/>
      <c r="I3" s="792">
        <v>3</v>
      </c>
      <c r="J3" s="793">
        <v>0</v>
      </c>
    </row>
    <row r="4" spans="1:17" ht="25.2" customHeight="1" x14ac:dyDescent="0.25">
      <c r="A4" s="998"/>
      <c r="B4" s="918" t="s">
        <v>0</v>
      </c>
      <c r="C4" s="763"/>
      <c r="D4" s="919"/>
      <c r="E4" s="920"/>
      <c r="F4" s="980" t="s">
        <v>873</v>
      </c>
      <c r="J4"/>
      <c r="K4"/>
      <c r="L4"/>
      <c r="M4"/>
      <c r="N4"/>
      <c r="O4"/>
      <c r="P4"/>
      <c r="Q4"/>
    </row>
    <row r="5" spans="1:17" ht="39.6" customHeight="1" x14ac:dyDescent="0.25">
      <c r="A5" s="999">
        <v>1</v>
      </c>
      <c r="B5" s="828" t="str">
        <f>'Bill No 1'!$A$1</f>
        <v>BILL No. 1 - GENERAL PRELIMINARIES</v>
      </c>
      <c r="C5" s="828"/>
      <c r="D5" s="828"/>
      <c r="E5" s="829"/>
      <c r="F5" s="1000">
        <f>'Bill No 1'!G34</f>
        <v>0</v>
      </c>
      <c r="J5"/>
      <c r="K5"/>
      <c r="L5"/>
      <c r="M5"/>
      <c r="N5"/>
      <c r="O5"/>
      <c r="P5"/>
      <c r="Q5"/>
    </row>
    <row r="6" spans="1:17" s="768" customFormat="1" ht="39.6" customHeight="1" x14ac:dyDescent="0.25">
      <c r="A6" s="999">
        <v>2</v>
      </c>
      <c r="B6" s="828" t="str">
        <f>'Bill No 2'!A1</f>
        <v>BILL NO. 2 - SITE CLEARING</v>
      </c>
      <c r="C6" s="828"/>
      <c r="D6" s="828"/>
      <c r="E6" s="829"/>
      <c r="F6" s="1000">
        <f>'Bill No 2'!G16</f>
        <v>0</v>
      </c>
      <c r="I6" s="839"/>
      <c r="J6"/>
      <c r="K6"/>
      <c r="L6"/>
      <c r="M6"/>
      <c r="N6"/>
      <c r="O6"/>
      <c r="P6"/>
      <c r="Q6"/>
    </row>
    <row r="7" spans="1:17" s="768" customFormat="1" ht="39.6" customHeight="1" x14ac:dyDescent="0.25">
      <c r="A7" s="999">
        <v>3</v>
      </c>
      <c r="B7" s="828" t="str">
        <f>'Bill No 3'!A1</f>
        <v>BILL NO. 3 - EARTHWORKS</v>
      </c>
      <c r="C7" s="828"/>
      <c r="D7" s="828"/>
      <c r="E7" s="829"/>
      <c r="F7" s="1000">
        <f>'Bill No 3'!G12</f>
        <v>0</v>
      </c>
      <c r="I7" s="839"/>
      <c r="J7"/>
      <c r="K7"/>
      <c r="L7"/>
      <c r="M7"/>
      <c r="N7"/>
      <c r="O7"/>
      <c r="P7"/>
      <c r="Q7"/>
    </row>
    <row r="8" spans="1:17" s="768" customFormat="1" ht="39.6" customHeight="1" x14ac:dyDescent="0.25">
      <c r="A8" s="999">
        <v>4</v>
      </c>
      <c r="B8" s="828" t="str">
        <f>'Bill No 4'!A1</f>
        <v>BILL NO. 4 - STRUCTURE CONSTRUCTION</v>
      </c>
      <c r="C8" s="828"/>
      <c r="D8" s="828"/>
      <c r="E8" s="829"/>
      <c r="F8" s="1000">
        <f>'Bill No 4'!G11</f>
        <v>0</v>
      </c>
      <c r="I8" s="839"/>
      <c r="J8"/>
      <c r="K8"/>
      <c r="L8"/>
      <c r="M8"/>
      <c r="N8"/>
      <c r="O8"/>
      <c r="P8"/>
      <c r="Q8"/>
    </row>
    <row r="9" spans="1:17" s="768" customFormat="1" ht="39.6" customHeight="1" x14ac:dyDescent="0.25">
      <c r="A9" s="999">
        <v>5</v>
      </c>
      <c r="B9" s="828" t="str">
        <f>'Bill No 5'!A1</f>
        <v>BILL NO. 5 - SOIL NAILING &amp; HORIZONTAL DRAINS</v>
      </c>
      <c r="C9" s="828"/>
      <c r="D9" s="828"/>
      <c r="E9" s="829"/>
      <c r="F9" s="1000">
        <f>'Bill No 5'!G15</f>
        <v>0</v>
      </c>
      <c r="I9" s="839"/>
      <c r="J9"/>
      <c r="K9"/>
      <c r="L9"/>
      <c r="M9"/>
      <c r="N9"/>
      <c r="O9"/>
      <c r="P9"/>
      <c r="Q9"/>
    </row>
    <row r="10" spans="1:17" s="768" customFormat="1" ht="39.6" customHeight="1" x14ac:dyDescent="0.25">
      <c r="A10" s="999">
        <v>6</v>
      </c>
      <c r="B10" s="828" t="str">
        <f>'Bill No.Dayworks'!A1</f>
        <v>BILL NO. 6- DAYWORKS</v>
      </c>
      <c r="C10" s="828"/>
      <c r="D10" s="828"/>
      <c r="E10" s="829"/>
      <c r="F10" s="1000">
        <f>'Bill No.Dayworks'!F35</f>
        <v>0</v>
      </c>
      <c r="I10" s="839"/>
      <c r="J10"/>
      <c r="K10"/>
      <c r="L10"/>
      <c r="M10"/>
      <c r="N10"/>
      <c r="O10"/>
      <c r="P10"/>
      <c r="Q10"/>
    </row>
    <row r="11" spans="1:17" s="768" customFormat="1" ht="39.6" customHeight="1" x14ac:dyDescent="0.25">
      <c r="A11" s="999">
        <v>7</v>
      </c>
      <c r="B11" s="767" t="str">
        <f>"SUB TOTAL (Bill No. 01 - 0"&amp;A10&amp;")"</f>
        <v>SUB TOTAL (Bill No. 01 - 06)</v>
      </c>
      <c r="C11" s="828"/>
      <c r="D11" s="828"/>
      <c r="E11" s="829"/>
      <c r="F11" s="1001">
        <f>SUM(F5:F10)</f>
        <v>0</v>
      </c>
      <c r="I11" s="839"/>
      <c r="J11"/>
      <c r="K11"/>
      <c r="L11"/>
      <c r="M11"/>
      <c r="N11"/>
      <c r="O11"/>
      <c r="P11"/>
      <c r="Q11"/>
    </row>
    <row r="12" spans="1:17" s="768" customFormat="1" ht="39.6" customHeight="1" x14ac:dyDescent="0.25">
      <c r="A12" s="999">
        <v>8</v>
      </c>
      <c r="B12" s="766" t="str">
        <f>CONCATENATE("ADD ",E12*100,"%  CONTINGENCIES TO SUB TOTAL")</f>
        <v>ADD 5%  CONTINGENCIES TO SUB TOTAL</v>
      </c>
      <c r="C12" s="828"/>
      <c r="D12" s="828"/>
      <c r="E12" s="922">
        <v>0.05</v>
      </c>
      <c r="F12" s="1000">
        <f>F11*E12</f>
        <v>0</v>
      </c>
      <c r="I12" s="839"/>
      <c r="J12"/>
      <c r="K12"/>
      <c r="L12"/>
      <c r="M12"/>
      <c r="N12"/>
      <c r="O12"/>
      <c r="P12"/>
      <c r="Q12"/>
    </row>
    <row r="13" spans="1:17" s="768" customFormat="1" ht="39.6" customHeight="1" x14ac:dyDescent="0.25">
      <c r="A13" s="999">
        <v>9</v>
      </c>
      <c r="B13" s="766" t="str">
        <f>CONCATENATE("ADD ",E13*100,"% PRICE CONTINGENCIES TO SUB TOTAL")</f>
        <v>ADD 5% PRICE CONTINGENCIES TO SUB TOTAL</v>
      </c>
      <c r="C13" s="828"/>
      <c r="D13" s="828"/>
      <c r="E13" s="922">
        <v>0.05</v>
      </c>
      <c r="F13" s="1000">
        <f>F11*E13</f>
        <v>0</v>
      </c>
      <c r="I13" s="839"/>
      <c r="J13" s="948" t="e">
        <f>F5/F15</f>
        <v>#DIV/0!</v>
      </c>
      <c r="K13"/>
      <c r="L13"/>
      <c r="M13"/>
      <c r="N13"/>
      <c r="O13"/>
      <c r="P13"/>
      <c r="Q13"/>
    </row>
    <row r="14" spans="1:17" s="768" customFormat="1" ht="39.6" customHeight="1" x14ac:dyDescent="0.25">
      <c r="A14" s="999">
        <v>10</v>
      </c>
      <c r="B14" s="766" t="s">
        <v>875</v>
      </c>
      <c r="C14" s="828"/>
      <c r="D14" s="828"/>
      <c r="E14" s="829"/>
      <c r="F14" s="1000">
        <f>'Bill No 1'!G30+'Bill No 1'!G27+'Bill No 1'!G20+'Bill No 1'!G13</f>
        <v>1600000</v>
      </c>
      <c r="I14" s="839"/>
      <c r="J14" s="923"/>
      <c r="K14"/>
      <c r="L14"/>
      <c r="M14"/>
      <c r="N14"/>
      <c r="O14"/>
      <c r="P14"/>
      <c r="Q14"/>
    </row>
    <row r="15" spans="1:17" s="768" customFormat="1" ht="39.6" customHeight="1" x14ac:dyDescent="0.25">
      <c r="A15" s="999">
        <v>11</v>
      </c>
      <c r="B15" s="766" t="s">
        <v>945</v>
      </c>
      <c r="C15" s="828"/>
      <c r="D15" s="828"/>
      <c r="E15" s="829"/>
      <c r="F15" s="1001"/>
      <c r="I15" s="839"/>
      <c r="J15" s="90">
        <f>F11+F14</f>
        <v>1600000</v>
      </c>
      <c r="K15"/>
      <c r="L15"/>
      <c r="M15"/>
      <c r="N15"/>
      <c r="O15"/>
      <c r="P15"/>
      <c r="Q15"/>
    </row>
    <row r="16" spans="1:17" s="768" customFormat="1" ht="39.6" customHeight="1" x14ac:dyDescent="0.25">
      <c r="A16" s="999">
        <v>12</v>
      </c>
      <c r="B16" s="766" t="s">
        <v>942</v>
      </c>
      <c r="C16" s="828"/>
      <c r="D16" s="828"/>
      <c r="E16" s="829"/>
      <c r="F16" s="1001"/>
      <c r="I16" s="839"/>
      <c r="J16" s="90"/>
      <c r="K16"/>
      <c r="L16"/>
      <c r="M16"/>
      <c r="N16"/>
      <c r="O16"/>
      <c r="P16"/>
      <c r="Q16"/>
    </row>
    <row r="17" spans="1:17" s="768" customFormat="1" ht="39.6" customHeight="1" x14ac:dyDescent="0.25">
      <c r="A17" s="999">
        <v>13</v>
      </c>
      <c r="B17" s="766" t="s">
        <v>941</v>
      </c>
      <c r="C17" s="828"/>
      <c r="D17" s="828"/>
      <c r="E17" s="829"/>
      <c r="F17" s="1001"/>
      <c r="I17" s="839"/>
      <c r="J17" s="90"/>
      <c r="K17"/>
      <c r="L17"/>
      <c r="M17"/>
      <c r="N17"/>
      <c r="O17"/>
      <c r="P17"/>
      <c r="Q17"/>
    </row>
    <row r="18" spans="1:17" s="768" customFormat="1" ht="39.6" customHeight="1" x14ac:dyDescent="0.25">
      <c r="A18" s="999">
        <v>14</v>
      </c>
      <c r="B18" s="766" t="s">
        <v>874</v>
      </c>
      <c r="C18" s="828"/>
      <c r="D18" s="828"/>
      <c r="E18" s="922">
        <v>0.15</v>
      </c>
      <c r="F18" s="1000"/>
      <c r="I18" s="839"/>
      <c r="J18"/>
      <c r="K18"/>
      <c r="L18"/>
      <c r="M18"/>
      <c r="N18"/>
      <c r="O18"/>
      <c r="P18"/>
      <c r="Q18"/>
    </row>
    <row r="19" spans="1:17" s="768" customFormat="1" ht="40.950000000000003" customHeight="1" x14ac:dyDescent="0.25">
      <c r="A19" s="999">
        <v>15</v>
      </c>
      <c r="B19" s="766" t="s">
        <v>944</v>
      </c>
      <c r="C19" s="828"/>
      <c r="D19" s="828"/>
      <c r="E19" s="922"/>
      <c r="F19" s="1001">
        <f>F18+F17</f>
        <v>0</v>
      </c>
      <c r="I19" s="839"/>
    </row>
    <row r="20" spans="1:17" s="768" customFormat="1" x14ac:dyDescent="0.25">
      <c r="A20" s="1002"/>
      <c r="C20" s="769"/>
      <c r="D20" s="770"/>
      <c r="E20" s="850"/>
      <c r="F20" s="1003"/>
      <c r="I20" s="839"/>
    </row>
    <row r="21" spans="1:17" s="768" customFormat="1" x14ac:dyDescent="0.25">
      <c r="A21" s="1004"/>
      <c r="C21" s="769"/>
      <c r="D21" s="770"/>
      <c r="E21" s="850"/>
      <c r="F21" s="1003"/>
      <c r="I21" s="839"/>
    </row>
    <row r="22" spans="1:17" s="768" customFormat="1" x14ac:dyDescent="0.25">
      <c r="A22" s="1005"/>
      <c r="C22" s="769"/>
      <c r="D22" s="770"/>
      <c r="E22" s="850"/>
      <c r="F22" s="1003"/>
      <c r="I22" s="839"/>
    </row>
    <row r="23" spans="1:17" s="768" customFormat="1" x14ac:dyDescent="0.25">
      <c r="A23" s="1002"/>
      <c r="C23" s="769"/>
      <c r="D23" s="770"/>
      <c r="E23" s="850"/>
      <c r="F23" s="1003"/>
      <c r="I23" s="839"/>
    </row>
    <row r="24" spans="1:17" s="768" customFormat="1" x14ac:dyDescent="0.25">
      <c r="A24" s="1002"/>
      <c r="C24" s="769"/>
      <c r="D24" s="770"/>
      <c r="E24" s="850"/>
      <c r="F24" s="1003"/>
      <c r="I24" s="839"/>
    </row>
    <row r="25" spans="1:17" s="768" customFormat="1" x14ac:dyDescent="0.25">
      <c r="A25" s="1002"/>
      <c r="C25" s="769"/>
      <c r="D25" s="770"/>
      <c r="E25" s="850"/>
      <c r="F25" s="1003"/>
      <c r="I25" s="839"/>
    </row>
    <row r="26" spans="1:17" s="768" customFormat="1" x14ac:dyDescent="0.25">
      <c r="A26" s="1002"/>
      <c r="C26" s="769"/>
      <c r="D26" s="770"/>
      <c r="E26" s="850"/>
      <c r="F26" s="1003"/>
      <c r="I26" s="714"/>
    </row>
    <row r="27" spans="1:17" s="768" customFormat="1" ht="13.8" thickBot="1" x14ac:dyDescent="0.3">
      <c r="A27" s="1006"/>
      <c r="B27" s="1007"/>
      <c r="C27" s="1008"/>
      <c r="D27" s="1009"/>
      <c r="E27" s="1010"/>
      <c r="F27" s="1011"/>
      <c r="I27" s="839"/>
    </row>
    <row r="28" spans="1:17" s="768" customFormat="1" x14ac:dyDescent="0.25">
      <c r="A28" s="769"/>
      <c r="C28" s="769"/>
      <c r="D28" s="770"/>
      <c r="E28" s="715"/>
      <c r="F28" s="840"/>
      <c r="I28" s="839"/>
    </row>
    <row r="29" spans="1:17" s="768" customFormat="1" x14ac:dyDescent="0.25">
      <c r="A29" s="769"/>
      <c r="C29" s="769"/>
      <c r="D29" s="770"/>
      <c r="E29" s="715"/>
      <c r="F29" s="840"/>
      <c r="I29" s="839"/>
    </row>
    <row r="30" spans="1:17" s="768" customFormat="1" x14ac:dyDescent="0.25">
      <c r="A30" s="769"/>
      <c r="C30" s="769"/>
      <c r="D30" s="770"/>
      <c r="E30" s="715"/>
      <c r="F30" s="840"/>
      <c r="I30" s="839"/>
    </row>
    <row r="31" spans="1:17" s="768" customFormat="1" x14ac:dyDescent="0.25">
      <c r="A31" s="769"/>
      <c r="C31" s="769"/>
      <c r="D31" s="770"/>
      <c r="E31" s="715"/>
      <c r="F31" s="840"/>
      <c r="I31" s="839"/>
    </row>
    <row r="32" spans="1:17" s="768" customFormat="1" x14ac:dyDescent="0.25">
      <c r="A32" s="769"/>
      <c r="C32" s="769"/>
      <c r="D32" s="770"/>
      <c r="E32" s="715"/>
      <c r="F32" s="840"/>
      <c r="I32" s="839"/>
    </row>
    <row r="33" spans="1:9" s="768" customFormat="1" x14ac:dyDescent="0.25">
      <c r="A33" s="769"/>
      <c r="C33" s="769"/>
      <c r="D33" s="770"/>
      <c r="E33" s="715"/>
      <c r="F33" s="840"/>
      <c r="I33" s="839"/>
    </row>
    <row r="34" spans="1:9" s="768" customFormat="1" x14ac:dyDescent="0.25">
      <c r="A34" s="769"/>
      <c r="C34" s="769"/>
      <c r="D34" s="770"/>
      <c r="E34" s="715"/>
      <c r="F34" s="840"/>
      <c r="I34" s="839"/>
    </row>
    <row r="35" spans="1:9" s="768" customFormat="1" x14ac:dyDescent="0.25">
      <c r="A35" s="769"/>
      <c r="C35" s="769"/>
      <c r="D35" s="770"/>
      <c r="E35" s="715"/>
      <c r="F35" s="840"/>
      <c r="I35" s="839"/>
    </row>
    <row r="36" spans="1:9" s="768" customFormat="1" x14ac:dyDescent="0.25">
      <c r="A36" s="769"/>
      <c r="C36" s="769"/>
      <c r="D36" s="770"/>
      <c r="E36" s="840"/>
      <c r="F36" s="840"/>
      <c r="I36" s="839"/>
    </row>
    <row r="37" spans="1:9" s="768" customFormat="1" x14ac:dyDescent="0.25">
      <c r="A37" s="769"/>
      <c r="C37" s="769"/>
      <c r="D37" s="770"/>
      <c r="E37" s="840"/>
      <c r="F37" s="840"/>
      <c r="I37" s="839"/>
    </row>
    <row r="38" spans="1:9" s="768" customFormat="1" x14ac:dyDescent="0.25">
      <c r="A38" s="769"/>
      <c r="C38" s="769"/>
      <c r="D38" s="770"/>
      <c r="E38" s="840"/>
      <c r="F38" s="840"/>
      <c r="I38" s="839"/>
    </row>
    <row r="39" spans="1:9" s="768" customFormat="1" x14ac:dyDescent="0.25">
      <c r="A39" s="769"/>
      <c r="C39" s="769"/>
      <c r="D39" s="770"/>
      <c r="E39" s="840"/>
      <c r="F39" s="840"/>
      <c r="I39" s="839"/>
    </row>
    <row r="40" spans="1:9" s="768" customFormat="1" x14ac:dyDescent="0.25">
      <c r="A40" s="769"/>
      <c r="C40" s="769"/>
      <c r="D40" s="770"/>
      <c r="E40" s="840"/>
      <c r="F40" s="840"/>
      <c r="I40" s="839"/>
    </row>
    <row r="41" spans="1:9" s="768" customFormat="1" x14ac:dyDescent="0.25">
      <c r="A41" s="769"/>
      <c r="C41" s="769"/>
      <c r="D41" s="770"/>
      <c r="E41" s="840"/>
      <c r="F41" s="840"/>
      <c r="I41" s="839"/>
    </row>
    <row r="42" spans="1:9" s="768" customFormat="1" x14ac:dyDescent="0.25">
      <c r="A42" s="769"/>
      <c r="C42" s="769"/>
      <c r="D42" s="770"/>
      <c r="E42" s="840"/>
      <c r="F42" s="840"/>
      <c r="I42" s="839"/>
    </row>
    <row r="43" spans="1:9" s="768" customFormat="1" x14ac:dyDescent="0.25">
      <c r="A43" s="769"/>
      <c r="C43" s="769"/>
      <c r="D43" s="770"/>
      <c r="E43" s="840"/>
      <c r="F43" s="840"/>
      <c r="I43" s="839"/>
    </row>
    <row r="44" spans="1:9" s="768" customFormat="1" x14ac:dyDescent="0.25">
      <c r="A44" s="769"/>
      <c r="C44" s="769"/>
      <c r="D44" s="770"/>
      <c r="E44" s="840"/>
      <c r="F44" s="840"/>
      <c r="I44" s="839"/>
    </row>
    <row r="45" spans="1:9" s="768" customFormat="1" x14ac:dyDescent="0.25">
      <c r="A45" s="769"/>
      <c r="C45" s="769"/>
      <c r="D45" s="770"/>
      <c r="E45" s="840"/>
      <c r="F45" s="840"/>
      <c r="I45" s="839"/>
    </row>
    <row r="46" spans="1:9" s="768" customFormat="1" x14ac:dyDescent="0.25">
      <c r="A46" s="769"/>
      <c r="C46" s="769"/>
      <c r="D46" s="770"/>
      <c r="E46" s="840"/>
      <c r="F46" s="840"/>
      <c r="I46" s="839"/>
    </row>
    <row r="47" spans="1:9" s="768" customFormat="1" x14ac:dyDescent="0.25">
      <c r="A47" s="769"/>
      <c r="C47" s="769"/>
      <c r="D47" s="770"/>
      <c r="E47" s="840"/>
      <c r="F47" s="840"/>
      <c r="I47" s="839"/>
    </row>
    <row r="48" spans="1:9" s="768" customFormat="1" x14ac:dyDescent="0.25">
      <c r="A48" s="769"/>
      <c r="C48" s="769"/>
      <c r="D48" s="770"/>
      <c r="E48" s="840"/>
      <c r="F48" s="840"/>
      <c r="I48" s="839"/>
    </row>
    <row r="49" spans="1:9" s="768" customFormat="1" x14ac:dyDescent="0.25">
      <c r="A49" s="769"/>
      <c r="C49" s="769"/>
      <c r="D49" s="770"/>
      <c r="E49" s="840"/>
      <c r="F49" s="840"/>
      <c r="I49" s="839"/>
    </row>
    <row r="50" spans="1:9" s="768" customFormat="1" x14ac:dyDescent="0.25">
      <c r="A50" s="769"/>
      <c r="C50" s="769"/>
      <c r="D50" s="770"/>
      <c r="E50" s="840"/>
      <c r="F50" s="840"/>
      <c r="I50" s="839"/>
    </row>
    <row r="51" spans="1:9" s="768" customFormat="1" x14ac:dyDescent="0.25">
      <c r="A51" s="769"/>
      <c r="C51" s="769"/>
      <c r="D51" s="770"/>
      <c r="E51" s="840"/>
      <c r="F51" s="840"/>
      <c r="I51" s="839"/>
    </row>
    <row r="52" spans="1:9" s="768" customFormat="1" x14ac:dyDescent="0.25">
      <c r="A52" s="769"/>
      <c r="C52" s="769"/>
      <c r="D52" s="770"/>
      <c r="E52" s="840"/>
      <c r="F52" s="840"/>
      <c r="I52" s="839"/>
    </row>
    <row r="53" spans="1:9" s="768" customFormat="1" x14ac:dyDescent="0.25">
      <c r="A53" s="769"/>
      <c r="C53" s="769"/>
      <c r="D53" s="770"/>
      <c r="E53" s="840"/>
      <c r="F53" s="840"/>
      <c r="I53" s="839"/>
    </row>
    <row r="54" spans="1:9" s="768" customFormat="1" x14ac:dyDescent="0.25">
      <c r="A54" s="769"/>
      <c r="C54" s="769"/>
      <c r="D54" s="770"/>
      <c r="E54" s="840"/>
      <c r="F54" s="840"/>
      <c r="I54" s="839"/>
    </row>
    <row r="55" spans="1:9" s="768" customFormat="1" x14ac:dyDescent="0.25">
      <c r="A55" s="769"/>
      <c r="C55" s="769"/>
      <c r="D55" s="770"/>
      <c r="E55" s="840"/>
      <c r="F55" s="840"/>
      <c r="I55" s="839"/>
    </row>
    <row r="56" spans="1:9" s="768" customFormat="1" x14ac:dyDescent="0.25">
      <c r="A56" s="769"/>
      <c r="C56" s="769"/>
      <c r="D56" s="770"/>
      <c r="E56" s="840"/>
      <c r="F56" s="840"/>
      <c r="I56" s="839"/>
    </row>
    <row r="57" spans="1:9" s="768" customFormat="1" x14ac:dyDescent="0.25">
      <c r="A57" s="769"/>
      <c r="C57" s="769"/>
      <c r="D57" s="770"/>
      <c r="E57" s="840"/>
      <c r="F57" s="840"/>
      <c r="I57" s="839"/>
    </row>
    <row r="58" spans="1:9" s="768" customFormat="1" x14ac:dyDescent="0.25">
      <c r="A58" s="769"/>
      <c r="C58" s="769"/>
      <c r="D58" s="770"/>
      <c r="E58" s="840"/>
      <c r="F58" s="840"/>
      <c r="I58" s="839"/>
    </row>
    <row r="59" spans="1:9" s="768" customFormat="1" x14ac:dyDescent="0.25">
      <c r="A59" s="769"/>
      <c r="C59" s="769"/>
      <c r="D59" s="770"/>
      <c r="E59" s="840"/>
      <c r="F59" s="840"/>
      <c r="I59" s="839"/>
    </row>
    <row r="60" spans="1:9" s="768" customFormat="1" x14ac:dyDescent="0.25">
      <c r="A60" s="769"/>
      <c r="C60" s="769"/>
      <c r="D60" s="770"/>
      <c r="E60" s="840"/>
      <c r="F60" s="840"/>
      <c r="I60" s="839"/>
    </row>
    <row r="61" spans="1:9" s="768" customFormat="1" x14ac:dyDescent="0.25">
      <c r="A61" s="769"/>
      <c r="C61" s="769"/>
      <c r="D61" s="770"/>
      <c r="E61" s="840"/>
      <c r="F61" s="840"/>
      <c r="I61" s="839"/>
    </row>
    <row r="62" spans="1:9" s="768" customFormat="1" x14ac:dyDescent="0.25">
      <c r="A62" s="769"/>
      <c r="C62" s="769"/>
      <c r="D62" s="770"/>
      <c r="E62" s="840"/>
      <c r="F62" s="840"/>
      <c r="I62" s="839"/>
    </row>
    <row r="63" spans="1:9" s="768" customFormat="1" x14ac:dyDescent="0.25">
      <c r="A63" s="769"/>
      <c r="C63" s="769"/>
      <c r="D63" s="770"/>
      <c r="E63" s="840"/>
      <c r="F63" s="840"/>
      <c r="I63" s="839"/>
    </row>
    <row r="64" spans="1:9" s="768" customFormat="1" x14ac:dyDescent="0.25">
      <c r="A64" s="769"/>
      <c r="C64" s="769"/>
      <c r="D64" s="770"/>
      <c r="E64" s="840"/>
      <c r="F64" s="840"/>
      <c r="I64" s="839"/>
    </row>
    <row r="65" spans="1:9" s="768" customFormat="1" x14ac:dyDescent="0.25">
      <c r="A65" s="769"/>
      <c r="C65" s="769"/>
      <c r="D65" s="770"/>
      <c r="E65" s="840"/>
      <c r="F65" s="840"/>
      <c r="I65" s="839"/>
    </row>
    <row r="66" spans="1:9" s="768" customFormat="1" x14ac:dyDescent="0.25">
      <c r="A66" s="769"/>
      <c r="C66" s="769"/>
      <c r="D66" s="770"/>
      <c r="E66" s="840"/>
      <c r="F66" s="840"/>
      <c r="I66" s="839"/>
    </row>
    <row r="67" spans="1:9" s="768" customFormat="1" x14ac:dyDescent="0.25">
      <c r="A67" s="769"/>
      <c r="C67" s="769"/>
      <c r="D67" s="770"/>
      <c r="E67" s="840"/>
      <c r="F67" s="840"/>
      <c r="I67" s="839"/>
    </row>
    <row r="68" spans="1:9" s="768" customFormat="1" x14ac:dyDescent="0.25">
      <c r="A68" s="769"/>
      <c r="C68" s="769"/>
      <c r="D68" s="770"/>
      <c r="E68" s="840"/>
      <c r="F68" s="840"/>
      <c r="I68" s="839"/>
    </row>
    <row r="69" spans="1:9" s="768" customFormat="1" x14ac:dyDescent="0.25">
      <c r="A69" s="769"/>
      <c r="C69" s="769"/>
      <c r="D69" s="770"/>
      <c r="E69" s="840"/>
      <c r="F69" s="840"/>
      <c r="I69" s="839"/>
    </row>
    <row r="70" spans="1:9" s="768" customFormat="1" x14ac:dyDescent="0.25">
      <c r="A70" s="769"/>
      <c r="C70" s="769"/>
      <c r="D70" s="770"/>
      <c r="E70" s="840"/>
      <c r="F70" s="840"/>
      <c r="I70" s="839"/>
    </row>
    <row r="71" spans="1:9" s="768" customFormat="1" x14ac:dyDescent="0.25">
      <c r="A71" s="769"/>
      <c r="C71" s="769"/>
      <c r="D71" s="770"/>
      <c r="E71" s="840"/>
      <c r="F71" s="840"/>
      <c r="I71" s="839"/>
    </row>
    <row r="72" spans="1:9" s="768" customFormat="1" x14ac:dyDescent="0.25">
      <c r="A72" s="769"/>
      <c r="C72" s="769"/>
      <c r="D72" s="770"/>
      <c r="E72" s="840"/>
      <c r="F72" s="840"/>
      <c r="I72" s="839"/>
    </row>
  </sheetData>
  <mergeCells count="2">
    <mergeCell ref="A2:F2"/>
    <mergeCell ref="A3:F3"/>
  </mergeCells>
  <printOptions horizontalCentered="1"/>
  <pageMargins left="0.74803149606299202" right="0.511811023622047" top="0.511811023622047" bottom="0.511811023622047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37A9-96CC-4B23-98A0-C5088A217B03}">
  <sheetPr>
    <tabColor theme="9" tint="0.59999389629810485"/>
    <pageSetUpPr fitToPage="1"/>
  </sheetPr>
  <dimension ref="A1:WVT56"/>
  <sheetViews>
    <sheetView view="pageBreakPreview" topLeftCell="C1" zoomScaleNormal="100" zoomScaleSheetLayoutView="100" workbookViewId="0">
      <selection activeCell="N31" sqref="N31"/>
    </sheetView>
  </sheetViews>
  <sheetFormatPr defaultColWidth="8.88671875" defaultRowHeight="13.8" x14ac:dyDescent="0.25"/>
  <cols>
    <col min="1" max="1" width="7.6640625" style="914" customWidth="1"/>
    <col min="2" max="2" width="9.6640625" style="914" customWidth="1"/>
    <col min="3" max="3" width="50.6640625" style="913" customWidth="1"/>
    <col min="4" max="4" width="7.6640625" style="915" customWidth="1"/>
    <col min="5" max="5" width="8.6640625" style="915" customWidth="1"/>
    <col min="6" max="6" width="15.44140625" style="916" customWidth="1"/>
    <col min="7" max="7" width="17.6640625" style="916" customWidth="1"/>
    <col min="8" max="8" width="18.5546875" style="912" hidden="1" customWidth="1"/>
    <col min="9" max="10" width="15.44140625" style="913" hidden="1" customWidth="1"/>
    <col min="11" max="11" width="16.88671875" style="913" hidden="1" customWidth="1"/>
    <col min="12" max="12" width="15.5546875" style="913" hidden="1" customWidth="1"/>
    <col min="13" max="256" width="8.88671875" style="913"/>
    <col min="257" max="257" width="3.6640625" style="913" bestFit="1" customWidth="1"/>
    <col min="258" max="258" width="8.33203125" style="913" customWidth="1"/>
    <col min="259" max="259" width="46.109375" style="913" customWidth="1"/>
    <col min="260" max="260" width="11" style="913" customWidth="1"/>
    <col min="261" max="261" width="12.5546875" style="913" customWidth="1"/>
    <col min="262" max="262" width="10.88671875" style="913" customWidth="1"/>
    <col min="263" max="263" width="16.109375" style="913" customWidth="1"/>
    <col min="264" max="264" width="0" style="913" hidden="1" customWidth="1"/>
    <col min="265" max="265" width="15.44140625" style="913" customWidth="1"/>
    <col min="266" max="266" width="12.88671875" style="913" bestFit="1" customWidth="1"/>
    <col min="267" max="267" width="8.88671875" style="913"/>
    <col min="268" max="268" width="12.88671875" style="913" bestFit="1" customWidth="1"/>
    <col min="269" max="512" width="8.88671875" style="913"/>
    <col min="513" max="513" width="3.6640625" style="913" bestFit="1" customWidth="1"/>
    <col min="514" max="514" width="8.33203125" style="913" customWidth="1"/>
    <col min="515" max="515" width="46.109375" style="913" customWidth="1"/>
    <col min="516" max="516" width="11" style="913" customWidth="1"/>
    <col min="517" max="517" width="12.5546875" style="913" customWidth="1"/>
    <col min="518" max="518" width="10.88671875" style="913" customWidth="1"/>
    <col min="519" max="519" width="16.109375" style="913" customWidth="1"/>
    <col min="520" max="520" width="0" style="913" hidden="1" customWidth="1"/>
    <col min="521" max="521" width="15.44140625" style="913" customWidth="1"/>
    <col min="522" max="522" width="12.88671875" style="913" bestFit="1" customWidth="1"/>
    <col min="523" max="523" width="8.88671875" style="913"/>
    <col min="524" max="524" width="12.88671875" style="913" bestFit="1" customWidth="1"/>
    <col min="525" max="768" width="8.88671875" style="913"/>
    <col min="769" max="769" width="3.6640625" style="913" bestFit="1" customWidth="1"/>
    <col min="770" max="770" width="8.33203125" style="913" customWidth="1"/>
    <col min="771" max="771" width="46.109375" style="913" customWidth="1"/>
    <col min="772" max="772" width="11" style="913" customWidth="1"/>
    <col min="773" max="773" width="12.5546875" style="913" customWidth="1"/>
    <col min="774" max="774" width="10.88671875" style="913" customWidth="1"/>
    <col min="775" max="775" width="16.109375" style="913" customWidth="1"/>
    <col min="776" max="776" width="0" style="913" hidden="1" customWidth="1"/>
    <col min="777" max="777" width="15.44140625" style="913" customWidth="1"/>
    <col min="778" max="778" width="12.88671875" style="913" bestFit="1" customWidth="1"/>
    <col min="779" max="779" width="8.88671875" style="913"/>
    <col min="780" max="780" width="12.88671875" style="913" bestFit="1" customWidth="1"/>
    <col min="781" max="1024" width="8.88671875" style="913"/>
    <col min="1025" max="1025" width="3.6640625" style="913" bestFit="1" customWidth="1"/>
    <col min="1026" max="1026" width="8.33203125" style="913" customWidth="1"/>
    <col min="1027" max="1027" width="46.109375" style="913" customWidth="1"/>
    <col min="1028" max="1028" width="11" style="913" customWidth="1"/>
    <col min="1029" max="1029" width="12.5546875" style="913" customWidth="1"/>
    <col min="1030" max="1030" width="10.88671875" style="913" customWidth="1"/>
    <col min="1031" max="1031" width="16.109375" style="913" customWidth="1"/>
    <col min="1032" max="1032" width="0" style="913" hidden="1" customWidth="1"/>
    <col min="1033" max="1033" width="15.44140625" style="913" customWidth="1"/>
    <col min="1034" max="1034" width="12.88671875" style="913" bestFit="1" customWidth="1"/>
    <col min="1035" max="1035" width="8.88671875" style="913"/>
    <col min="1036" max="1036" width="12.88671875" style="913" bestFit="1" customWidth="1"/>
    <col min="1037" max="1280" width="8.88671875" style="913"/>
    <col min="1281" max="1281" width="3.6640625" style="913" bestFit="1" customWidth="1"/>
    <col min="1282" max="1282" width="8.33203125" style="913" customWidth="1"/>
    <col min="1283" max="1283" width="46.109375" style="913" customWidth="1"/>
    <col min="1284" max="1284" width="11" style="913" customWidth="1"/>
    <col min="1285" max="1285" width="12.5546875" style="913" customWidth="1"/>
    <col min="1286" max="1286" width="10.88671875" style="913" customWidth="1"/>
    <col min="1287" max="1287" width="16.109375" style="913" customWidth="1"/>
    <col min="1288" max="1288" width="0" style="913" hidden="1" customWidth="1"/>
    <col min="1289" max="1289" width="15.44140625" style="913" customWidth="1"/>
    <col min="1290" max="1290" width="12.88671875" style="913" bestFit="1" customWidth="1"/>
    <col min="1291" max="1291" width="8.88671875" style="913"/>
    <col min="1292" max="1292" width="12.88671875" style="913" bestFit="1" customWidth="1"/>
    <col min="1293" max="1536" width="8.88671875" style="913"/>
    <col min="1537" max="1537" width="3.6640625" style="913" bestFit="1" customWidth="1"/>
    <col min="1538" max="1538" width="8.33203125" style="913" customWidth="1"/>
    <col min="1539" max="1539" width="46.109375" style="913" customWidth="1"/>
    <col min="1540" max="1540" width="11" style="913" customWidth="1"/>
    <col min="1541" max="1541" width="12.5546875" style="913" customWidth="1"/>
    <col min="1542" max="1542" width="10.88671875" style="913" customWidth="1"/>
    <col min="1543" max="1543" width="16.109375" style="913" customWidth="1"/>
    <col min="1544" max="1544" width="0" style="913" hidden="1" customWidth="1"/>
    <col min="1545" max="1545" width="15.44140625" style="913" customWidth="1"/>
    <col min="1546" max="1546" width="12.88671875" style="913" bestFit="1" customWidth="1"/>
    <col min="1547" max="1547" width="8.88671875" style="913"/>
    <col min="1548" max="1548" width="12.88671875" style="913" bestFit="1" customWidth="1"/>
    <col min="1549" max="1792" width="8.88671875" style="913"/>
    <col min="1793" max="1793" width="3.6640625" style="913" bestFit="1" customWidth="1"/>
    <col min="1794" max="1794" width="8.33203125" style="913" customWidth="1"/>
    <col min="1795" max="1795" width="46.109375" style="913" customWidth="1"/>
    <col min="1796" max="1796" width="11" style="913" customWidth="1"/>
    <col min="1797" max="1797" width="12.5546875" style="913" customWidth="1"/>
    <col min="1798" max="1798" width="10.88671875" style="913" customWidth="1"/>
    <col min="1799" max="1799" width="16.109375" style="913" customWidth="1"/>
    <col min="1800" max="1800" width="0" style="913" hidden="1" customWidth="1"/>
    <col min="1801" max="1801" width="15.44140625" style="913" customWidth="1"/>
    <col min="1802" max="1802" width="12.88671875" style="913" bestFit="1" customWidth="1"/>
    <col min="1803" max="1803" width="8.88671875" style="913"/>
    <col min="1804" max="1804" width="12.88671875" style="913" bestFit="1" customWidth="1"/>
    <col min="1805" max="2048" width="8.88671875" style="913"/>
    <col min="2049" max="2049" width="3.6640625" style="913" bestFit="1" customWidth="1"/>
    <col min="2050" max="2050" width="8.33203125" style="913" customWidth="1"/>
    <col min="2051" max="2051" width="46.109375" style="913" customWidth="1"/>
    <col min="2052" max="2052" width="11" style="913" customWidth="1"/>
    <col min="2053" max="2053" width="12.5546875" style="913" customWidth="1"/>
    <col min="2054" max="2054" width="10.88671875" style="913" customWidth="1"/>
    <col min="2055" max="2055" width="16.109375" style="913" customWidth="1"/>
    <col min="2056" max="2056" width="0" style="913" hidden="1" customWidth="1"/>
    <col min="2057" max="2057" width="15.44140625" style="913" customWidth="1"/>
    <col min="2058" max="2058" width="12.88671875" style="913" bestFit="1" customWidth="1"/>
    <col min="2059" max="2059" width="8.88671875" style="913"/>
    <col min="2060" max="2060" width="12.88671875" style="913" bestFit="1" customWidth="1"/>
    <col min="2061" max="2304" width="8.88671875" style="913"/>
    <col min="2305" max="2305" width="3.6640625" style="913" bestFit="1" customWidth="1"/>
    <col min="2306" max="2306" width="8.33203125" style="913" customWidth="1"/>
    <col min="2307" max="2307" width="46.109375" style="913" customWidth="1"/>
    <col min="2308" max="2308" width="11" style="913" customWidth="1"/>
    <col min="2309" max="2309" width="12.5546875" style="913" customWidth="1"/>
    <col min="2310" max="2310" width="10.88671875" style="913" customWidth="1"/>
    <col min="2311" max="2311" width="16.109375" style="913" customWidth="1"/>
    <col min="2312" max="2312" width="0" style="913" hidden="1" customWidth="1"/>
    <col min="2313" max="2313" width="15.44140625" style="913" customWidth="1"/>
    <col min="2314" max="2314" width="12.88671875" style="913" bestFit="1" customWidth="1"/>
    <col min="2315" max="2315" width="8.88671875" style="913"/>
    <col min="2316" max="2316" width="12.88671875" style="913" bestFit="1" customWidth="1"/>
    <col min="2317" max="2560" width="8.88671875" style="913"/>
    <col min="2561" max="2561" width="3.6640625" style="913" bestFit="1" customWidth="1"/>
    <col min="2562" max="2562" width="8.33203125" style="913" customWidth="1"/>
    <col min="2563" max="2563" width="46.109375" style="913" customWidth="1"/>
    <col min="2564" max="2564" width="11" style="913" customWidth="1"/>
    <col min="2565" max="2565" width="12.5546875" style="913" customWidth="1"/>
    <col min="2566" max="2566" width="10.88671875" style="913" customWidth="1"/>
    <col min="2567" max="2567" width="16.109375" style="913" customWidth="1"/>
    <col min="2568" max="2568" width="0" style="913" hidden="1" customWidth="1"/>
    <col min="2569" max="2569" width="15.44140625" style="913" customWidth="1"/>
    <col min="2570" max="2570" width="12.88671875" style="913" bestFit="1" customWidth="1"/>
    <col min="2571" max="2571" width="8.88671875" style="913"/>
    <col min="2572" max="2572" width="12.88671875" style="913" bestFit="1" customWidth="1"/>
    <col min="2573" max="2816" width="8.88671875" style="913"/>
    <col min="2817" max="2817" width="3.6640625" style="913" bestFit="1" customWidth="1"/>
    <col min="2818" max="2818" width="8.33203125" style="913" customWidth="1"/>
    <col min="2819" max="2819" width="46.109375" style="913" customWidth="1"/>
    <col min="2820" max="2820" width="11" style="913" customWidth="1"/>
    <col min="2821" max="2821" width="12.5546875" style="913" customWidth="1"/>
    <col min="2822" max="2822" width="10.88671875" style="913" customWidth="1"/>
    <col min="2823" max="2823" width="16.109375" style="913" customWidth="1"/>
    <col min="2824" max="2824" width="0" style="913" hidden="1" customWidth="1"/>
    <col min="2825" max="2825" width="15.44140625" style="913" customWidth="1"/>
    <col min="2826" max="2826" width="12.88671875" style="913" bestFit="1" customWidth="1"/>
    <col min="2827" max="2827" width="8.88671875" style="913"/>
    <col min="2828" max="2828" width="12.88671875" style="913" bestFit="1" customWidth="1"/>
    <col min="2829" max="3072" width="8.88671875" style="913"/>
    <col min="3073" max="3073" width="3.6640625" style="913" bestFit="1" customWidth="1"/>
    <col min="3074" max="3074" width="8.33203125" style="913" customWidth="1"/>
    <col min="3075" max="3075" width="46.109375" style="913" customWidth="1"/>
    <col min="3076" max="3076" width="11" style="913" customWidth="1"/>
    <col min="3077" max="3077" width="12.5546875" style="913" customWidth="1"/>
    <col min="3078" max="3078" width="10.88671875" style="913" customWidth="1"/>
    <col min="3079" max="3079" width="16.109375" style="913" customWidth="1"/>
    <col min="3080" max="3080" width="0" style="913" hidden="1" customWidth="1"/>
    <col min="3081" max="3081" width="15.44140625" style="913" customWidth="1"/>
    <col min="3082" max="3082" width="12.88671875" style="913" bestFit="1" customWidth="1"/>
    <col min="3083" max="3083" width="8.88671875" style="913"/>
    <col min="3084" max="3084" width="12.88671875" style="913" bestFit="1" customWidth="1"/>
    <col min="3085" max="3328" width="8.88671875" style="913"/>
    <col min="3329" max="3329" width="3.6640625" style="913" bestFit="1" customWidth="1"/>
    <col min="3330" max="3330" width="8.33203125" style="913" customWidth="1"/>
    <col min="3331" max="3331" width="46.109375" style="913" customWidth="1"/>
    <col min="3332" max="3332" width="11" style="913" customWidth="1"/>
    <col min="3333" max="3333" width="12.5546875" style="913" customWidth="1"/>
    <col min="3334" max="3334" width="10.88671875" style="913" customWidth="1"/>
    <col min="3335" max="3335" width="16.109375" style="913" customWidth="1"/>
    <col min="3336" max="3336" width="0" style="913" hidden="1" customWidth="1"/>
    <col min="3337" max="3337" width="15.44140625" style="913" customWidth="1"/>
    <col min="3338" max="3338" width="12.88671875" style="913" bestFit="1" customWidth="1"/>
    <col min="3339" max="3339" width="8.88671875" style="913"/>
    <col min="3340" max="3340" width="12.88671875" style="913" bestFit="1" customWidth="1"/>
    <col min="3341" max="3584" width="8.88671875" style="913"/>
    <col min="3585" max="3585" width="3.6640625" style="913" bestFit="1" customWidth="1"/>
    <col min="3586" max="3586" width="8.33203125" style="913" customWidth="1"/>
    <col min="3587" max="3587" width="46.109375" style="913" customWidth="1"/>
    <col min="3588" max="3588" width="11" style="913" customWidth="1"/>
    <col min="3589" max="3589" width="12.5546875" style="913" customWidth="1"/>
    <col min="3590" max="3590" width="10.88671875" style="913" customWidth="1"/>
    <col min="3591" max="3591" width="16.109375" style="913" customWidth="1"/>
    <col min="3592" max="3592" width="0" style="913" hidden="1" customWidth="1"/>
    <col min="3593" max="3593" width="15.44140625" style="913" customWidth="1"/>
    <col min="3594" max="3594" width="12.88671875" style="913" bestFit="1" customWidth="1"/>
    <col min="3595" max="3595" width="8.88671875" style="913"/>
    <col min="3596" max="3596" width="12.88671875" style="913" bestFit="1" customWidth="1"/>
    <col min="3597" max="3840" width="8.88671875" style="913"/>
    <col min="3841" max="3841" width="3.6640625" style="913" bestFit="1" customWidth="1"/>
    <col min="3842" max="3842" width="8.33203125" style="913" customWidth="1"/>
    <col min="3843" max="3843" width="46.109375" style="913" customWidth="1"/>
    <col min="3844" max="3844" width="11" style="913" customWidth="1"/>
    <col min="3845" max="3845" width="12.5546875" style="913" customWidth="1"/>
    <col min="3846" max="3846" width="10.88671875" style="913" customWidth="1"/>
    <col min="3847" max="3847" width="16.109375" style="913" customWidth="1"/>
    <col min="3848" max="3848" width="0" style="913" hidden="1" customWidth="1"/>
    <col min="3849" max="3849" width="15.44140625" style="913" customWidth="1"/>
    <col min="3850" max="3850" width="12.88671875" style="913" bestFit="1" customWidth="1"/>
    <col min="3851" max="3851" width="8.88671875" style="913"/>
    <col min="3852" max="3852" width="12.88671875" style="913" bestFit="1" customWidth="1"/>
    <col min="3853" max="4096" width="8.88671875" style="913"/>
    <col min="4097" max="4097" width="3.6640625" style="913" bestFit="1" customWidth="1"/>
    <col min="4098" max="4098" width="8.33203125" style="913" customWidth="1"/>
    <col min="4099" max="4099" width="46.109375" style="913" customWidth="1"/>
    <col min="4100" max="4100" width="11" style="913" customWidth="1"/>
    <col min="4101" max="4101" width="12.5546875" style="913" customWidth="1"/>
    <col min="4102" max="4102" width="10.88671875" style="913" customWidth="1"/>
    <col min="4103" max="4103" width="16.109375" style="913" customWidth="1"/>
    <col min="4104" max="4104" width="0" style="913" hidden="1" customWidth="1"/>
    <col min="4105" max="4105" width="15.44140625" style="913" customWidth="1"/>
    <col min="4106" max="4106" width="12.88671875" style="913" bestFit="1" customWidth="1"/>
    <col min="4107" max="4107" width="8.88671875" style="913"/>
    <col min="4108" max="4108" width="12.88671875" style="913" bestFit="1" customWidth="1"/>
    <col min="4109" max="4352" width="8.88671875" style="913"/>
    <col min="4353" max="4353" width="3.6640625" style="913" bestFit="1" customWidth="1"/>
    <col min="4354" max="4354" width="8.33203125" style="913" customWidth="1"/>
    <col min="4355" max="4355" width="46.109375" style="913" customWidth="1"/>
    <col min="4356" max="4356" width="11" style="913" customWidth="1"/>
    <col min="4357" max="4357" width="12.5546875" style="913" customWidth="1"/>
    <col min="4358" max="4358" width="10.88671875" style="913" customWidth="1"/>
    <col min="4359" max="4359" width="16.109375" style="913" customWidth="1"/>
    <col min="4360" max="4360" width="0" style="913" hidden="1" customWidth="1"/>
    <col min="4361" max="4361" width="15.44140625" style="913" customWidth="1"/>
    <col min="4362" max="4362" width="12.88671875" style="913" bestFit="1" customWidth="1"/>
    <col min="4363" max="4363" width="8.88671875" style="913"/>
    <col min="4364" max="4364" width="12.88671875" style="913" bestFit="1" customWidth="1"/>
    <col min="4365" max="4608" width="8.88671875" style="913"/>
    <col min="4609" max="4609" width="3.6640625" style="913" bestFit="1" customWidth="1"/>
    <col min="4610" max="4610" width="8.33203125" style="913" customWidth="1"/>
    <col min="4611" max="4611" width="46.109375" style="913" customWidth="1"/>
    <col min="4612" max="4612" width="11" style="913" customWidth="1"/>
    <col min="4613" max="4613" width="12.5546875" style="913" customWidth="1"/>
    <col min="4614" max="4614" width="10.88671875" style="913" customWidth="1"/>
    <col min="4615" max="4615" width="16.109375" style="913" customWidth="1"/>
    <col min="4616" max="4616" width="0" style="913" hidden="1" customWidth="1"/>
    <col min="4617" max="4617" width="15.44140625" style="913" customWidth="1"/>
    <col min="4618" max="4618" width="12.88671875" style="913" bestFit="1" customWidth="1"/>
    <col min="4619" max="4619" width="8.88671875" style="913"/>
    <col min="4620" max="4620" width="12.88671875" style="913" bestFit="1" customWidth="1"/>
    <col min="4621" max="4864" width="8.88671875" style="913"/>
    <col min="4865" max="4865" width="3.6640625" style="913" bestFit="1" customWidth="1"/>
    <col min="4866" max="4866" width="8.33203125" style="913" customWidth="1"/>
    <col min="4867" max="4867" width="46.109375" style="913" customWidth="1"/>
    <col min="4868" max="4868" width="11" style="913" customWidth="1"/>
    <col min="4869" max="4869" width="12.5546875" style="913" customWidth="1"/>
    <col min="4870" max="4870" width="10.88671875" style="913" customWidth="1"/>
    <col min="4871" max="4871" width="16.109375" style="913" customWidth="1"/>
    <col min="4872" max="4872" width="0" style="913" hidden="1" customWidth="1"/>
    <col min="4873" max="4873" width="15.44140625" style="913" customWidth="1"/>
    <col min="4874" max="4874" width="12.88671875" style="913" bestFit="1" customWidth="1"/>
    <col min="4875" max="4875" width="8.88671875" style="913"/>
    <col min="4876" max="4876" width="12.88671875" style="913" bestFit="1" customWidth="1"/>
    <col min="4877" max="5120" width="8.88671875" style="913"/>
    <col min="5121" max="5121" width="3.6640625" style="913" bestFit="1" customWidth="1"/>
    <col min="5122" max="5122" width="8.33203125" style="913" customWidth="1"/>
    <col min="5123" max="5123" width="46.109375" style="913" customWidth="1"/>
    <col min="5124" max="5124" width="11" style="913" customWidth="1"/>
    <col min="5125" max="5125" width="12.5546875" style="913" customWidth="1"/>
    <col min="5126" max="5126" width="10.88671875" style="913" customWidth="1"/>
    <col min="5127" max="5127" width="16.109375" style="913" customWidth="1"/>
    <col min="5128" max="5128" width="0" style="913" hidden="1" customWidth="1"/>
    <col min="5129" max="5129" width="15.44140625" style="913" customWidth="1"/>
    <col min="5130" max="5130" width="12.88671875" style="913" bestFit="1" customWidth="1"/>
    <col min="5131" max="5131" width="8.88671875" style="913"/>
    <col min="5132" max="5132" width="12.88671875" style="913" bestFit="1" customWidth="1"/>
    <col min="5133" max="5376" width="8.88671875" style="913"/>
    <col min="5377" max="5377" width="3.6640625" style="913" bestFit="1" customWidth="1"/>
    <col min="5378" max="5378" width="8.33203125" style="913" customWidth="1"/>
    <col min="5379" max="5379" width="46.109375" style="913" customWidth="1"/>
    <col min="5380" max="5380" width="11" style="913" customWidth="1"/>
    <col min="5381" max="5381" width="12.5546875" style="913" customWidth="1"/>
    <col min="5382" max="5382" width="10.88671875" style="913" customWidth="1"/>
    <col min="5383" max="5383" width="16.109375" style="913" customWidth="1"/>
    <col min="5384" max="5384" width="0" style="913" hidden="1" customWidth="1"/>
    <col min="5385" max="5385" width="15.44140625" style="913" customWidth="1"/>
    <col min="5386" max="5386" width="12.88671875" style="913" bestFit="1" customWidth="1"/>
    <col min="5387" max="5387" width="8.88671875" style="913"/>
    <col min="5388" max="5388" width="12.88671875" style="913" bestFit="1" customWidth="1"/>
    <col min="5389" max="5632" width="8.88671875" style="913"/>
    <col min="5633" max="5633" width="3.6640625" style="913" bestFit="1" customWidth="1"/>
    <col min="5634" max="5634" width="8.33203125" style="913" customWidth="1"/>
    <col min="5635" max="5635" width="46.109375" style="913" customWidth="1"/>
    <col min="5636" max="5636" width="11" style="913" customWidth="1"/>
    <col min="5637" max="5637" width="12.5546875" style="913" customWidth="1"/>
    <col min="5638" max="5638" width="10.88671875" style="913" customWidth="1"/>
    <col min="5639" max="5639" width="16.109375" style="913" customWidth="1"/>
    <col min="5640" max="5640" width="0" style="913" hidden="1" customWidth="1"/>
    <col min="5641" max="5641" width="15.44140625" style="913" customWidth="1"/>
    <col min="5642" max="5642" width="12.88671875" style="913" bestFit="1" customWidth="1"/>
    <col min="5643" max="5643" width="8.88671875" style="913"/>
    <col min="5644" max="5644" width="12.88671875" style="913" bestFit="1" customWidth="1"/>
    <col min="5645" max="5888" width="8.88671875" style="913"/>
    <col min="5889" max="5889" width="3.6640625" style="913" bestFit="1" customWidth="1"/>
    <col min="5890" max="5890" width="8.33203125" style="913" customWidth="1"/>
    <col min="5891" max="5891" width="46.109375" style="913" customWidth="1"/>
    <col min="5892" max="5892" width="11" style="913" customWidth="1"/>
    <col min="5893" max="5893" width="12.5546875" style="913" customWidth="1"/>
    <col min="5894" max="5894" width="10.88671875" style="913" customWidth="1"/>
    <col min="5895" max="5895" width="16.109375" style="913" customWidth="1"/>
    <col min="5896" max="5896" width="0" style="913" hidden="1" customWidth="1"/>
    <col min="5897" max="5897" width="15.44140625" style="913" customWidth="1"/>
    <col min="5898" max="5898" width="12.88671875" style="913" bestFit="1" customWidth="1"/>
    <col min="5899" max="5899" width="8.88671875" style="913"/>
    <col min="5900" max="5900" width="12.88671875" style="913" bestFit="1" customWidth="1"/>
    <col min="5901" max="6144" width="8.88671875" style="913"/>
    <col min="6145" max="6145" width="3.6640625" style="913" bestFit="1" customWidth="1"/>
    <col min="6146" max="6146" width="8.33203125" style="913" customWidth="1"/>
    <col min="6147" max="6147" width="46.109375" style="913" customWidth="1"/>
    <col min="6148" max="6148" width="11" style="913" customWidth="1"/>
    <col min="6149" max="6149" width="12.5546875" style="913" customWidth="1"/>
    <col min="6150" max="6150" width="10.88671875" style="913" customWidth="1"/>
    <col min="6151" max="6151" width="16.109375" style="913" customWidth="1"/>
    <col min="6152" max="6152" width="0" style="913" hidden="1" customWidth="1"/>
    <col min="6153" max="6153" width="15.44140625" style="913" customWidth="1"/>
    <col min="6154" max="6154" width="12.88671875" style="913" bestFit="1" customWidth="1"/>
    <col min="6155" max="6155" width="8.88671875" style="913"/>
    <col min="6156" max="6156" width="12.88671875" style="913" bestFit="1" customWidth="1"/>
    <col min="6157" max="6400" width="8.88671875" style="913"/>
    <col min="6401" max="6401" width="3.6640625" style="913" bestFit="1" customWidth="1"/>
    <col min="6402" max="6402" width="8.33203125" style="913" customWidth="1"/>
    <col min="6403" max="6403" width="46.109375" style="913" customWidth="1"/>
    <col min="6404" max="6404" width="11" style="913" customWidth="1"/>
    <col min="6405" max="6405" width="12.5546875" style="913" customWidth="1"/>
    <col min="6406" max="6406" width="10.88671875" style="913" customWidth="1"/>
    <col min="6407" max="6407" width="16.109375" style="913" customWidth="1"/>
    <col min="6408" max="6408" width="0" style="913" hidden="1" customWidth="1"/>
    <col min="6409" max="6409" width="15.44140625" style="913" customWidth="1"/>
    <col min="6410" max="6410" width="12.88671875" style="913" bestFit="1" customWidth="1"/>
    <col min="6411" max="6411" width="8.88671875" style="913"/>
    <col min="6412" max="6412" width="12.88671875" style="913" bestFit="1" customWidth="1"/>
    <col min="6413" max="6656" width="8.88671875" style="913"/>
    <col min="6657" max="6657" width="3.6640625" style="913" bestFit="1" customWidth="1"/>
    <col min="6658" max="6658" width="8.33203125" style="913" customWidth="1"/>
    <col min="6659" max="6659" width="46.109375" style="913" customWidth="1"/>
    <col min="6660" max="6660" width="11" style="913" customWidth="1"/>
    <col min="6661" max="6661" width="12.5546875" style="913" customWidth="1"/>
    <col min="6662" max="6662" width="10.88671875" style="913" customWidth="1"/>
    <col min="6663" max="6663" width="16.109375" style="913" customWidth="1"/>
    <col min="6664" max="6664" width="0" style="913" hidden="1" customWidth="1"/>
    <col min="6665" max="6665" width="15.44140625" style="913" customWidth="1"/>
    <col min="6666" max="6666" width="12.88671875" style="913" bestFit="1" customWidth="1"/>
    <col min="6667" max="6667" width="8.88671875" style="913"/>
    <col min="6668" max="6668" width="12.88671875" style="913" bestFit="1" customWidth="1"/>
    <col min="6669" max="6912" width="8.88671875" style="913"/>
    <col min="6913" max="6913" width="3.6640625" style="913" bestFit="1" customWidth="1"/>
    <col min="6914" max="6914" width="8.33203125" style="913" customWidth="1"/>
    <col min="6915" max="6915" width="46.109375" style="913" customWidth="1"/>
    <col min="6916" max="6916" width="11" style="913" customWidth="1"/>
    <col min="6917" max="6917" width="12.5546875" style="913" customWidth="1"/>
    <col min="6918" max="6918" width="10.88671875" style="913" customWidth="1"/>
    <col min="6919" max="6919" width="16.109375" style="913" customWidth="1"/>
    <col min="6920" max="6920" width="0" style="913" hidden="1" customWidth="1"/>
    <col min="6921" max="6921" width="15.44140625" style="913" customWidth="1"/>
    <col min="6922" max="6922" width="12.88671875" style="913" bestFit="1" customWidth="1"/>
    <col min="6923" max="6923" width="8.88671875" style="913"/>
    <col min="6924" max="6924" width="12.88671875" style="913" bestFit="1" customWidth="1"/>
    <col min="6925" max="7168" width="8.88671875" style="913"/>
    <col min="7169" max="7169" width="3.6640625" style="913" bestFit="1" customWidth="1"/>
    <col min="7170" max="7170" width="8.33203125" style="913" customWidth="1"/>
    <col min="7171" max="7171" width="46.109375" style="913" customWidth="1"/>
    <col min="7172" max="7172" width="11" style="913" customWidth="1"/>
    <col min="7173" max="7173" width="12.5546875" style="913" customWidth="1"/>
    <col min="7174" max="7174" width="10.88671875" style="913" customWidth="1"/>
    <col min="7175" max="7175" width="16.109375" style="913" customWidth="1"/>
    <col min="7176" max="7176" width="0" style="913" hidden="1" customWidth="1"/>
    <col min="7177" max="7177" width="15.44140625" style="913" customWidth="1"/>
    <col min="7178" max="7178" width="12.88671875" style="913" bestFit="1" customWidth="1"/>
    <col min="7179" max="7179" width="8.88671875" style="913"/>
    <col min="7180" max="7180" width="12.88671875" style="913" bestFit="1" customWidth="1"/>
    <col min="7181" max="7424" width="8.88671875" style="913"/>
    <col min="7425" max="7425" width="3.6640625" style="913" bestFit="1" customWidth="1"/>
    <col min="7426" max="7426" width="8.33203125" style="913" customWidth="1"/>
    <col min="7427" max="7427" width="46.109375" style="913" customWidth="1"/>
    <col min="7428" max="7428" width="11" style="913" customWidth="1"/>
    <col min="7429" max="7429" width="12.5546875" style="913" customWidth="1"/>
    <col min="7430" max="7430" width="10.88671875" style="913" customWidth="1"/>
    <col min="7431" max="7431" width="16.109375" style="913" customWidth="1"/>
    <col min="7432" max="7432" width="0" style="913" hidden="1" customWidth="1"/>
    <col min="7433" max="7433" width="15.44140625" style="913" customWidth="1"/>
    <col min="7434" max="7434" width="12.88671875" style="913" bestFit="1" customWidth="1"/>
    <col min="7435" max="7435" width="8.88671875" style="913"/>
    <col min="7436" max="7436" width="12.88671875" style="913" bestFit="1" customWidth="1"/>
    <col min="7437" max="7680" width="8.88671875" style="913"/>
    <col min="7681" max="7681" width="3.6640625" style="913" bestFit="1" customWidth="1"/>
    <col min="7682" max="7682" width="8.33203125" style="913" customWidth="1"/>
    <col min="7683" max="7683" width="46.109375" style="913" customWidth="1"/>
    <col min="7684" max="7684" width="11" style="913" customWidth="1"/>
    <col min="7685" max="7685" width="12.5546875" style="913" customWidth="1"/>
    <col min="7686" max="7686" width="10.88671875" style="913" customWidth="1"/>
    <col min="7687" max="7687" width="16.109375" style="913" customWidth="1"/>
    <col min="7688" max="7688" width="0" style="913" hidden="1" customWidth="1"/>
    <col min="7689" max="7689" width="15.44140625" style="913" customWidth="1"/>
    <col min="7690" max="7690" width="12.88671875" style="913" bestFit="1" customWidth="1"/>
    <col min="7691" max="7691" width="8.88671875" style="913"/>
    <col min="7692" max="7692" width="12.88671875" style="913" bestFit="1" customWidth="1"/>
    <col min="7693" max="7936" width="8.88671875" style="913"/>
    <col min="7937" max="7937" width="3.6640625" style="913" bestFit="1" customWidth="1"/>
    <col min="7938" max="7938" width="8.33203125" style="913" customWidth="1"/>
    <col min="7939" max="7939" width="46.109375" style="913" customWidth="1"/>
    <col min="7940" max="7940" width="11" style="913" customWidth="1"/>
    <col min="7941" max="7941" width="12.5546875" style="913" customWidth="1"/>
    <col min="7942" max="7942" width="10.88671875" style="913" customWidth="1"/>
    <col min="7943" max="7943" width="16.109375" style="913" customWidth="1"/>
    <col min="7944" max="7944" width="0" style="913" hidden="1" customWidth="1"/>
    <col min="7945" max="7945" width="15.44140625" style="913" customWidth="1"/>
    <col min="7946" max="7946" width="12.88671875" style="913" bestFit="1" customWidth="1"/>
    <col min="7947" max="7947" width="8.88671875" style="913"/>
    <col min="7948" max="7948" width="12.88671875" style="913" bestFit="1" customWidth="1"/>
    <col min="7949" max="8192" width="8.88671875" style="913"/>
    <col min="8193" max="8193" width="3.6640625" style="913" bestFit="1" customWidth="1"/>
    <col min="8194" max="8194" width="8.33203125" style="913" customWidth="1"/>
    <col min="8195" max="8195" width="46.109375" style="913" customWidth="1"/>
    <col min="8196" max="8196" width="11" style="913" customWidth="1"/>
    <col min="8197" max="8197" width="12.5546875" style="913" customWidth="1"/>
    <col min="8198" max="8198" width="10.88671875" style="913" customWidth="1"/>
    <col min="8199" max="8199" width="16.109375" style="913" customWidth="1"/>
    <col min="8200" max="8200" width="0" style="913" hidden="1" customWidth="1"/>
    <col min="8201" max="8201" width="15.44140625" style="913" customWidth="1"/>
    <col min="8202" max="8202" width="12.88671875" style="913" bestFit="1" customWidth="1"/>
    <col min="8203" max="8203" width="8.88671875" style="913"/>
    <col min="8204" max="8204" width="12.88671875" style="913" bestFit="1" customWidth="1"/>
    <col min="8205" max="8448" width="8.88671875" style="913"/>
    <col min="8449" max="8449" width="3.6640625" style="913" bestFit="1" customWidth="1"/>
    <col min="8450" max="8450" width="8.33203125" style="913" customWidth="1"/>
    <col min="8451" max="8451" width="46.109375" style="913" customWidth="1"/>
    <col min="8452" max="8452" width="11" style="913" customWidth="1"/>
    <col min="8453" max="8453" width="12.5546875" style="913" customWidth="1"/>
    <col min="8454" max="8454" width="10.88671875" style="913" customWidth="1"/>
    <col min="8455" max="8455" width="16.109375" style="913" customWidth="1"/>
    <col min="8456" max="8456" width="0" style="913" hidden="1" customWidth="1"/>
    <col min="8457" max="8457" width="15.44140625" style="913" customWidth="1"/>
    <col min="8458" max="8458" width="12.88671875" style="913" bestFit="1" customWidth="1"/>
    <col min="8459" max="8459" width="8.88671875" style="913"/>
    <col min="8460" max="8460" width="12.88671875" style="913" bestFit="1" customWidth="1"/>
    <col min="8461" max="8704" width="8.88671875" style="913"/>
    <col min="8705" max="8705" width="3.6640625" style="913" bestFit="1" customWidth="1"/>
    <col min="8706" max="8706" width="8.33203125" style="913" customWidth="1"/>
    <col min="8707" max="8707" width="46.109375" style="913" customWidth="1"/>
    <col min="8708" max="8708" width="11" style="913" customWidth="1"/>
    <col min="8709" max="8709" width="12.5546875" style="913" customWidth="1"/>
    <col min="8710" max="8710" width="10.88671875" style="913" customWidth="1"/>
    <col min="8711" max="8711" width="16.109375" style="913" customWidth="1"/>
    <col min="8712" max="8712" width="0" style="913" hidden="1" customWidth="1"/>
    <col min="8713" max="8713" width="15.44140625" style="913" customWidth="1"/>
    <col min="8714" max="8714" width="12.88671875" style="913" bestFit="1" customWidth="1"/>
    <col min="8715" max="8715" width="8.88671875" style="913"/>
    <col min="8716" max="8716" width="12.88671875" style="913" bestFit="1" customWidth="1"/>
    <col min="8717" max="8960" width="8.88671875" style="913"/>
    <col min="8961" max="8961" width="3.6640625" style="913" bestFit="1" customWidth="1"/>
    <col min="8962" max="8962" width="8.33203125" style="913" customWidth="1"/>
    <col min="8963" max="8963" width="46.109375" style="913" customWidth="1"/>
    <col min="8964" max="8964" width="11" style="913" customWidth="1"/>
    <col min="8965" max="8965" width="12.5546875" style="913" customWidth="1"/>
    <col min="8966" max="8966" width="10.88671875" style="913" customWidth="1"/>
    <col min="8967" max="8967" width="16.109375" style="913" customWidth="1"/>
    <col min="8968" max="8968" width="0" style="913" hidden="1" customWidth="1"/>
    <col min="8969" max="8969" width="15.44140625" style="913" customWidth="1"/>
    <col min="8970" max="8970" width="12.88671875" style="913" bestFit="1" customWidth="1"/>
    <col min="8971" max="8971" width="8.88671875" style="913"/>
    <col min="8972" max="8972" width="12.88671875" style="913" bestFit="1" customWidth="1"/>
    <col min="8973" max="9216" width="8.88671875" style="913"/>
    <col min="9217" max="9217" width="3.6640625" style="913" bestFit="1" customWidth="1"/>
    <col min="9218" max="9218" width="8.33203125" style="913" customWidth="1"/>
    <col min="9219" max="9219" width="46.109375" style="913" customWidth="1"/>
    <col min="9220" max="9220" width="11" style="913" customWidth="1"/>
    <col min="9221" max="9221" width="12.5546875" style="913" customWidth="1"/>
    <col min="9222" max="9222" width="10.88671875" style="913" customWidth="1"/>
    <col min="9223" max="9223" width="16.109375" style="913" customWidth="1"/>
    <col min="9224" max="9224" width="0" style="913" hidden="1" customWidth="1"/>
    <col min="9225" max="9225" width="15.44140625" style="913" customWidth="1"/>
    <col min="9226" max="9226" width="12.88671875" style="913" bestFit="1" customWidth="1"/>
    <col min="9227" max="9227" width="8.88671875" style="913"/>
    <col min="9228" max="9228" width="12.88671875" style="913" bestFit="1" customWidth="1"/>
    <col min="9229" max="9472" width="8.88671875" style="913"/>
    <col min="9473" max="9473" width="3.6640625" style="913" bestFit="1" customWidth="1"/>
    <col min="9474" max="9474" width="8.33203125" style="913" customWidth="1"/>
    <col min="9475" max="9475" width="46.109375" style="913" customWidth="1"/>
    <col min="9476" max="9476" width="11" style="913" customWidth="1"/>
    <col min="9477" max="9477" width="12.5546875" style="913" customWidth="1"/>
    <col min="9478" max="9478" width="10.88671875" style="913" customWidth="1"/>
    <col min="9479" max="9479" width="16.109375" style="913" customWidth="1"/>
    <col min="9480" max="9480" width="0" style="913" hidden="1" customWidth="1"/>
    <col min="9481" max="9481" width="15.44140625" style="913" customWidth="1"/>
    <col min="9482" max="9482" width="12.88671875" style="913" bestFit="1" customWidth="1"/>
    <col min="9483" max="9483" width="8.88671875" style="913"/>
    <col min="9484" max="9484" width="12.88671875" style="913" bestFit="1" customWidth="1"/>
    <col min="9485" max="9728" width="8.88671875" style="913"/>
    <col min="9729" max="9729" width="3.6640625" style="913" bestFit="1" customWidth="1"/>
    <col min="9730" max="9730" width="8.33203125" style="913" customWidth="1"/>
    <col min="9731" max="9731" width="46.109375" style="913" customWidth="1"/>
    <col min="9732" max="9732" width="11" style="913" customWidth="1"/>
    <col min="9733" max="9733" width="12.5546875" style="913" customWidth="1"/>
    <col min="9734" max="9734" width="10.88671875" style="913" customWidth="1"/>
    <col min="9735" max="9735" width="16.109375" style="913" customWidth="1"/>
    <col min="9736" max="9736" width="0" style="913" hidden="1" customWidth="1"/>
    <col min="9737" max="9737" width="15.44140625" style="913" customWidth="1"/>
    <col min="9738" max="9738" width="12.88671875" style="913" bestFit="1" customWidth="1"/>
    <col min="9739" max="9739" width="8.88671875" style="913"/>
    <col min="9740" max="9740" width="12.88671875" style="913" bestFit="1" customWidth="1"/>
    <col min="9741" max="9984" width="8.88671875" style="913"/>
    <col min="9985" max="9985" width="3.6640625" style="913" bestFit="1" customWidth="1"/>
    <col min="9986" max="9986" width="8.33203125" style="913" customWidth="1"/>
    <col min="9987" max="9987" width="46.109375" style="913" customWidth="1"/>
    <col min="9988" max="9988" width="11" style="913" customWidth="1"/>
    <col min="9989" max="9989" width="12.5546875" style="913" customWidth="1"/>
    <col min="9990" max="9990" width="10.88671875" style="913" customWidth="1"/>
    <col min="9991" max="9991" width="16.109375" style="913" customWidth="1"/>
    <col min="9992" max="9992" width="0" style="913" hidden="1" customWidth="1"/>
    <col min="9993" max="9993" width="15.44140625" style="913" customWidth="1"/>
    <col min="9994" max="9994" width="12.88671875" style="913" bestFit="1" customWidth="1"/>
    <col min="9995" max="9995" width="8.88671875" style="913"/>
    <col min="9996" max="9996" width="12.88671875" style="913" bestFit="1" customWidth="1"/>
    <col min="9997" max="10240" width="8.88671875" style="913"/>
    <col min="10241" max="10241" width="3.6640625" style="913" bestFit="1" customWidth="1"/>
    <col min="10242" max="10242" width="8.33203125" style="913" customWidth="1"/>
    <col min="10243" max="10243" width="46.109375" style="913" customWidth="1"/>
    <col min="10244" max="10244" width="11" style="913" customWidth="1"/>
    <col min="10245" max="10245" width="12.5546875" style="913" customWidth="1"/>
    <col min="10246" max="10246" width="10.88671875" style="913" customWidth="1"/>
    <col min="10247" max="10247" width="16.109375" style="913" customWidth="1"/>
    <col min="10248" max="10248" width="0" style="913" hidden="1" customWidth="1"/>
    <col min="10249" max="10249" width="15.44140625" style="913" customWidth="1"/>
    <col min="10250" max="10250" width="12.88671875" style="913" bestFit="1" customWidth="1"/>
    <col min="10251" max="10251" width="8.88671875" style="913"/>
    <col min="10252" max="10252" width="12.88671875" style="913" bestFit="1" customWidth="1"/>
    <col min="10253" max="10496" width="8.88671875" style="913"/>
    <col min="10497" max="10497" width="3.6640625" style="913" bestFit="1" customWidth="1"/>
    <col min="10498" max="10498" width="8.33203125" style="913" customWidth="1"/>
    <col min="10499" max="10499" width="46.109375" style="913" customWidth="1"/>
    <col min="10500" max="10500" width="11" style="913" customWidth="1"/>
    <col min="10501" max="10501" width="12.5546875" style="913" customWidth="1"/>
    <col min="10502" max="10502" width="10.88671875" style="913" customWidth="1"/>
    <col min="10503" max="10503" width="16.109375" style="913" customWidth="1"/>
    <col min="10504" max="10504" width="0" style="913" hidden="1" customWidth="1"/>
    <col min="10505" max="10505" width="15.44140625" style="913" customWidth="1"/>
    <col min="10506" max="10506" width="12.88671875" style="913" bestFit="1" customWidth="1"/>
    <col min="10507" max="10507" width="8.88671875" style="913"/>
    <col min="10508" max="10508" width="12.88671875" style="913" bestFit="1" customWidth="1"/>
    <col min="10509" max="10752" width="8.88671875" style="913"/>
    <col min="10753" max="10753" width="3.6640625" style="913" bestFit="1" customWidth="1"/>
    <col min="10754" max="10754" width="8.33203125" style="913" customWidth="1"/>
    <col min="10755" max="10755" width="46.109375" style="913" customWidth="1"/>
    <col min="10756" max="10756" width="11" style="913" customWidth="1"/>
    <col min="10757" max="10757" width="12.5546875" style="913" customWidth="1"/>
    <col min="10758" max="10758" width="10.88671875" style="913" customWidth="1"/>
    <col min="10759" max="10759" width="16.109375" style="913" customWidth="1"/>
    <col min="10760" max="10760" width="0" style="913" hidden="1" customWidth="1"/>
    <col min="10761" max="10761" width="15.44140625" style="913" customWidth="1"/>
    <col min="10762" max="10762" width="12.88671875" style="913" bestFit="1" customWidth="1"/>
    <col min="10763" max="10763" width="8.88671875" style="913"/>
    <col min="10764" max="10764" width="12.88671875" style="913" bestFit="1" customWidth="1"/>
    <col min="10765" max="11008" width="8.88671875" style="913"/>
    <col min="11009" max="11009" width="3.6640625" style="913" bestFit="1" customWidth="1"/>
    <col min="11010" max="11010" width="8.33203125" style="913" customWidth="1"/>
    <col min="11011" max="11011" width="46.109375" style="913" customWidth="1"/>
    <col min="11012" max="11012" width="11" style="913" customWidth="1"/>
    <col min="11013" max="11013" width="12.5546875" style="913" customWidth="1"/>
    <col min="11014" max="11014" width="10.88671875" style="913" customWidth="1"/>
    <col min="11015" max="11015" width="16.109375" style="913" customWidth="1"/>
    <col min="11016" max="11016" width="0" style="913" hidden="1" customWidth="1"/>
    <col min="11017" max="11017" width="15.44140625" style="913" customWidth="1"/>
    <col min="11018" max="11018" width="12.88671875" style="913" bestFit="1" customWidth="1"/>
    <col min="11019" max="11019" width="8.88671875" style="913"/>
    <col min="11020" max="11020" width="12.88671875" style="913" bestFit="1" customWidth="1"/>
    <col min="11021" max="11264" width="8.88671875" style="913"/>
    <col min="11265" max="11265" width="3.6640625" style="913" bestFit="1" customWidth="1"/>
    <col min="11266" max="11266" width="8.33203125" style="913" customWidth="1"/>
    <col min="11267" max="11267" width="46.109375" style="913" customWidth="1"/>
    <col min="11268" max="11268" width="11" style="913" customWidth="1"/>
    <col min="11269" max="11269" width="12.5546875" style="913" customWidth="1"/>
    <col min="11270" max="11270" width="10.88671875" style="913" customWidth="1"/>
    <col min="11271" max="11271" width="16.109375" style="913" customWidth="1"/>
    <col min="11272" max="11272" width="0" style="913" hidden="1" customWidth="1"/>
    <col min="11273" max="11273" width="15.44140625" style="913" customWidth="1"/>
    <col min="11274" max="11274" width="12.88671875" style="913" bestFit="1" customWidth="1"/>
    <col min="11275" max="11275" width="8.88671875" style="913"/>
    <col min="11276" max="11276" width="12.88671875" style="913" bestFit="1" customWidth="1"/>
    <col min="11277" max="11520" width="8.88671875" style="913"/>
    <col min="11521" max="11521" width="3.6640625" style="913" bestFit="1" customWidth="1"/>
    <col min="11522" max="11522" width="8.33203125" style="913" customWidth="1"/>
    <col min="11523" max="11523" width="46.109375" style="913" customWidth="1"/>
    <col min="11524" max="11524" width="11" style="913" customWidth="1"/>
    <col min="11525" max="11525" width="12.5546875" style="913" customWidth="1"/>
    <col min="11526" max="11526" width="10.88671875" style="913" customWidth="1"/>
    <col min="11527" max="11527" width="16.109375" style="913" customWidth="1"/>
    <col min="11528" max="11528" width="0" style="913" hidden="1" customWidth="1"/>
    <col min="11529" max="11529" width="15.44140625" style="913" customWidth="1"/>
    <col min="11530" max="11530" width="12.88671875" style="913" bestFit="1" customWidth="1"/>
    <col min="11531" max="11531" width="8.88671875" style="913"/>
    <col min="11532" max="11532" width="12.88671875" style="913" bestFit="1" customWidth="1"/>
    <col min="11533" max="11776" width="8.88671875" style="913"/>
    <col min="11777" max="11777" width="3.6640625" style="913" bestFit="1" customWidth="1"/>
    <col min="11778" max="11778" width="8.33203125" style="913" customWidth="1"/>
    <col min="11779" max="11779" width="46.109375" style="913" customWidth="1"/>
    <col min="11780" max="11780" width="11" style="913" customWidth="1"/>
    <col min="11781" max="11781" width="12.5546875" style="913" customWidth="1"/>
    <col min="11782" max="11782" width="10.88671875" style="913" customWidth="1"/>
    <col min="11783" max="11783" width="16.109375" style="913" customWidth="1"/>
    <col min="11784" max="11784" width="0" style="913" hidden="1" customWidth="1"/>
    <col min="11785" max="11785" width="15.44140625" style="913" customWidth="1"/>
    <col min="11786" max="11786" width="12.88671875" style="913" bestFit="1" customWidth="1"/>
    <col min="11787" max="11787" width="8.88671875" style="913"/>
    <col min="11788" max="11788" width="12.88671875" style="913" bestFit="1" customWidth="1"/>
    <col min="11789" max="12032" width="8.88671875" style="913"/>
    <col min="12033" max="12033" width="3.6640625" style="913" bestFit="1" customWidth="1"/>
    <col min="12034" max="12034" width="8.33203125" style="913" customWidth="1"/>
    <col min="12035" max="12035" width="46.109375" style="913" customWidth="1"/>
    <col min="12036" max="12036" width="11" style="913" customWidth="1"/>
    <col min="12037" max="12037" width="12.5546875" style="913" customWidth="1"/>
    <col min="12038" max="12038" width="10.88671875" style="913" customWidth="1"/>
    <col min="12039" max="12039" width="16.109375" style="913" customWidth="1"/>
    <col min="12040" max="12040" width="0" style="913" hidden="1" customWidth="1"/>
    <col min="12041" max="12041" width="15.44140625" style="913" customWidth="1"/>
    <col min="12042" max="12042" width="12.88671875" style="913" bestFit="1" customWidth="1"/>
    <col min="12043" max="12043" width="8.88671875" style="913"/>
    <col min="12044" max="12044" width="12.88671875" style="913" bestFit="1" customWidth="1"/>
    <col min="12045" max="12288" width="8.88671875" style="913"/>
    <col min="12289" max="12289" width="3.6640625" style="913" bestFit="1" customWidth="1"/>
    <col min="12290" max="12290" width="8.33203125" style="913" customWidth="1"/>
    <col min="12291" max="12291" width="46.109375" style="913" customWidth="1"/>
    <col min="12292" max="12292" width="11" style="913" customWidth="1"/>
    <col min="12293" max="12293" width="12.5546875" style="913" customWidth="1"/>
    <col min="12294" max="12294" width="10.88671875" style="913" customWidth="1"/>
    <col min="12295" max="12295" width="16.109375" style="913" customWidth="1"/>
    <col min="12296" max="12296" width="0" style="913" hidden="1" customWidth="1"/>
    <col min="12297" max="12297" width="15.44140625" style="913" customWidth="1"/>
    <col min="12298" max="12298" width="12.88671875" style="913" bestFit="1" customWidth="1"/>
    <col min="12299" max="12299" width="8.88671875" style="913"/>
    <col min="12300" max="12300" width="12.88671875" style="913" bestFit="1" customWidth="1"/>
    <col min="12301" max="12544" width="8.88671875" style="913"/>
    <col min="12545" max="12545" width="3.6640625" style="913" bestFit="1" customWidth="1"/>
    <col min="12546" max="12546" width="8.33203125" style="913" customWidth="1"/>
    <col min="12547" max="12547" width="46.109375" style="913" customWidth="1"/>
    <col min="12548" max="12548" width="11" style="913" customWidth="1"/>
    <col min="12549" max="12549" width="12.5546875" style="913" customWidth="1"/>
    <col min="12550" max="12550" width="10.88671875" style="913" customWidth="1"/>
    <col min="12551" max="12551" width="16.109375" style="913" customWidth="1"/>
    <col min="12552" max="12552" width="0" style="913" hidden="1" customWidth="1"/>
    <col min="12553" max="12553" width="15.44140625" style="913" customWidth="1"/>
    <col min="12554" max="12554" width="12.88671875" style="913" bestFit="1" customWidth="1"/>
    <col min="12555" max="12555" width="8.88671875" style="913"/>
    <col min="12556" max="12556" width="12.88671875" style="913" bestFit="1" customWidth="1"/>
    <col min="12557" max="12800" width="8.88671875" style="913"/>
    <col min="12801" max="12801" width="3.6640625" style="913" bestFit="1" customWidth="1"/>
    <col min="12802" max="12802" width="8.33203125" style="913" customWidth="1"/>
    <col min="12803" max="12803" width="46.109375" style="913" customWidth="1"/>
    <col min="12804" max="12804" width="11" style="913" customWidth="1"/>
    <col min="12805" max="12805" width="12.5546875" style="913" customWidth="1"/>
    <col min="12806" max="12806" width="10.88671875" style="913" customWidth="1"/>
    <col min="12807" max="12807" width="16.109375" style="913" customWidth="1"/>
    <col min="12808" max="12808" width="0" style="913" hidden="1" customWidth="1"/>
    <col min="12809" max="12809" width="15.44140625" style="913" customWidth="1"/>
    <col min="12810" max="12810" width="12.88671875" style="913" bestFit="1" customWidth="1"/>
    <col min="12811" max="12811" width="8.88671875" style="913"/>
    <col min="12812" max="12812" width="12.88671875" style="913" bestFit="1" customWidth="1"/>
    <col min="12813" max="13056" width="8.88671875" style="913"/>
    <col min="13057" max="13057" width="3.6640625" style="913" bestFit="1" customWidth="1"/>
    <col min="13058" max="13058" width="8.33203125" style="913" customWidth="1"/>
    <col min="13059" max="13059" width="46.109375" style="913" customWidth="1"/>
    <col min="13060" max="13060" width="11" style="913" customWidth="1"/>
    <col min="13061" max="13061" width="12.5546875" style="913" customWidth="1"/>
    <col min="13062" max="13062" width="10.88671875" style="913" customWidth="1"/>
    <col min="13063" max="13063" width="16.109375" style="913" customWidth="1"/>
    <col min="13064" max="13064" width="0" style="913" hidden="1" customWidth="1"/>
    <col min="13065" max="13065" width="15.44140625" style="913" customWidth="1"/>
    <col min="13066" max="13066" width="12.88671875" style="913" bestFit="1" customWidth="1"/>
    <col min="13067" max="13067" width="8.88671875" style="913"/>
    <col min="13068" max="13068" width="12.88671875" style="913" bestFit="1" customWidth="1"/>
    <col min="13069" max="13312" width="8.88671875" style="913"/>
    <col min="13313" max="13313" width="3.6640625" style="913" bestFit="1" customWidth="1"/>
    <col min="13314" max="13314" width="8.33203125" style="913" customWidth="1"/>
    <col min="13315" max="13315" width="46.109375" style="913" customWidth="1"/>
    <col min="13316" max="13316" width="11" style="913" customWidth="1"/>
    <col min="13317" max="13317" width="12.5546875" style="913" customWidth="1"/>
    <col min="13318" max="13318" width="10.88671875" style="913" customWidth="1"/>
    <col min="13319" max="13319" width="16.109375" style="913" customWidth="1"/>
    <col min="13320" max="13320" width="0" style="913" hidden="1" customWidth="1"/>
    <col min="13321" max="13321" width="15.44140625" style="913" customWidth="1"/>
    <col min="13322" max="13322" width="12.88671875" style="913" bestFit="1" customWidth="1"/>
    <col min="13323" max="13323" width="8.88671875" style="913"/>
    <col min="13324" max="13324" width="12.88671875" style="913" bestFit="1" customWidth="1"/>
    <col min="13325" max="13568" width="8.88671875" style="913"/>
    <col min="13569" max="13569" width="3.6640625" style="913" bestFit="1" customWidth="1"/>
    <col min="13570" max="13570" width="8.33203125" style="913" customWidth="1"/>
    <col min="13571" max="13571" width="46.109375" style="913" customWidth="1"/>
    <col min="13572" max="13572" width="11" style="913" customWidth="1"/>
    <col min="13573" max="13573" width="12.5546875" style="913" customWidth="1"/>
    <col min="13574" max="13574" width="10.88671875" style="913" customWidth="1"/>
    <col min="13575" max="13575" width="16.109375" style="913" customWidth="1"/>
    <col min="13576" max="13576" width="0" style="913" hidden="1" customWidth="1"/>
    <col min="13577" max="13577" width="15.44140625" style="913" customWidth="1"/>
    <col min="13578" max="13578" width="12.88671875" style="913" bestFit="1" customWidth="1"/>
    <col min="13579" max="13579" width="8.88671875" style="913"/>
    <col min="13580" max="13580" width="12.88671875" style="913" bestFit="1" customWidth="1"/>
    <col min="13581" max="13824" width="8.88671875" style="913"/>
    <col min="13825" max="13825" width="3.6640625" style="913" bestFit="1" customWidth="1"/>
    <col min="13826" max="13826" width="8.33203125" style="913" customWidth="1"/>
    <col min="13827" max="13827" width="46.109375" style="913" customWidth="1"/>
    <col min="13828" max="13828" width="11" style="913" customWidth="1"/>
    <col min="13829" max="13829" width="12.5546875" style="913" customWidth="1"/>
    <col min="13830" max="13830" width="10.88671875" style="913" customWidth="1"/>
    <col min="13831" max="13831" width="16.109375" style="913" customWidth="1"/>
    <col min="13832" max="13832" width="0" style="913" hidden="1" customWidth="1"/>
    <col min="13833" max="13833" width="15.44140625" style="913" customWidth="1"/>
    <col min="13834" max="13834" width="12.88671875" style="913" bestFit="1" customWidth="1"/>
    <col min="13835" max="13835" width="8.88671875" style="913"/>
    <col min="13836" max="13836" width="12.88671875" style="913" bestFit="1" customWidth="1"/>
    <col min="13837" max="14080" width="8.88671875" style="913"/>
    <col min="14081" max="14081" width="3.6640625" style="913" bestFit="1" customWidth="1"/>
    <col min="14082" max="14082" width="8.33203125" style="913" customWidth="1"/>
    <col min="14083" max="14083" width="46.109375" style="913" customWidth="1"/>
    <col min="14084" max="14084" width="11" style="913" customWidth="1"/>
    <col min="14085" max="14085" width="12.5546875" style="913" customWidth="1"/>
    <col min="14086" max="14086" width="10.88671875" style="913" customWidth="1"/>
    <col min="14087" max="14087" width="16.109375" style="913" customWidth="1"/>
    <col min="14088" max="14088" width="0" style="913" hidden="1" customWidth="1"/>
    <col min="14089" max="14089" width="15.44140625" style="913" customWidth="1"/>
    <col min="14090" max="14090" width="12.88671875" style="913" bestFit="1" customWidth="1"/>
    <col min="14091" max="14091" width="8.88671875" style="913"/>
    <col min="14092" max="14092" width="12.88671875" style="913" bestFit="1" customWidth="1"/>
    <col min="14093" max="14336" width="8.88671875" style="913"/>
    <col min="14337" max="14337" width="3.6640625" style="913" bestFit="1" customWidth="1"/>
    <col min="14338" max="14338" width="8.33203125" style="913" customWidth="1"/>
    <col min="14339" max="14339" width="46.109375" style="913" customWidth="1"/>
    <col min="14340" max="14340" width="11" style="913" customWidth="1"/>
    <col min="14341" max="14341" width="12.5546875" style="913" customWidth="1"/>
    <col min="14342" max="14342" width="10.88671875" style="913" customWidth="1"/>
    <col min="14343" max="14343" width="16.109375" style="913" customWidth="1"/>
    <col min="14344" max="14344" width="0" style="913" hidden="1" customWidth="1"/>
    <col min="14345" max="14345" width="15.44140625" style="913" customWidth="1"/>
    <col min="14346" max="14346" width="12.88671875" style="913" bestFit="1" customWidth="1"/>
    <col min="14347" max="14347" width="8.88671875" style="913"/>
    <col min="14348" max="14348" width="12.88671875" style="913" bestFit="1" customWidth="1"/>
    <col min="14349" max="14592" width="8.88671875" style="913"/>
    <col min="14593" max="14593" width="3.6640625" style="913" bestFit="1" customWidth="1"/>
    <col min="14594" max="14594" width="8.33203125" style="913" customWidth="1"/>
    <col min="14595" max="14595" width="46.109375" style="913" customWidth="1"/>
    <col min="14596" max="14596" width="11" style="913" customWidth="1"/>
    <col min="14597" max="14597" width="12.5546875" style="913" customWidth="1"/>
    <col min="14598" max="14598" width="10.88671875" style="913" customWidth="1"/>
    <col min="14599" max="14599" width="16.109375" style="913" customWidth="1"/>
    <col min="14600" max="14600" width="0" style="913" hidden="1" customWidth="1"/>
    <col min="14601" max="14601" width="15.44140625" style="913" customWidth="1"/>
    <col min="14602" max="14602" width="12.88671875" style="913" bestFit="1" customWidth="1"/>
    <col min="14603" max="14603" width="8.88671875" style="913"/>
    <col min="14604" max="14604" width="12.88671875" style="913" bestFit="1" customWidth="1"/>
    <col min="14605" max="14848" width="8.88671875" style="913"/>
    <col min="14849" max="14849" width="3.6640625" style="913" bestFit="1" customWidth="1"/>
    <col min="14850" max="14850" width="8.33203125" style="913" customWidth="1"/>
    <col min="14851" max="14851" width="46.109375" style="913" customWidth="1"/>
    <col min="14852" max="14852" width="11" style="913" customWidth="1"/>
    <col min="14853" max="14853" width="12.5546875" style="913" customWidth="1"/>
    <col min="14854" max="14854" width="10.88671875" style="913" customWidth="1"/>
    <col min="14855" max="14855" width="16.109375" style="913" customWidth="1"/>
    <col min="14856" max="14856" width="0" style="913" hidden="1" customWidth="1"/>
    <col min="14857" max="14857" width="15.44140625" style="913" customWidth="1"/>
    <col min="14858" max="14858" width="12.88671875" style="913" bestFit="1" customWidth="1"/>
    <col min="14859" max="14859" width="8.88671875" style="913"/>
    <col min="14860" max="14860" width="12.88671875" style="913" bestFit="1" customWidth="1"/>
    <col min="14861" max="15104" width="8.88671875" style="913"/>
    <col min="15105" max="15105" width="3.6640625" style="913" bestFit="1" customWidth="1"/>
    <col min="15106" max="15106" width="8.33203125" style="913" customWidth="1"/>
    <col min="15107" max="15107" width="46.109375" style="913" customWidth="1"/>
    <col min="15108" max="15108" width="11" style="913" customWidth="1"/>
    <col min="15109" max="15109" width="12.5546875" style="913" customWidth="1"/>
    <col min="15110" max="15110" width="10.88671875" style="913" customWidth="1"/>
    <col min="15111" max="15111" width="16.109375" style="913" customWidth="1"/>
    <col min="15112" max="15112" width="0" style="913" hidden="1" customWidth="1"/>
    <col min="15113" max="15113" width="15.44140625" style="913" customWidth="1"/>
    <col min="15114" max="15114" width="12.88671875" style="913" bestFit="1" customWidth="1"/>
    <col min="15115" max="15115" width="8.88671875" style="913"/>
    <col min="15116" max="15116" width="12.88671875" style="913" bestFit="1" customWidth="1"/>
    <col min="15117" max="15360" width="8.88671875" style="913"/>
    <col min="15361" max="15361" width="3.6640625" style="913" bestFit="1" customWidth="1"/>
    <col min="15362" max="15362" width="8.33203125" style="913" customWidth="1"/>
    <col min="15363" max="15363" width="46.109375" style="913" customWidth="1"/>
    <col min="15364" max="15364" width="11" style="913" customWidth="1"/>
    <col min="15365" max="15365" width="12.5546875" style="913" customWidth="1"/>
    <col min="15366" max="15366" width="10.88671875" style="913" customWidth="1"/>
    <col min="15367" max="15367" width="16.109375" style="913" customWidth="1"/>
    <col min="15368" max="15368" width="0" style="913" hidden="1" customWidth="1"/>
    <col min="15369" max="15369" width="15.44140625" style="913" customWidth="1"/>
    <col min="15370" max="15370" width="12.88671875" style="913" bestFit="1" customWidth="1"/>
    <col min="15371" max="15371" width="8.88671875" style="913"/>
    <col min="15372" max="15372" width="12.88671875" style="913" bestFit="1" customWidth="1"/>
    <col min="15373" max="15616" width="8.88671875" style="913"/>
    <col min="15617" max="15617" width="3.6640625" style="913" bestFit="1" customWidth="1"/>
    <col min="15618" max="15618" width="8.33203125" style="913" customWidth="1"/>
    <col min="15619" max="15619" width="46.109375" style="913" customWidth="1"/>
    <col min="15620" max="15620" width="11" style="913" customWidth="1"/>
    <col min="15621" max="15621" width="12.5546875" style="913" customWidth="1"/>
    <col min="15622" max="15622" width="10.88671875" style="913" customWidth="1"/>
    <col min="15623" max="15623" width="16.109375" style="913" customWidth="1"/>
    <col min="15624" max="15624" width="0" style="913" hidden="1" customWidth="1"/>
    <col min="15625" max="15625" width="15.44140625" style="913" customWidth="1"/>
    <col min="15626" max="15626" width="12.88671875" style="913" bestFit="1" customWidth="1"/>
    <col min="15627" max="15627" width="8.88671875" style="913"/>
    <col min="15628" max="15628" width="12.88671875" style="913" bestFit="1" customWidth="1"/>
    <col min="15629" max="15872" width="8.88671875" style="913"/>
    <col min="15873" max="15873" width="3.6640625" style="913" bestFit="1" customWidth="1"/>
    <col min="15874" max="15874" width="8.33203125" style="913" customWidth="1"/>
    <col min="15875" max="15875" width="46.109375" style="913" customWidth="1"/>
    <col min="15876" max="15876" width="11" style="913" customWidth="1"/>
    <col min="15877" max="15877" width="12.5546875" style="913" customWidth="1"/>
    <col min="15878" max="15878" width="10.88671875" style="913" customWidth="1"/>
    <col min="15879" max="15879" width="16.109375" style="913" customWidth="1"/>
    <col min="15880" max="15880" width="0" style="913" hidden="1" customWidth="1"/>
    <col min="15881" max="15881" width="15.44140625" style="913" customWidth="1"/>
    <col min="15882" max="15882" width="12.88671875" style="913" bestFit="1" customWidth="1"/>
    <col min="15883" max="15883" width="8.88671875" style="913"/>
    <col min="15884" max="15884" width="12.88671875" style="913" bestFit="1" customWidth="1"/>
    <col min="15885" max="16128" width="8.88671875" style="913"/>
    <col min="16129" max="16129" width="3.6640625" style="913" bestFit="1" customWidth="1"/>
    <col min="16130" max="16130" width="8.33203125" style="913" customWidth="1"/>
    <col min="16131" max="16131" width="46.109375" style="913" customWidth="1"/>
    <col min="16132" max="16132" width="11" style="913" customWidth="1"/>
    <col min="16133" max="16133" width="12.5546875" style="913" customWidth="1"/>
    <col min="16134" max="16134" width="10.88671875" style="913" customWidth="1"/>
    <col min="16135" max="16135" width="16.109375" style="913" customWidth="1"/>
    <col min="16136" max="16136" width="0" style="913" hidden="1" customWidth="1"/>
    <col min="16137" max="16137" width="15.44140625" style="913" customWidth="1"/>
    <col min="16138" max="16138" width="12.88671875" style="913" bestFit="1" customWidth="1"/>
    <col min="16139" max="16139" width="8.88671875" style="913"/>
    <col min="16140" max="16140" width="12.88671875" style="913" bestFit="1" customWidth="1"/>
    <col min="16141" max="16384" width="8.88671875" style="913"/>
  </cols>
  <sheetData>
    <row r="1" spans="1:11" s="876" customFormat="1" ht="55.2" customHeight="1" x14ac:dyDescent="0.25">
      <c r="A1" s="936" t="s">
        <v>794</v>
      </c>
      <c r="B1" s="937"/>
      <c r="C1" s="938"/>
      <c r="D1" s="1033"/>
      <c r="E1" s="1034"/>
      <c r="F1" s="1034"/>
      <c r="G1" s="1035"/>
      <c r="H1" s="874"/>
      <c r="I1" s="875">
        <f>G34/'[4]Grand Summary'!H40</f>
        <v>0</v>
      </c>
    </row>
    <row r="2" spans="1:11" s="876" customFormat="1" ht="18" customHeight="1" x14ac:dyDescent="0.25">
      <c r="A2" s="1036" t="s">
        <v>26</v>
      </c>
      <c r="B2" s="1038" t="s">
        <v>14</v>
      </c>
      <c r="C2" s="1040" t="s">
        <v>0</v>
      </c>
      <c r="D2" s="1040" t="s">
        <v>1</v>
      </c>
      <c r="E2" s="1040" t="s">
        <v>13</v>
      </c>
      <c r="F2" s="1041" t="s">
        <v>2</v>
      </c>
      <c r="G2" s="1042" t="s">
        <v>3</v>
      </c>
      <c r="H2" s="874"/>
      <c r="K2" s="877">
        <f>11*150000</f>
        <v>1650000</v>
      </c>
    </row>
    <row r="3" spans="1:11" s="876" customFormat="1" ht="18" customHeight="1" x14ac:dyDescent="0.25">
      <c r="A3" s="1037"/>
      <c r="B3" s="1039"/>
      <c r="C3" s="1040"/>
      <c r="D3" s="1040"/>
      <c r="E3" s="1040"/>
      <c r="F3" s="1041"/>
      <c r="G3" s="1042"/>
      <c r="H3" s="878"/>
    </row>
    <row r="4" spans="1:11" s="880" customFormat="1" ht="24" customHeight="1" x14ac:dyDescent="0.25">
      <c r="A4" s="939">
        <v>1.1000000000000001</v>
      </c>
      <c r="B4" s="873"/>
      <c r="C4" s="879" t="s">
        <v>795</v>
      </c>
      <c r="D4" s="873"/>
      <c r="E4" s="873"/>
      <c r="F4" s="846"/>
      <c r="G4" s="940"/>
      <c r="H4" s="874" t="e">
        <f>SUM(#REF!)</f>
        <v>#REF!</v>
      </c>
      <c r="I4" s="880">
        <v>12400000</v>
      </c>
    </row>
    <row r="5" spans="1:11" s="880" customFormat="1" ht="24.9" customHeight="1" x14ac:dyDescent="0.25">
      <c r="A5" s="894" t="s">
        <v>796</v>
      </c>
      <c r="B5" s="873" t="s">
        <v>797</v>
      </c>
      <c r="C5" s="881" t="s">
        <v>798</v>
      </c>
      <c r="D5" s="873" t="s">
        <v>765</v>
      </c>
      <c r="E5" s="873"/>
      <c r="F5" s="846"/>
      <c r="G5" s="940"/>
      <c r="H5" s="874">
        <f>G5/35</f>
        <v>0</v>
      </c>
      <c r="J5" s="882">
        <v>14743590.707278688</v>
      </c>
    </row>
    <row r="6" spans="1:11" s="880" customFormat="1" ht="24.9" customHeight="1" x14ac:dyDescent="0.25">
      <c r="A6" s="894" t="s">
        <v>799</v>
      </c>
      <c r="B6" s="873" t="s">
        <v>800</v>
      </c>
      <c r="C6" s="881" t="s">
        <v>801</v>
      </c>
      <c r="D6" s="873" t="s">
        <v>765</v>
      </c>
      <c r="E6" s="873"/>
      <c r="F6" s="846"/>
      <c r="G6" s="940"/>
      <c r="H6" s="874">
        <f>G6/35</f>
        <v>0</v>
      </c>
      <c r="J6" s="882">
        <v>6112122.6142076496</v>
      </c>
    </row>
    <row r="7" spans="1:11" s="880" customFormat="1" ht="24.9" customHeight="1" x14ac:dyDescent="0.25">
      <c r="A7" s="894" t="s">
        <v>802</v>
      </c>
      <c r="B7" s="873" t="s">
        <v>803</v>
      </c>
      <c r="C7" s="883" t="s">
        <v>804</v>
      </c>
      <c r="D7" s="873" t="s">
        <v>805</v>
      </c>
      <c r="E7" s="873">
        <v>8</v>
      </c>
      <c r="F7" s="846"/>
      <c r="G7" s="940"/>
      <c r="H7" s="874">
        <f>F7/35</f>
        <v>0</v>
      </c>
      <c r="J7" s="882">
        <v>4431104.9945355197</v>
      </c>
    </row>
    <row r="8" spans="1:11" s="880" customFormat="1" ht="24" customHeight="1" x14ac:dyDescent="0.25">
      <c r="A8" s="939">
        <v>1.2</v>
      </c>
      <c r="B8" s="873"/>
      <c r="C8" s="879" t="s">
        <v>806</v>
      </c>
      <c r="D8" s="873"/>
      <c r="E8" s="873"/>
      <c r="F8" s="846"/>
      <c r="G8" s="940"/>
      <c r="H8" s="874"/>
      <c r="J8" s="882"/>
    </row>
    <row r="9" spans="1:11" s="880" customFormat="1" ht="24.9" customHeight="1" x14ac:dyDescent="0.25">
      <c r="A9" s="894" t="s">
        <v>807</v>
      </c>
      <c r="B9" s="873" t="s">
        <v>808</v>
      </c>
      <c r="C9" s="881" t="s">
        <v>809</v>
      </c>
      <c r="D9" s="873" t="s">
        <v>805</v>
      </c>
      <c r="E9" s="873">
        <v>8</v>
      </c>
      <c r="F9" s="846"/>
      <c r="G9" s="940"/>
      <c r="H9" s="874"/>
      <c r="J9" s="882">
        <v>287972.33606557379</v>
      </c>
    </row>
    <row r="10" spans="1:11" s="880" customFormat="1" ht="24" customHeight="1" x14ac:dyDescent="0.25">
      <c r="A10" s="939">
        <v>1.3</v>
      </c>
      <c r="B10" s="873"/>
      <c r="C10" s="879" t="s">
        <v>812</v>
      </c>
      <c r="D10" s="873"/>
      <c r="E10" s="873"/>
      <c r="F10" s="846"/>
      <c r="G10" s="940"/>
      <c r="H10" s="874"/>
      <c r="J10" s="882"/>
    </row>
    <row r="11" spans="1:11" s="880" customFormat="1" ht="24.9" customHeight="1" x14ac:dyDescent="0.25">
      <c r="A11" s="894" t="s">
        <v>813</v>
      </c>
      <c r="B11" s="873" t="s">
        <v>814</v>
      </c>
      <c r="C11" s="881" t="s">
        <v>815</v>
      </c>
      <c r="D11" s="873" t="s">
        <v>51</v>
      </c>
      <c r="E11" s="873">
        <v>1</v>
      </c>
      <c r="F11" s="846"/>
      <c r="G11" s="940"/>
      <c r="H11" s="874"/>
      <c r="J11" s="882">
        <v>646247.56557377044</v>
      </c>
    </row>
    <row r="12" spans="1:11" s="880" customFormat="1" ht="24.9" customHeight="1" x14ac:dyDescent="0.25">
      <c r="A12" s="941">
        <v>1.4</v>
      </c>
      <c r="B12" s="873"/>
      <c r="C12" s="889" t="s">
        <v>816</v>
      </c>
      <c r="D12" s="873"/>
      <c r="E12" s="873"/>
      <c r="F12" s="887"/>
      <c r="G12" s="909"/>
      <c r="H12" s="874"/>
      <c r="J12" s="882"/>
    </row>
    <row r="13" spans="1:11" s="880" customFormat="1" ht="34.5" customHeight="1" x14ac:dyDescent="0.25">
      <c r="A13" s="942" t="s">
        <v>817</v>
      </c>
      <c r="B13" s="873" t="s">
        <v>818</v>
      </c>
      <c r="C13" s="890" t="s">
        <v>819</v>
      </c>
      <c r="D13" s="884" t="s">
        <v>810</v>
      </c>
      <c r="E13" s="873"/>
      <c r="F13" s="887"/>
      <c r="G13" s="910">
        <f>500000</f>
        <v>500000</v>
      </c>
      <c r="H13" s="874"/>
      <c r="J13" s="882"/>
    </row>
    <row r="14" spans="1:11" s="880" customFormat="1" ht="40.5" customHeight="1" x14ac:dyDescent="0.25">
      <c r="A14" s="942" t="s">
        <v>820</v>
      </c>
      <c r="B14" s="873"/>
      <c r="C14" s="891" t="s">
        <v>821</v>
      </c>
      <c r="D14" s="873" t="s">
        <v>811</v>
      </c>
      <c r="E14" s="885"/>
      <c r="F14" s="888" t="s">
        <v>234</v>
      </c>
      <c r="G14" s="909"/>
      <c r="H14" s="874"/>
      <c r="J14" s="882">
        <f>800000*1.2</f>
        <v>960000</v>
      </c>
    </row>
    <row r="15" spans="1:11" s="880" customFormat="1" ht="24" customHeight="1" x14ac:dyDescent="0.25">
      <c r="A15" s="939">
        <v>1.5</v>
      </c>
      <c r="B15" s="873"/>
      <c r="C15" s="892" t="s">
        <v>822</v>
      </c>
      <c r="D15" s="873"/>
      <c r="E15" s="873"/>
      <c r="F15" s="846"/>
      <c r="G15" s="940"/>
      <c r="H15" s="874"/>
      <c r="J15" s="882"/>
    </row>
    <row r="16" spans="1:11" s="880" customFormat="1" ht="35.1" customHeight="1" x14ac:dyDescent="0.25">
      <c r="A16" s="894" t="s">
        <v>823</v>
      </c>
      <c r="B16" s="873" t="s">
        <v>824</v>
      </c>
      <c r="C16" s="890" t="s">
        <v>825</v>
      </c>
      <c r="D16" s="873" t="s">
        <v>765</v>
      </c>
      <c r="E16" s="873"/>
      <c r="F16" s="846"/>
      <c r="G16" s="940"/>
      <c r="H16" s="874"/>
      <c r="J16" s="882">
        <v>3284842.0901639345</v>
      </c>
    </row>
    <row r="17" spans="1:12" s="880" customFormat="1" ht="24" customHeight="1" x14ac:dyDescent="0.25">
      <c r="A17" s="939">
        <v>1.6</v>
      </c>
      <c r="B17" s="873"/>
      <c r="C17" s="879" t="s">
        <v>826</v>
      </c>
      <c r="D17" s="873"/>
      <c r="E17" s="873"/>
      <c r="F17" s="846"/>
      <c r="G17" s="940"/>
      <c r="H17" s="893"/>
      <c r="J17" s="882"/>
    </row>
    <row r="18" spans="1:12" s="880" customFormat="1" ht="57" customHeight="1" x14ac:dyDescent="0.25">
      <c r="A18" s="894" t="s">
        <v>827</v>
      </c>
      <c r="B18" s="873" t="s">
        <v>828</v>
      </c>
      <c r="C18" s="881" t="s">
        <v>829</v>
      </c>
      <c r="D18" s="873" t="s">
        <v>765</v>
      </c>
      <c r="E18" s="873"/>
      <c r="F18" s="846"/>
      <c r="G18" s="940"/>
      <c r="H18" s="893"/>
      <c r="J18" s="882">
        <v>921101.9147540984</v>
      </c>
    </row>
    <row r="19" spans="1:12" s="880" customFormat="1" ht="30.75" customHeight="1" x14ac:dyDescent="0.25">
      <c r="A19" s="894" t="s">
        <v>830</v>
      </c>
      <c r="B19" s="873" t="s">
        <v>831</v>
      </c>
      <c r="C19" s="883" t="s">
        <v>832</v>
      </c>
      <c r="D19" s="873" t="s">
        <v>765</v>
      </c>
      <c r="E19" s="873"/>
      <c r="F19" s="846"/>
      <c r="G19" s="940"/>
      <c r="H19" s="893"/>
      <c r="J19" s="882">
        <v>2032745.9016393442</v>
      </c>
    </row>
    <row r="20" spans="1:12" s="880" customFormat="1" ht="39.6" x14ac:dyDescent="0.25">
      <c r="A20" s="894" t="s">
        <v>833</v>
      </c>
      <c r="B20" s="873" t="s">
        <v>834</v>
      </c>
      <c r="C20" s="883" t="s">
        <v>835</v>
      </c>
      <c r="D20" s="884" t="s">
        <v>810</v>
      </c>
      <c r="E20" s="873"/>
      <c r="F20" s="846"/>
      <c r="G20" s="910">
        <v>500000</v>
      </c>
      <c r="H20" s="893"/>
      <c r="J20" s="882">
        <f>G20/23</f>
        <v>21739.130434782608</v>
      </c>
    </row>
    <row r="21" spans="1:12" s="880" customFormat="1" ht="44.25" customHeight="1" x14ac:dyDescent="0.25">
      <c r="A21" s="894" t="s">
        <v>836</v>
      </c>
      <c r="B21" s="873"/>
      <c r="C21" s="881" t="s">
        <v>837</v>
      </c>
      <c r="D21" s="873" t="s">
        <v>811</v>
      </c>
      <c r="E21" s="885"/>
      <c r="F21" s="886" t="s">
        <v>234</v>
      </c>
      <c r="G21" s="909"/>
      <c r="H21" s="893"/>
      <c r="J21" s="882">
        <f>13*1500*30</f>
        <v>585000</v>
      </c>
    </row>
    <row r="22" spans="1:12" s="880" customFormat="1" ht="27.6" customHeight="1" x14ac:dyDescent="0.25">
      <c r="A22" s="894" t="s">
        <v>838</v>
      </c>
      <c r="B22" s="873" t="s">
        <v>839</v>
      </c>
      <c r="C22" s="881" t="s">
        <v>840</v>
      </c>
      <c r="D22" s="873" t="s">
        <v>805</v>
      </c>
      <c r="E22" s="873">
        <v>8</v>
      </c>
      <c r="F22" s="895"/>
      <c r="G22" s="943"/>
      <c r="H22" s="893"/>
      <c r="J22" s="882"/>
    </row>
    <row r="23" spans="1:12" s="880" customFormat="1" ht="21" customHeight="1" x14ac:dyDescent="0.25">
      <c r="A23" s="939">
        <v>1.7</v>
      </c>
      <c r="B23" s="873"/>
      <c r="C23" s="879" t="s">
        <v>841</v>
      </c>
      <c r="D23" s="873"/>
      <c r="E23" s="873"/>
      <c r="F23" s="887"/>
      <c r="G23" s="909"/>
      <c r="H23" s="893"/>
      <c r="J23" s="882">
        <f>1000*4*30</f>
        <v>120000</v>
      </c>
    </row>
    <row r="24" spans="1:12" s="880" customFormat="1" ht="39.6" x14ac:dyDescent="0.25">
      <c r="A24" s="894" t="s">
        <v>842</v>
      </c>
      <c r="B24" s="873" t="s">
        <v>843</v>
      </c>
      <c r="C24" s="881" t="s">
        <v>844</v>
      </c>
      <c r="D24" s="873" t="s">
        <v>805</v>
      </c>
      <c r="E24" s="873">
        <v>8</v>
      </c>
      <c r="F24" s="846"/>
      <c r="G24" s="940"/>
      <c r="H24" s="893">
        <f>140000*1.15</f>
        <v>161000</v>
      </c>
      <c r="J24" s="882">
        <v>1532464.5491803279</v>
      </c>
    </row>
    <row r="25" spans="1:12" s="880" customFormat="1" ht="24" customHeight="1" x14ac:dyDescent="0.25">
      <c r="A25" s="944">
        <v>1.8</v>
      </c>
      <c r="B25" s="873"/>
      <c r="C25" s="879" t="s">
        <v>845</v>
      </c>
      <c r="D25" s="873"/>
      <c r="E25" s="873"/>
      <c r="F25" s="846"/>
      <c r="G25" s="940"/>
      <c r="H25" s="893"/>
      <c r="J25" s="882"/>
    </row>
    <row r="26" spans="1:12" s="880" customFormat="1" ht="35.1" customHeight="1" x14ac:dyDescent="0.25">
      <c r="A26" s="894" t="s">
        <v>846</v>
      </c>
      <c r="B26" s="896" t="s">
        <v>847</v>
      </c>
      <c r="C26" s="890" t="s">
        <v>848</v>
      </c>
      <c r="D26" s="873" t="s">
        <v>805</v>
      </c>
      <c r="E26" s="873">
        <v>8</v>
      </c>
      <c r="F26" s="846"/>
      <c r="G26" s="940"/>
      <c r="H26" s="874"/>
      <c r="J26" s="882"/>
    </row>
    <row r="27" spans="1:12" s="880" customFormat="1" ht="24.9" customHeight="1" x14ac:dyDescent="0.25">
      <c r="A27" s="894" t="s">
        <v>849</v>
      </c>
      <c r="B27" s="896" t="s">
        <v>850</v>
      </c>
      <c r="C27" s="891" t="s">
        <v>851</v>
      </c>
      <c r="D27" s="884" t="s">
        <v>810</v>
      </c>
      <c r="E27" s="873"/>
      <c r="F27" s="846"/>
      <c r="G27" s="910">
        <v>100000</v>
      </c>
      <c r="H27" s="874"/>
      <c r="J27" s="882"/>
    </row>
    <row r="28" spans="1:12" s="880" customFormat="1" ht="31.5" customHeight="1" x14ac:dyDescent="0.25">
      <c r="A28" s="894" t="s">
        <v>852</v>
      </c>
      <c r="B28" s="896"/>
      <c r="C28" s="891" t="s">
        <v>853</v>
      </c>
      <c r="D28" s="873" t="s">
        <v>811</v>
      </c>
      <c r="E28" s="885"/>
      <c r="F28" s="897" t="s">
        <v>234</v>
      </c>
      <c r="G28" s="909"/>
      <c r="H28" s="874"/>
      <c r="J28" s="882"/>
    </row>
    <row r="29" spans="1:12" s="880" customFormat="1" ht="24.9" customHeight="1" x14ac:dyDescent="0.25">
      <c r="A29" s="944">
        <v>1.9</v>
      </c>
      <c r="B29" s="873"/>
      <c r="C29" s="898" t="s">
        <v>854</v>
      </c>
      <c r="D29" s="873"/>
      <c r="E29" s="899"/>
      <c r="F29" s="846"/>
      <c r="G29" s="940"/>
      <c r="H29" s="874"/>
      <c r="I29" s="900" t="s">
        <v>855</v>
      </c>
      <c r="J29" s="901">
        <v>1</v>
      </c>
      <c r="K29" s="900" t="s">
        <v>856</v>
      </c>
      <c r="L29" s="900">
        <f>M29*J29</f>
        <v>0</v>
      </c>
    </row>
    <row r="30" spans="1:12" s="880" customFormat="1" ht="35.25" customHeight="1" x14ac:dyDescent="0.25">
      <c r="A30" s="945" t="s">
        <v>857</v>
      </c>
      <c r="B30" s="902" t="s">
        <v>858</v>
      </c>
      <c r="C30" s="891" t="s">
        <v>859</v>
      </c>
      <c r="D30" s="903" t="s">
        <v>810</v>
      </c>
      <c r="E30" s="904"/>
      <c r="F30" s="905"/>
      <c r="G30" s="910">
        <v>500000</v>
      </c>
      <c r="H30" s="874"/>
      <c r="I30" s="900" t="s">
        <v>860</v>
      </c>
      <c r="J30" s="901">
        <v>1</v>
      </c>
      <c r="K30" s="900" t="s">
        <v>856</v>
      </c>
      <c r="L30" s="900">
        <f>J30*M30</f>
        <v>0</v>
      </c>
    </row>
    <row r="31" spans="1:12" s="880" customFormat="1" ht="41.25" customHeight="1" x14ac:dyDescent="0.25">
      <c r="A31" s="945" t="s">
        <v>861</v>
      </c>
      <c r="B31" s="902"/>
      <c r="C31" s="891" t="s">
        <v>862</v>
      </c>
      <c r="D31" s="902" t="s">
        <v>811</v>
      </c>
      <c r="E31" s="906"/>
      <c r="F31" s="907" t="s">
        <v>234</v>
      </c>
      <c r="G31" s="909"/>
      <c r="H31" s="874"/>
      <c r="I31" s="900" t="s">
        <v>863</v>
      </c>
      <c r="J31" s="901">
        <v>1</v>
      </c>
      <c r="K31" s="900"/>
      <c r="L31" s="900">
        <f>M31*J31</f>
        <v>0</v>
      </c>
    </row>
    <row r="32" spans="1:12" s="880" customFormat="1" ht="24" customHeight="1" x14ac:dyDescent="0.25">
      <c r="A32" s="944" t="s">
        <v>864</v>
      </c>
      <c r="B32" s="873"/>
      <c r="C32" s="898" t="s">
        <v>865</v>
      </c>
      <c r="D32" s="873"/>
      <c r="E32" s="873"/>
      <c r="F32" s="846"/>
      <c r="G32" s="940"/>
      <c r="H32" s="893"/>
      <c r="I32" s="900" t="s">
        <v>866</v>
      </c>
      <c r="J32" s="901">
        <v>6</v>
      </c>
      <c r="K32" s="900" t="s">
        <v>856</v>
      </c>
      <c r="L32" s="900">
        <f>J32*M32</f>
        <v>0</v>
      </c>
    </row>
    <row r="33" spans="1:12" s="880" customFormat="1" ht="35.1" customHeight="1" x14ac:dyDescent="0.25">
      <c r="A33" s="945" t="s">
        <v>867</v>
      </c>
      <c r="B33" s="902" t="s">
        <v>868</v>
      </c>
      <c r="C33" s="891" t="s">
        <v>869</v>
      </c>
      <c r="D33" s="902" t="s">
        <v>805</v>
      </c>
      <c r="E33" s="902">
        <v>8</v>
      </c>
      <c r="F33" s="908"/>
      <c r="G33" s="946"/>
      <c r="H33" s="874"/>
      <c r="I33" s="900" t="s">
        <v>870</v>
      </c>
      <c r="J33" s="901">
        <v>1</v>
      </c>
      <c r="K33" s="900" t="s">
        <v>856</v>
      </c>
      <c r="L33" s="900">
        <f>J33*M33</f>
        <v>0</v>
      </c>
    </row>
    <row r="34" spans="1:12" ht="30" customHeight="1" thickBot="1" x14ac:dyDescent="0.3">
      <c r="A34" s="947"/>
      <c r="B34" s="1032" t="s">
        <v>871</v>
      </c>
      <c r="C34" s="1032"/>
      <c r="D34" s="1032"/>
      <c r="E34" s="1032"/>
      <c r="F34" s="1032"/>
      <c r="G34" s="927">
        <f>SUM(G4:G33)-G27-G30-G20-G13</f>
        <v>0</v>
      </c>
      <c r="I34" s="900"/>
      <c r="J34" s="911"/>
      <c r="K34" s="900"/>
      <c r="L34" s="900">
        <f t="shared" ref="L34" si="0">J34*M34</f>
        <v>0</v>
      </c>
    </row>
    <row r="35" spans="1:12" x14ac:dyDescent="0.25">
      <c r="A35" s="912"/>
      <c r="B35" s="912"/>
      <c r="C35" s="912"/>
      <c r="D35" s="912"/>
      <c r="E35" s="912"/>
      <c r="F35" s="912"/>
      <c r="G35" s="912"/>
      <c r="I35" s="900"/>
      <c r="J35" s="911"/>
      <c r="K35" s="900"/>
      <c r="L35" s="900"/>
    </row>
    <row r="36" spans="1:12" hidden="1" x14ac:dyDescent="0.25"/>
    <row r="37" spans="1:12" hidden="1" x14ac:dyDescent="0.25">
      <c r="G37" s="916" t="e">
        <f>#REF!+#REF!+#REF!+G30+G27+G20+G13</f>
        <v>#REF!</v>
      </c>
    </row>
    <row r="38" spans="1:12" hidden="1" x14ac:dyDescent="0.25"/>
    <row r="39" spans="1:12" hidden="1" x14ac:dyDescent="0.25"/>
    <row r="40" spans="1:12" hidden="1" x14ac:dyDescent="0.25">
      <c r="G40" s="916">
        <f>G30+G27+G20+G13</f>
        <v>1600000</v>
      </c>
    </row>
    <row r="41" spans="1:12" hidden="1" x14ac:dyDescent="0.25"/>
    <row r="42" spans="1:12" hidden="1" x14ac:dyDescent="0.25"/>
    <row r="43" spans="1:12" hidden="1" x14ac:dyDescent="0.25"/>
    <row r="56" spans="1:16140" s="912" customFormat="1" x14ac:dyDescent="0.25">
      <c r="A56" s="914"/>
      <c r="B56" s="914"/>
      <c r="C56" s="913"/>
      <c r="D56" s="915"/>
      <c r="E56" s="915"/>
      <c r="F56" s="916"/>
      <c r="G56" s="917"/>
      <c r="I56" s="913"/>
      <c r="J56" s="913"/>
      <c r="K56" s="913"/>
      <c r="L56" s="913"/>
      <c r="M56" s="913"/>
      <c r="N56" s="913"/>
      <c r="O56" s="913"/>
      <c r="P56" s="913"/>
      <c r="Q56" s="913"/>
      <c r="R56" s="913"/>
      <c r="S56" s="913"/>
      <c r="T56" s="913"/>
      <c r="U56" s="913"/>
      <c r="V56" s="913"/>
      <c r="W56" s="913"/>
      <c r="X56" s="913"/>
      <c r="Y56" s="913"/>
      <c r="Z56" s="913"/>
      <c r="AA56" s="913"/>
      <c r="AB56" s="913"/>
      <c r="AC56" s="913"/>
      <c r="AD56" s="913"/>
      <c r="AE56" s="913"/>
      <c r="AF56" s="913"/>
      <c r="AG56" s="913"/>
      <c r="AH56" s="913"/>
      <c r="AI56" s="913"/>
      <c r="AJ56" s="913"/>
      <c r="AK56" s="913"/>
      <c r="AL56" s="913"/>
      <c r="AM56" s="913"/>
      <c r="AN56" s="913"/>
      <c r="AO56" s="913"/>
      <c r="AP56" s="913"/>
      <c r="AQ56" s="913"/>
      <c r="AR56" s="913"/>
      <c r="AS56" s="913"/>
      <c r="AT56" s="913"/>
      <c r="AU56" s="913"/>
      <c r="AV56" s="913"/>
      <c r="AW56" s="913"/>
      <c r="AX56" s="913"/>
      <c r="AY56" s="913"/>
      <c r="AZ56" s="913"/>
      <c r="BA56" s="913"/>
      <c r="BB56" s="913"/>
      <c r="BC56" s="913"/>
      <c r="BD56" s="913"/>
      <c r="BE56" s="913"/>
      <c r="BF56" s="913"/>
      <c r="BG56" s="913"/>
      <c r="BH56" s="913"/>
      <c r="BI56" s="913"/>
      <c r="BJ56" s="913"/>
      <c r="BK56" s="913"/>
      <c r="BL56" s="913"/>
      <c r="BM56" s="913"/>
      <c r="BN56" s="913"/>
      <c r="BO56" s="913"/>
      <c r="BP56" s="913"/>
      <c r="BQ56" s="913"/>
      <c r="BR56" s="913"/>
      <c r="BS56" s="913"/>
      <c r="BT56" s="913"/>
      <c r="BU56" s="913"/>
      <c r="BV56" s="913"/>
      <c r="BW56" s="913"/>
      <c r="BX56" s="913"/>
      <c r="BY56" s="913"/>
      <c r="BZ56" s="913"/>
      <c r="CA56" s="913"/>
      <c r="CB56" s="913"/>
      <c r="CC56" s="913"/>
      <c r="CD56" s="913"/>
      <c r="CE56" s="913"/>
      <c r="CF56" s="913"/>
      <c r="CG56" s="913"/>
      <c r="CH56" s="913"/>
      <c r="CI56" s="913"/>
      <c r="CJ56" s="913"/>
      <c r="CK56" s="913"/>
      <c r="CL56" s="913"/>
      <c r="CM56" s="913"/>
      <c r="CN56" s="913"/>
      <c r="CO56" s="913"/>
      <c r="CP56" s="913"/>
      <c r="CQ56" s="913"/>
      <c r="CR56" s="913"/>
      <c r="CS56" s="913"/>
      <c r="CT56" s="913"/>
      <c r="CU56" s="913"/>
      <c r="CV56" s="913"/>
      <c r="CW56" s="913"/>
      <c r="CX56" s="913"/>
      <c r="CY56" s="913"/>
      <c r="CZ56" s="913"/>
      <c r="DA56" s="913"/>
      <c r="DB56" s="913"/>
      <c r="DC56" s="913"/>
      <c r="DD56" s="913"/>
      <c r="DE56" s="913"/>
      <c r="DF56" s="913"/>
      <c r="DG56" s="913"/>
      <c r="DH56" s="913"/>
      <c r="DI56" s="913"/>
      <c r="DJ56" s="913"/>
      <c r="DK56" s="913"/>
      <c r="DL56" s="913"/>
      <c r="DM56" s="913"/>
      <c r="DN56" s="913"/>
      <c r="DO56" s="913"/>
      <c r="DP56" s="913"/>
      <c r="DQ56" s="913"/>
      <c r="DR56" s="913"/>
      <c r="DS56" s="913"/>
      <c r="DT56" s="913"/>
      <c r="DU56" s="913"/>
      <c r="DV56" s="913"/>
      <c r="DW56" s="913"/>
      <c r="DX56" s="913"/>
      <c r="DY56" s="913"/>
      <c r="DZ56" s="913"/>
      <c r="EA56" s="913"/>
      <c r="EB56" s="913"/>
      <c r="EC56" s="913"/>
      <c r="ED56" s="913"/>
      <c r="EE56" s="913"/>
      <c r="EF56" s="913"/>
      <c r="EG56" s="913"/>
      <c r="EH56" s="913"/>
      <c r="EI56" s="913"/>
      <c r="EJ56" s="913"/>
      <c r="EK56" s="913"/>
      <c r="EL56" s="913"/>
      <c r="EM56" s="913"/>
      <c r="EN56" s="913"/>
      <c r="EO56" s="913"/>
      <c r="EP56" s="913"/>
      <c r="EQ56" s="913"/>
      <c r="ER56" s="913"/>
      <c r="ES56" s="913"/>
      <c r="ET56" s="913"/>
      <c r="EU56" s="913"/>
      <c r="EV56" s="913"/>
      <c r="EW56" s="913"/>
      <c r="EX56" s="913"/>
      <c r="EY56" s="913"/>
      <c r="EZ56" s="913"/>
      <c r="FA56" s="913"/>
      <c r="FB56" s="913"/>
      <c r="FC56" s="913"/>
      <c r="FD56" s="913"/>
      <c r="FE56" s="913"/>
      <c r="FF56" s="913"/>
      <c r="FG56" s="913"/>
      <c r="FH56" s="913"/>
      <c r="FI56" s="913"/>
      <c r="FJ56" s="913"/>
      <c r="FK56" s="913"/>
      <c r="FL56" s="913"/>
      <c r="FM56" s="913"/>
      <c r="FN56" s="913"/>
      <c r="FO56" s="913"/>
      <c r="FP56" s="913"/>
      <c r="FQ56" s="913"/>
      <c r="FR56" s="913"/>
      <c r="FS56" s="913"/>
      <c r="FT56" s="913"/>
      <c r="FU56" s="913"/>
      <c r="FV56" s="913"/>
      <c r="FW56" s="913"/>
      <c r="FX56" s="913"/>
      <c r="FY56" s="913"/>
      <c r="FZ56" s="913"/>
      <c r="GA56" s="913"/>
      <c r="GB56" s="913"/>
      <c r="GC56" s="913"/>
      <c r="GD56" s="913"/>
      <c r="GE56" s="913"/>
      <c r="GF56" s="913"/>
      <c r="GG56" s="913"/>
      <c r="GH56" s="913"/>
      <c r="GI56" s="913"/>
      <c r="GJ56" s="913"/>
      <c r="GK56" s="913"/>
      <c r="GL56" s="913"/>
      <c r="GM56" s="913"/>
      <c r="GN56" s="913"/>
      <c r="GO56" s="913"/>
      <c r="GP56" s="913"/>
      <c r="GQ56" s="913"/>
      <c r="GR56" s="913"/>
      <c r="GS56" s="913"/>
      <c r="GT56" s="913"/>
      <c r="GU56" s="913"/>
      <c r="GV56" s="913"/>
      <c r="GW56" s="913"/>
      <c r="GX56" s="913"/>
      <c r="GY56" s="913"/>
      <c r="GZ56" s="913"/>
      <c r="HA56" s="913"/>
      <c r="HB56" s="913"/>
      <c r="HC56" s="913"/>
      <c r="HD56" s="913"/>
      <c r="HE56" s="913"/>
      <c r="HF56" s="913"/>
      <c r="HG56" s="913"/>
      <c r="HH56" s="913"/>
      <c r="HI56" s="913"/>
      <c r="HJ56" s="913"/>
      <c r="HK56" s="913"/>
      <c r="HL56" s="913"/>
      <c r="HM56" s="913"/>
      <c r="HN56" s="913"/>
      <c r="HO56" s="913"/>
      <c r="HP56" s="913"/>
      <c r="HQ56" s="913"/>
      <c r="HR56" s="913"/>
      <c r="HS56" s="913"/>
      <c r="HT56" s="913"/>
      <c r="HU56" s="913"/>
      <c r="HV56" s="913"/>
      <c r="HW56" s="913"/>
      <c r="HX56" s="913"/>
      <c r="HY56" s="913"/>
      <c r="HZ56" s="913"/>
      <c r="IA56" s="913"/>
      <c r="IB56" s="913"/>
      <c r="IC56" s="913"/>
      <c r="ID56" s="913"/>
      <c r="IE56" s="913"/>
      <c r="IF56" s="913"/>
      <c r="IG56" s="913"/>
      <c r="IH56" s="913"/>
      <c r="II56" s="913"/>
      <c r="IJ56" s="913"/>
      <c r="IK56" s="913"/>
      <c r="IL56" s="913"/>
      <c r="IM56" s="913"/>
      <c r="IN56" s="913"/>
      <c r="IO56" s="913"/>
      <c r="IP56" s="913"/>
      <c r="IQ56" s="913"/>
      <c r="IR56" s="913"/>
      <c r="IS56" s="913"/>
      <c r="IT56" s="913"/>
      <c r="IU56" s="913"/>
      <c r="IV56" s="913"/>
      <c r="IW56" s="913"/>
      <c r="IX56" s="913"/>
      <c r="IY56" s="913"/>
      <c r="IZ56" s="913"/>
      <c r="JA56" s="913"/>
      <c r="JB56" s="913"/>
      <c r="JC56" s="913"/>
      <c r="JD56" s="913"/>
      <c r="JE56" s="913"/>
      <c r="JF56" s="913"/>
      <c r="JG56" s="913"/>
      <c r="JH56" s="913"/>
      <c r="JI56" s="913"/>
      <c r="JJ56" s="913"/>
      <c r="JK56" s="913"/>
      <c r="JL56" s="913"/>
      <c r="JM56" s="913"/>
      <c r="JN56" s="913"/>
      <c r="JO56" s="913"/>
      <c r="JP56" s="913"/>
      <c r="JQ56" s="913"/>
      <c r="JR56" s="913"/>
      <c r="JS56" s="913"/>
      <c r="JT56" s="913"/>
      <c r="JU56" s="913"/>
      <c r="JV56" s="913"/>
      <c r="JW56" s="913"/>
      <c r="JX56" s="913"/>
      <c r="JY56" s="913"/>
      <c r="JZ56" s="913"/>
      <c r="KA56" s="913"/>
      <c r="KB56" s="913"/>
      <c r="KC56" s="913"/>
      <c r="KD56" s="913"/>
      <c r="KE56" s="913"/>
      <c r="KF56" s="913"/>
      <c r="KG56" s="913"/>
      <c r="KH56" s="913"/>
      <c r="KI56" s="913"/>
      <c r="KJ56" s="913"/>
      <c r="KK56" s="913"/>
      <c r="KL56" s="913"/>
      <c r="KM56" s="913"/>
      <c r="KN56" s="913"/>
      <c r="KO56" s="913"/>
      <c r="KP56" s="913"/>
      <c r="KQ56" s="913"/>
      <c r="KR56" s="913"/>
      <c r="KS56" s="913"/>
      <c r="KT56" s="913"/>
      <c r="KU56" s="913"/>
      <c r="KV56" s="913"/>
      <c r="KW56" s="913"/>
      <c r="KX56" s="913"/>
      <c r="KY56" s="913"/>
      <c r="KZ56" s="913"/>
      <c r="LA56" s="913"/>
      <c r="LB56" s="913"/>
      <c r="LC56" s="913"/>
      <c r="LD56" s="913"/>
      <c r="LE56" s="913"/>
      <c r="LF56" s="913"/>
      <c r="LG56" s="913"/>
      <c r="LH56" s="913"/>
      <c r="LI56" s="913"/>
      <c r="LJ56" s="913"/>
      <c r="LK56" s="913"/>
      <c r="LL56" s="913"/>
      <c r="LM56" s="913"/>
      <c r="LN56" s="913"/>
      <c r="LO56" s="913"/>
      <c r="LP56" s="913"/>
      <c r="LQ56" s="913"/>
      <c r="LR56" s="913"/>
      <c r="LS56" s="913"/>
      <c r="LT56" s="913"/>
      <c r="LU56" s="913"/>
      <c r="LV56" s="913"/>
      <c r="LW56" s="913"/>
      <c r="LX56" s="913"/>
      <c r="LY56" s="913"/>
      <c r="LZ56" s="913"/>
      <c r="MA56" s="913"/>
      <c r="MB56" s="913"/>
      <c r="MC56" s="913"/>
      <c r="MD56" s="913"/>
      <c r="ME56" s="913"/>
      <c r="MF56" s="913"/>
      <c r="MG56" s="913"/>
      <c r="MH56" s="913"/>
      <c r="MI56" s="913"/>
      <c r="MJ56" s="913"/>
      <c r="MK56" s="913"/>
      <c r="ML56" s="913"/>
      <c r="MM56" s="913"/>
      <c r="MN56" s="913"/>
      <c r="MO56" s="913"/>
      <c r="MP56" s="913"/>
      <c r="MQ56" s="913"/>
      <c r="MR56" s="913"/>
      <c r="MS56" s="913"/>
      <c r="MT56" s="913"/>
      <c r="MU56" s="913"/>
      <c r="MV56" s="913"/>
      <c r="MW56" s="913"/>
      <c r="MX56" s="913"/>
      <c r="MY56" s="913"/>
      <c r="MZ56" s="913"/>
      <c r="NA56" s="913"/>
      <c r="NB56" s="913"/>
      <c r="NC56" s="913"/>
      <c r="ND56" s="913"/>
      <c r="NE56" s="913"/>
      <c r="NF56" s="913"/>
      <c r="NG56" s="913"/>
      <c r="NH56" s="913"/>
      <c r="NI56" s="913"/>
      <c r="NJ56" s="913"/>
      <c r="NK56" s="913"/>
      <c r="NL56" s="913"/>
      <c r="NM56" s="913"/>
      <c r="NN56" s="913"/>
      <c r="NO56" s="913"/>
      <c r="NP56" s="913"/>
      <c r="NQ56" s="913"/>
      <c r="NR56" s="913"/>
      <c r="NS56" s="913"/>
      <c r="NT56" s="913"/>
      <c r="NU56" s="913"/>
      <c r="NV56" s="913"/>
      <c r="NW56" s="913"/>
      <c r="NX56" s="913"/>
      <c r="NY56" s="913"/>
      <c r="NZ56" s="913"/>
      <c r="OA56" s="913"/>
      <c r="OB56" s="913"/>
      <c r="OC56" s="913"/>
      <c r="OD56" s="913"/>
      <c r="OE56" s="913"/>
      <c r="OF56" s="913"/>
      <c r="OG56" s="913"/>
      <c r="OH56" s="913"/>
      <c r="OI56" s="913"/>
      <c r="OJ56" s="913"/>
      <c r="OK56" s="913"/>
      <c r="OL56" s="913"/>
      <c r="OM56" s="913"/>
      <c r="ON56" s="913"/>
      <c r="OO56" s="913"/>
      <c r="OP56" s="913"/>
      <c r="OQ56" s="913"/>
      <c r="OR56" s="913"/>
      <c r="OS56" s="913"/>
      <c r="OT56" s="913"/>
      <c r="OU56" s="913"/>
      <c r="OV56" s="913"/>
      <c r="OW56" s="913"/>
      <c r="OX56" s="913"/>
      <c r="OY56" s="913"/>
      <c r="OZ56" s="913"/>
      <c r="PA56" s="913"/>
      <c r="PB56" s="913"/>
      <c r="PC56" s="913"/>
      <c r="PD56" s="913"/>
      <c r="PE56" s="913"/>
      <c r="PF56" s="913"/>
      <c r="PG56" s="913"/>
      <c r="PH56" s="913"/>
      <c r="PI56" s="913"/>
      <c r="PJ56" s="913"/>
      <c r="PK56" s="913"/>
      <c r="PL56" s="913"/>
      <c r="PM56" s="913"/>
      <c r="PN56" s="913"/>
      <c r="PO56" s="913"/>
      <c r="PP56" s="913"/>
      <c r="PQ56" s="913"/>
      <c r="PR56" s="913"/>
      <c r="PS56" s="913"/>
      <c r="PT56" s="913"/>
      <c r="PU56" s="913"/>
      <c r="PV56" s="913"/>
      <c r="PW56" s="913"/>
      <c r="PX56" s="913"/>
      <c r="PY56" s="913"/>
      <c r="PZ56" s="913"/>
      <c r="QA56" s="913"/>
      <c r="QB56" s="913"/>
      <c r="QC56" s="913"/>
      <c r="QD56" s="913"/>
      <c r="QE56" s="913"/>
      <c r="QF56" s="913"/>
      <c r="QG56" s="913"/>
      <c r="QH56" s="913"/>
      <c r="QI56" s="913"/>
      <c r="QJ56" s="913"/>
      <c r="QK56" s="913"/>
      <c r="QL56" s="913"/>
      <c r="QM56" s="913"/>
      <c r="QN56" s="913"/>
      <c r="QO56" s="913"/>
      <c r="QP56" s="913"/>
      <c r="QQ56" s="913"/>
      <c r="QR56" s="913"/>
      <c r="QS56" s="913"/>
      <c r="QT56" s="913"/>
      <c r="QU56" s="913"/>
      <c r="QV56" s="913"/>
      <c r="QW56" s="913"/>
      <c r="QX56" s="913"/>
      <c r="QY56" s="913"/>
      <c r="QZ56" s="913"/>
      <c r="RA56" s="913"/>
      <c r="RB56" s="913"/>
      <c r="RC56" s="913"/>
      <c r="RD56" s="913"/>
      <c r="RE56" s="913"/>
      <c r="RF56" s="913"/>
      <c r="RG56" s="913"/>
      <c r="RH56" s="913"/>
      <c r="RI56" s="913"/>
      <c r="RJ56" s="913"/>
      <c r="RK56" s="913"/>
      <c r="RL56" s="913"/>
      <c r="RM56" s="913"/>
      <c r="RN56" s="913"/>
      <c r="RO56" s="913"/>
      <c r="RP56" s="913"/>
      <c r="RQ56" s="913"/>
      <c r="RR56" s="913"/>
      <c r="RS56" s="913"/>
      <c r="RT56" s="913"/>
      <c r="RU56" s="913"/>
      <c r="RV56" s="913"/>
      <c r="RW56" s="913"/>
      <c r="RX56" s="913"/>
      <c r="RY56" s="913"/>
      <c r="RZ56" s="913"/>
      <c r="SA56" s="913"/>
      <c r="SB56" s="913"/>
      <c r="SC56" s="913"/>
      <c r="SD56" s="913"/>
      <c r="SE56" s="913"/>
      <c r="SF56" s="913"/>
      <c r="SG56" s="913"/>
      <c r="SH56" s="913"/>
      <c r="SI56" s="913"/>
      <c r="SJ56" s="913"/>
      <c r="SK56" s="913"/>
      <c r="SL56" s="913"/>
      <c r="SM56" s="913"/>
      <c r="SN56" s="913"/>
      <c r="SO56" s="913"/>
      <c r="SP56" s="913"/>
      <c r="SQ56" s="913"/>
      <c r="SR56" s="913"/>
      <c r="SS56" s="913"/>
      <c r="ST56" s="913"/>
      <c r="SU56" s="913"/>
      <c r="SV56" s="913"/>
      <c r="SW56" s="913"/>
      <c r="SX56" s="913"/>
      <c r="SY56" s="913"/>
      <c r="SZ56" s="913"/>
      <c r="TA56" s="913"/>
      <c r="TB56" s="913"/>
      <c r="TC56" s="913"/>
      <c r="TD56" s="913"/>
      <c r="TE56" s="913"/>
      <c r="TF56" s="913"/>
      <c r="TG56" s="913"/>
      <c r="TH56" s="913"/>
      <c r="TI56" s="913"/>
      <c r="TJ56" s="913"/>
      <c r="TK56" s="913"/>
      <c r="TL56" s="913"/>
      <c r="TM56" s="913"/>
      <c r="TN56" s="913"/>
      <c r="TO56" s="913"/>
      <c r="TP56" s="913"/>
      <c r="TQ56" s="913"/>
      <c r="TR56" s="913"/>
      <c r="TS56" s="913"/>
      <c r="TT56" s="913"/>
      <c r="TU56" s="913"/>
      <c r="TV56" s="913"/>
      <c r="TW56" s="913"/>
      <c r="TX56" s="913"/>
      <c r="TY56" s="913"/>
      <c r="TZ56" s="913"/>
      <c r="UA56" s="913"/>
      <c r="UB56" s="913"/>
      <c r="UC56" s="913"/>
      <c r="UD56" s="913"/>
      <c r="UE56" s="913"/>
      <c r="UF56" s="913"/>
      <c r="UG56" s="913"/>
      <c r="UH56" s="913"/>
      <c r="UI56" s="913"/>
      <c r="UJ56" s="913"/>
      <c r="UK56" s="913"/>
      <c r="UL56" s="913"/>
      <c r="UM56" s="913"/>
      <c r="UN56" s="913"/>
      <c r="UO56" s="913"/>
      <c r="UP56" s="913"/>
      <c r="UQ56" s="913"/>
      <c r="UR56" s="913"/>
      <c r="US56" s="913"/>
      <c r="UT56" s="913"/>
      <c r="UU56" s="913"/>
      <c r="UV56" s="913"/>
      <c r="UW56" s="913"/>
      <c r="UX56" s="913"/>
      <c r="UY56" s="913"/>
      <c r="UZ56" s="913"/>
      <c r="VA56" s="913"/>
      <c r="VB56" s="913"/>
      <c r="VC56" s="913"/>
      <c r="VD56" s="913"/>
      <c r="VE56" s="913"/>
      <c r="VF56" s="913"/>
      <c r="VG56" s="913"/>
      <c r="VH56" s="913"/>
      <c r="VI56" s="913"/>
      <c r="VJ56" s="913"/>
      <c r="VK56" s="913"/>
      <c r="VL56" s="913"/>
      <c r="VM56" s="913"/>
      <c r="VN56" s="913"/>
      <c r="VO56" s="913"/>
      <c r="VP56" s="913"/>
      <c r="VQ56" s="913"/>
      <c r="VR56" s="913"/>
      <c r="VS56" s="913"/>
      <c r="VT56" s="913"/>
      <c r="VU56" s="913"/>
      <c r="VV56" s="913"/>
      <c r="VW56" s="913"/>
      <c r="VX56" s="913"/>
      <c r="VY56" s="913"/>
      <c r="VZ56" s="913"/>
      <c r="WA56" s="913"/>
      <c r="WB56" s="913"/>
      <c r="WC56" s="913"/>
      <c r="WD56" s="913"/>
      <c r="WE56" s="913"/>
      <c r="WF56" s="913"/>
      <c r="WG56" s="913"/>
      <c r="WH56" s="913"/>
      <c r="WI56" s="913"/>
      <c r="WJ56" s="913"/>
      <c r="WK56" s="913"/>
      <c r="WL56" s="913"/>
      <c r="WM56" s="913"/>
      <c r="WN56" s="913"/>
      <c r="WO56" s="913"/>
      <c r="WP56" s="913"/>
      <c r="WQ56" s="913"/>
      <c r="WR56" s="913"/>
      <c r="WS56" s="913"/>
      <c r="WT56" s="913"/>
      <c r="WU56" s="913"/>
      <c r="WV56" s="913"/>
      <c r="WW56" s="913"/>
      <c r="WX56" s="913"/>
      <c r="WY56" s="913"/>
      <c r="WZ56" s="913"/>
      <c r="XA56" s="913"/>
      <c r="XB56" s="913"/>
      <c r="XC56" s="913"/>
      <c r="XD56" s="913"/>
      <c r="XE56" s="913"/>
      <c r="XF56" s="913"/>
      <c r="XG56" s="913"/>
      <c r="XH56" s="913"/>
      <c r="XI56" s="913"/>
      <c r="XJ56" s="913"/>
      <c r="XK56" s="913"/>
      <c r="XL56" s="913"/>
      <c r="XM56" s="913"/>
      <c r="XN56" s="913"/>
      <c r="XO56" s="913"/>
      <c r="XP56" s="913"/>
      <c r="XQ56" s="913"/>
      <c r="XR56" s="913"/>
      <c r="XS56" s="913"/>
      <c r="XT56" s="913"/>
      <c r="XU56" s="913"/>
      <c r="XV56" s="913"/>
      <c r="XW56" s="913"/>
      <c r="XX56" s="913"/>
      <c r="XY56" s="913"/>
      <c r="XZ56" s="913"/>
      <c r="YA56" s="913"/>
      <c r="YB56" s="913"/>
      <c r="YC56" s="913"/>
      <c r="YD56" s="913"/>
      <c r="YE56" s="913"/>
      <c r="YF56" s="913"/>
      <c r="YG56" s="913"/>
      <c r="YH56" s="913"/>
      <c r="YI56" s="913"/>
      <c r="YJ56" s="913"/>
      <c r="YK56" s="913"/>
      <c r="YL56" s="913"/>
      <c r="YM56" s="913"/>
      <c r="YN56" s="913"/>
      <c r="YO56" s="913"/>
      <c r="YP56" s="913"/>
      <c r="YQ56" s="913"/>
      <c r="YR56" s="913"/>
      <c r="YS56" s="913"/>
      <c r="YT56" s="913"/>
      <c r="YU56" s="913"/>
      <c r="YV56" s="913"/>
      <c r="YW56" s="913"/>
      <c r="YX56" s="913"/>
      <c r="YY56" s="913"/>
      <c r="YZ56" s="913"/>
      <c r="ZA56" s="913"/>
      <c r="ZB56" s="913"/>
      <c r="ZC56" s="913"/>
      <c r="ZD56" s="913"/>
      <c r="ZE56" s="913"/>
      <c r="ZF56" s="913"/>
      <c r="ZG56" s="913"/>
      <c r="ZH56" s="913"/>
      <c r="ZI56" s="913"/>
      <c r="ZJ56" s="913"/>
      <c r="ZK56" s="913"/>
      <c r="ZL56" s="913"/>
      <c r="ZM56" s="913"/>
      <c r="ZN56" s="913"/>
      <c r="ZO56" s="913"/>
      <c r="ZP56" s="913"/>
      <c r="ZQ56" s="913"/>
      <c r="ZR56" s="913"/>
      <c r="ZS56" s="913"/>
      <c r="ZT56" s="913"/>
      <c r="ZU56" s="913"/>
      <c r="ZV56" s="913"/>
      <c r="ZW56" s="913"/>
      <c r="ZX56" s="913"/>
      <c r="ZY56" s="913"/>
      <c r="ZZ56" s="913"/>
      <c r="AAA56" s="913"/>
      <c r="AAB56" s="913"/>
      <c r="AAC56" s="913"/>
      <c r="AAD56" s="913"/>
      <c r="AAE56" s="913"/>
      <c r="AAF56" s="913"/>
      <c r="AAG56" s="913"/>
      <c r="AAH56" s="913"/>
      <c r="AAI56" s="913"/>
      <c r="AAJ56" s="913"/>
      <c r="AAK56" s="913"/>
      <c r="AAL56" s="913"/>
      <c r="AAM56" s="913"/>
      <c r="AAN56" s="913"/>
      <c r="AAO56" s="913"/>
      <c r="AAP56" s="913"/>
      <c r="AAQ56" s="913"/>
      <c r="AAR56" s="913"/>
      <c r="AAS56" s="913"/>
      <c r="AAT56" s="913"/>
      <c r="AAU56" s="913"/>
      <c r="AAV56" s="913"/>
      <c r="AAW56" s="913"/>
      <c r="AAX56" s="913"/>
      <c r="AAY56" s="913"/>
      <c r="AAZ56" s="913"/>
      <c r="ABA56" s="913"/>
      <c r="ABB56" s="913"/>
      <c r="ABC56" s="913"/>
      <c r="ABD56" s="913"/>
      <c r="ABE56" s="913"/>
      <c r="ABF56" s="913"/>
      <c r="ABG56" s="913"/>
      <c r="ABH56" s="913"/>
      <c r="ABI56" s="913"/>
      <c r="ABJ56" s="913"/>
      <c r="ABK56" s="913"/>
      <c r="ABL56" s="913"/>
      <c r="ABM56" s="913"/>
      <c r="ABN56" s="913"/>
      <c r="ABO56" s="913"/>
      <c r="ABP56" s="913"/>
      <c r="ABQ56" s="913"/>
      <c r="ABR56" s="913"/>
      <c r="ABS56" s="913"/>
      <c r="ABT56" s="913"/>
      <c r="ABU56" s="913"/>
      <c r="ABV56" s="913"/>
      <c r="ABW56" s="913"/>
      <c r="ABX56" s="913"/>
      <c r="ABY56" s="913"/>
      <c r="ABZ56" s="913"/>
      <c r="ACA56" s="913"/>
      <c r="ACB56" s="913"/>
      <c r="ACC56" s="913"/>
      <c r="ACD56" s="913"/>
      <c r="ACE56" s="913"/>
      <c r="ACF56" s="913"/>
      <c r="ACG56" s="913"/>
      <c r="ACH56" s="913"/>
      <c r="ACI56" s="913"/>
      <c r="ACJ56" s="913"/>
      <c r="ACK56" s="913"/>
      <c r="ACL56" s="913"/>
      <c r="ACM56" s="913"/>
      <c r="ACN56" s="913"/>
      <c r="ACO56" s="913"/>
      <c r="ACP56" s="913"/>
      <c r="ACQ56" s="913"/>
      <c r="ACR56" s="913"/>
      <c r="ACS56" s="913"/>
      <c r="ACT56" s="913"/>
      <c r="ACU56" s="913"/>
      <c r="ACV56" s="913"/>
      <c r="ACW56" s="913"/>
      <c r="ACX56" s="913"/>
      <c r="ACY56" s="913"/>
      <c r="ACZ56" s="913"/>
      <c r="ADA56" s="913"/>
      <c r="ADB56" s="913"/>
      <c r="ADC56" s="913"/>
      <c r="ADD56" s="913"/>
      <c r="ADE56" s="913"/>
      <c r="ADF56" s="913"/>
      <c r="ADG56" s="913"/>
      <c r="ADH56" s="913"/>
      <c r="ADI56" s="913"/>
      <c r="ADJ56" s="913"/>
      <c r="ADK56" s="913"/>
      <c r="ADL56" s="913"/>
      <c r="ADM56" s="913"/>
      <c r="ADN56" s="913"/>
      <c r="ADO56" s="913"/>
      <c r="ADP56" s="913"/>
      <c r="ADQ56" s="913"/>
      <c r="ADR56" s="913"/>
      <c r="ADS56" s="913"/>
      <c r="ADT56" s="913"/>
      <c r="ADU56" s="913"/>
      <c r="ADV56" s="913"/>
      <c r="ADW56" s="913"/>
      <c r="ADX56" s="913"/>
      <c r="ADY56" s="913"/>
      <c r="ADZ56" s="913"/>
      <c r="AEA56" s="913"/>
      <c r="AEB56" s="913"/>
      <c r="AEC56" s="913"/>
      <c r="AED56" s="913"/>
      <c r="AEE56" s="913"/>
      <c r="AEF56" s="913"/>
      <c r="AEG56" s="913"/>
      <c r="AEH56" s="913"/>
      <c r="AEI56" s="913"/>
      <c r="AEJ56" s="913"/>
      <c r="AEK56" s="913"/>
      <c r="AEL56" s="913"/>
      <c r="AEM56" s="913"/>
      <c r="AEN56" s="913"/>
      <c r="AEO56" s="913"/>
      <c r="AEP56" s="913"/>
      <c r="AEQ56" s="913"/>
      <c r="AER56" s="913"/>
      <c r="AES56" s="913"/>
      <c r="AET56" s="913"/>
      <c r="AEU56" s="913"/>
      <c r="AEV56" s="913"/>
      <c r="AEW56" s="913"/>
      <c r="AEX56" s="913"/>
      <c r="AEY56" s="913"/>
      <c r="AEZ56" s="913"/>
      <c r="AFA56" s="913"/>
      <c r="AFB56" s="913"/>
      <c r="AFC56" s="913"/>
      <c r="AFD56" s="913"/>
      <c r="AFE56" s="913"/>
      <c r="AFF56" s="913"/>
      <c r="AFG56" s="913"/>
      <c r="AFH56" s="913"/>
      <c r="AFI56" s="913"/>
      <c r="AFJ56" s="913"/>
      <c r="AFK56" s="913"/>
      <c r="AFL56" s="913"/>
      <c r="AFM56" s="913"/>
      <c r="AFN56" s="913"/>
      <c r="AFO56" s="913"/>
      <c r="AFP56" s="913"/>
      <c r="AFQ56" s="913"/>
      <c r="AFR56" s="913"/>
      <c r="AFS56" s="913"/>
      <c r="AFT56" s="913"/>
      <c r="AFU56" s="913"/>
      <c r="AFV56" s="913"/>
      <c r="AFW56" s="913"/>
      <c r="AFX56" s="913"/>
      <c r="AFY56" s="913"/>
      <c r="AFZ56" s="913"/>
      <c r="AGA56" s="913"/>
      <c r="AGB56" s="913"/>
      <c r="AGC56" s="913"/>
      <c r="AGD56" s="913"/>
      <c r="AGE56" s="913"/>
      <c r="AGF56" s="913"/>
      <c r="AGG56" s="913"/>
      <c r="AGH56" s="913"/>
      <c r="AGI56" s="913"/>
      <c r="AGJ56" s="913"/>
      <c r="AGK56" s="913"/>
      <c r="AGL56" s="913"/>
      <c r="AGM56" s="913"/>
      <c r="AGN56" s="913"/>
      <c r="AGO56" s="913"/>
      <c r="AGP56" s="913"/>
      <c r="AGQ56" s="913"/>
      <c r="AGR56" s="913"/>
      <c r="AGS56" s="913"/>
      <c r="AGT56" s="913"/>
      <c r="AGU56" s="913"/>
      <c r="AGV56" s="913"/>
      <c r="AGW56" s="913"/>
      <c r="AGX56" s="913"/>
      <c r="AGY56" s="913"/>
      <c r="AGZ56" s="913"/>
      <c r="AHA56" s="913"/>
      <c r="AHB56" s="913"/>
      <c r="AHC56" s="913"/>
      <c r="AHD56" s="913"/>
      <c r="AHE56" s="913"/>
      <c r="AHF56" s="913"/>
      <c r="AHG56" s="913"/>
      <c r="AHH56" s="913"/>
      <c r="AHI56" s="913"/>
      <c r="AHJ56" s="913"/>
      <c r="AHK56" s="913"/>
      <c r="AHL56" s="913"/>
      <c r="AHM56" s="913"/>
      <c r="AHN56" s="913"/>
      <c r="AHO56" s="913"/>
      <c r="AHP56" s="913"/>
      <c r="AHQ56" s="913"/>
      <c r="AHR56" s="913"/>
      <c r="AHS56" s="913"/>
      <c r="AHT56" s="913"/>
      <c r="AHU56" s="913"/>
      <c r="AHV56" s="913"/>
      <c r="AHW56" s="913"/>
      <c r="AHX56" s="913"/>
      <c r="AHY56" s="913"/>
      <c r="AHZ56" s="913"/>
      <c r="AIA56" s="913"/>
      <c r="AIB56" s="913"/>
      <c r="AIC56" s="913"/>
      <c r="AID56" s="913"/>
      <c r="AIE56" s="913"/>
      <c r="AIF56" s="913"/>
      <c r="AIG56" s="913"/>
      <c r="AIH56" s="913"/>
      <c r="AII56" s="913"/>
      <c r="AIJ56" s="913"/>
      <c r="AIK56" s="913"/>
      <c r="AIL56" s="913"/>
      <c r="AIM56" s="913"/>
      <c r="AIN56" s="913"/>
      <c r="AIO56" s="913"/>
      <c r="AIP56" s="913"/>
      <c r="AIQ56" s="913"/>
      <c r="AIR56" s="913"/>
      <c r="AIS56" s="913"/>
      <c r="AIT56" s="913"/>
      <c r="AIU56" s="913"/>
      <c r="AIV56" s="913"/>
      <c r="AIW56" s="913"/>
      <c r="AIX56" s="913"/>
      <c r="AIY56" s="913"/>
      <c r="AIZ56" s="913"/>
      <c r="AJA56" s="913"/>
      <c r="AJB56" s="913"/>
      <c r="AJC56" s="913"/>
      <c r="AJD56" s="913"/>
      <c r="AJE56" s="913"/>
      <c r="AJF56" s="913"/>
      <c r="AJG56" s="913"/>
      <c r="AJH56" s="913"/>
      <c r="AJI56" s="913"/>
      <c r="AJJ56" s="913"/>
      <c r="AJK56" s="913"/>
      <c r="AJL56" s="913"/>
      <c r="AJM56" s="913"/>
      <c r="AJN56" s="913"/>
      <c r="AJO56" s="913"/>
      <c r="AJP56" s="913"/>
      <c r="AJQ56" s="913"/>
      <c r="AJR56" s="913"/>
      <c r="AJS56" s="913"/>
      <c r="AJT56" s="913"/>
      <c r="AJU56" s="913"/>
      <c r="AJV56" s="913"/>
      <c r="AJW56" s="913"/>
      <c r="AJX56" s="913"/>
      <c r="AJY56" s="913"/>
      <c r="AJZ56" s="913"/>
      <c r="AKA56" s="913"/>
      <c r="AKB56" s="913"/>
      <c r="AKC56" s="913"/>
      <c r="AKD56" s="913"/>
      <c r="AKE56" s="913"/>
      <c r="AKF56" s="913"/>
      <c r="AKG56" s="913"/>
      <c r="AKH56" s="913"/>
      <c r="AKI56" s="913"/>
      <c r="AKJ56" s="913"/>
      <c r="AKK56" s="913"/>
      <c r="AKL56" s="913"/>
      <c r="AKM56" s="913"/>
      <c r="AKN56" s="913"/>
      <c r="AKO56" s="913"/>
      <c r="AKP56" s="913"/>
      <c r="AKQ56" s="913"/>
      <c r="AKR56" s="913"/>
      <c r="AKS56" s="913"/>
      <c r="AKT56" s="913"/>
      <c r="AKU56" s="913"/>
      <c r="AKV56" s="913"/>
      <c r="AKW56" s="913"/>
      <c r="AKX56" s="913"/>
      <c r="AKY56" s="913"/>
      <c r="AKZ56" s="913"/>
      <c r="ALA56" s="913"/>
      <c r="ALB56" s="913"/>
      <c r="ALC56" s="913"/>
      <c r="ALD56" s="913"/>
      <c r="ALE56" s="913"/>
      <c r="ALF56" s="913"/>
      <c r="ALG56" s="913"/>
      <c r="ALH56" s="913"/>
      <c r="ALI56" s="913"/>
      <c r="ALJ56" s="913"/>
      <c r="ALK56" s="913"/>
      <c r="ALL56" s="913"/>
      <c r="ALM56" s="913"/>
      <c r="ALN56" s="913"/>
      <c r="ALO56" s="913"/>
      <c r="ALP56" s="913"/>
      <c r="ALQ56" s="913"/>
      <c r="ALR56" s="913"/>
      <c r="ALS56" s="913"/>
      <c r="ALT56" s="913"/>
      <c r="ALU56" s="913"/>
      <c r="ALV56" s="913"/>
      <c r="ALW56" s="913"/>
      <c r="ALX56" s="913"/>
      <c r="ALY56" s="913"/>
      <c r="ALZ56" s="913"/>
      <c r="AMA56" s="913"/>
      <c r="AMB56" s="913"/>
      <c r="AMC56" s="913"/>
      <c r="AMD56" s="913"/>
      <c r="AME56" s="913"/>
      <c r="AMF56" s="913"/>
      <c r="AMG56" s="913"/>
      <c r="AMH56" s="913"/>
      <c r="AMI56" s="913"/>
      <c r="AMJ56" s="913"/>
      <c r="AMK56" s="913"/>
      <c r="AML56" s="913"/>
      <c r="AMM56" s="913"/>
      <c r="AMN56" s="913"/>
      <c r="AMO56" s="913"/>
      <c r="AMP56" s="913"/>
      <c r="AMQ56" s="913"/>
      <c r="AMR56" s="913"/>
      <c r="AMS56" s="913"/>
      <c r="AMT56" s="913"/>
      <c r="AMU56" s="913"/>
      <c r="AMV56" s="913"/>
      <c r="AMW56" s="913"/>
      <c r="AMX56" s="913"/>
      <c r="AMY56" s="913"/>
      <c r="AMZ56" s="913"/>
      <c r="ANA56" s="913"/>
      <c r="ANB56" s="913"/>
      <c r="ANC56" s="913"/>
      <c r="AND56" s="913"/>
      <c r="ANE56" s="913"/>
      <c r="ANF56" s="913"/>
      <c r="ANG56" s="913"/>
      <c r="ANH56" s="913"/>
      <c r="ANI56" s="913"/>
      <c r="ANJ56" s="913"/>
      <c r="ANK56" s="913"/>
      <c r="ANL56" s="913"/>
      <c r="ANM56" s="913"/>
      <c r="ANN56" s="913"/>
      <c r="ANO56" s="913"/>
      <c r="ANP56" s="913"/>
      <c r="ANQ56" s="913"/>
      <c r="ANR56" s="913"/>
      <c r="ANS56" s="913"/>
      <c r="ANT56" s="913"/>
      <c r="ANU56" s="913"/>
      <c r="ANV56" s="913"/>
      <c r="ANW56" s="913"/>
      <c r="ANX56" s="913"/>
      <c r="ANY56" s="913"/>
      <c r="ANZ56" s="913"/>
      <c r="AOA56" s="913"/>
      <c r="AOB56" s="913"/>
      <c r="AOC56" s="913"/>
      <c r="AOD56" s="913"/>
      <c r="AOE56" s="913"/>
      <c r="AOF56" s="913"/>
      <c r="AOG56" s="913"/>
      <c r="AOH56" s="913"/>
      <c r="AOI56" s="913"/>
      <c r="AOJ56" s="913"/>
      <c r="AOK56" s="913"/>
      <c r="AOL56" s="913"/>
      <c r="AOM56" s="913"/>
      <c r="AON56" s="913"/>
      <c r="AOO56" s="913"/>
      <c r="AOP56" s="913"/>
      <c r="AOQ56" s="913"/>
      <c r="AOR56" s="913"/>
      <c r="AOS56" s="913"/>
      <c r="AOT56" s="913"/>
      <c r="AOU56" s="913"/>
      <c r="AOV56" s="913"/>
      <c r="AOW56" s="913"/>
      <c r="AOX56" s="913"/>
      <c r="AOY56" s="913"/>
      <c r="AOZ56" s="913"/>
      <c r="APA56" s="913"/>
      <c r="APB56" s="913"/>
      <c r="APC56" s="913"/>
      <c r="APD56" s="913"/>
      <c r="APE56" s="913"/>
      <c r="APF56" s="913"/>
      <c r="APG56" s="913"/>
      <c r="APH56" s="913"/>
      <c r="API56" s="913"/>
      <c r="APJ56" s="913"/>
      <c r="APK56" s="913"/>
      <c r="APL56" s="913"/>
      <c r="APM56" s="913"/>
      <c r="APN56" s="913"/>
      <c r="APO56" s="913"/>
      <c r="APP56" s="913"/>
      <c r="APQ56" s="913"/>
      <c r="APR56" s="913"/>
      <c r="APS56" s="913"/>
      <c r="APT56" s="913"/>
      <c r="APU56" s="913"/>
      <c r="APV56" s="913"/>
      <c r="APW56" s="913"/>
      <c r="APX56" s="913"/>
      <c r="APY56" s="913"/>
      <c r="APZ56" s="913"/>
      <c r="AQA56" s="913"/>
      <c r="AQB56" s="913"/>
      <c r="AQC56" s="913"/>
      <c r="AQD56" s="913"/>
      <c r="AQE56" s="913"/>
      <c r="AQF56" s="913"/>
      <c r="AQG56" s="913"/>
      <c r="AQH56" s="913"/>
      <c r="AQI56" s="913"/>
      <c r="AQJ56" s="913"/>
      <c r="AQK56" s="913"/>
      <c r="AQL56" s="913"/>
      <c r="AQM56" s="913"/>
      <c r="AQN56" s="913"/>
      <c r="AQO56" s="913"/>
      <c r="AQP56" s="913"/>
      <c r="AQQ56" s="913"/>
      <c r="AQR56" s="913"/>
      <c r="AQS56" s="913"/>
      <c r="AQT56" s="913"/>
      <c r="AQU56" s="913"/>
      <c r="AQV56" s="913"/>
      <c r="AQW56" s="913"/>
      <c r="AQX56" s="913"/>
      <c r="AQY56" s="913"/>
      <c r="AQZ56" s="913"/>
      <c r="ARA56" s="913"/>
      <c r="ARB56" s="913"/>
      <c r="ARC56" s="913"/>
      <c r="ARD56" s="913"/>
      <c r="ARE56" s="913"/>
      <c r="ARF56" s="913"/>
      <c r="ARG56" s="913"/>
      <c r="ARH56" s="913"/>
      <c r="ARI56" s="913"/>
      <c r="ARJ56" s="913"/>
      <c r="ARK56" s="913"/>
      <c r="ARL56" s="913"/>
      <c r="ARM56" s="913"/>
      <c r="ARN56" s="913"/>
      <c r="ARO56" s="913"/>
      <c r="ARP56" s="913"/>
      <c r="ARQ56" s="913"/>
      <c r="ARR56" s="913"/>
      <c r="ARS56" s="913"/>
      <c r="ART56" s="913"/>
      <c r="ARU56" s="913"/>
      <c r="ARV56" s="913"/>
      <c r="ARW56" s="913"/>
      <c r="ARX56" s="913"/>
      <c r="ARY56" s="913"/>
      <c r="ARZ56" s="913"/>
      <c r="ASA56" s="913"/>
      <c r="ASB56" s="913"/>
      <c r="ASC56" s="913"/>
      <c r="ASD56" s="913"/>
      <c r="ASE56" s="913"/>
      <c r="ASF56" s="913"/>
      <c r="ASG56" s="913"/>
      <c r="ASH56" s="913"/>
      <c r="ASI56" s="913"/>
      <c r="ASJ56" s="913"/>
      <c r="ASK56" s="913"/>
      <c r="ASL56" s="913"/>
      <c r="ASM56" s="913"/>
      <c r="ASN56" s="913"/>
      <c r="ASO56" s="913"/>
      <c r="ASP56" s="913"/>
      <c r="ASQ56" s="913"/>
      <c r="ASR56" s="913"/>
      <c r="ASS56" s="913"/>
      <c r="AST56" s="913"/>
      <c r="ASU56" s="913"/>
      <c r="ASV56" s="913"/>
      <c r="ASW56" s="913"/>
      <c r="ASX56" s="913"/>
      <c r="ASY56" s="913"/>
      <c r="ASZ56" s="913"/>
      <c r="ATA56" s="913"/>
      <c r="ATB56" s="913"/>
      <c r="ATC56" s="913"/>
      <c r="ATD56" s="913"/>
      <c r="ATE56" s="913"/>
      <c r="ATF56" s="913"/>
      <c r="ATG56" s="913"/>
      <c r="ATH56" s="913"/>
      <c r="ATI56" s="913"/>
      <c r="ATJ56" s="913"/>
      <c r="ATK56" s="913"/>
      <c r="ATL56" s="913"/>
      <c r="ATM56" s="913"/>
      <c r="ATN56" s="913"/>
      <c r="ATO56" s="913"/>
      <c r="ATP56" s="913"/>
      <c r="ATQ56" s="913"/>
      <c r="ATR56" s="913"/>
      <c r="ATS56" s="913"/>
      <c r="ATT56" s="913"/>
      <c r="ATU56" s="913"/>
      <c r="ATV56" s="913"/>
      <c r="ATW56" s="913"/>
      <c r="ATX56" s="913"/>
      <c r="ATY56" s="913"/>
      <c r="ATZ56" s="913"/>
      <c r="AUA56" s="913"/>
      <c r="AUB56" s="913"/>
      <c r="AUC56" s="913"/>
      <c r="AUD56" s="913"/>
      <c r="AUE56" s="913"/>
      <c r="AUF56" s="913"/>
      <c r="AUG56" s="913"/>
      <c r="AUH56" s="913"/>
      <c r="AUI56" s="913"/>
      <c r="AUJ56" s="913"/>
      <c r="AUK56" s="913"/>
      <c r="AUL56" s="913"/>
      <c r="AUM56" s="913"/>
      <c r="AUN56" s="913"/>
      <c r="AUO56" s="913"/>
      <c r="AUP56" s="913"/>
      <c r="AUQ56" s="913"/>
      <c r="AUR56" s="913"/>
      <c r="AUS56" s="913"/>
      <c r="AUT56" s="913"/>
      <c r="AUU56" s="913"/>
      <c r="AUV56" s="913"/>
      <c r="AUW56" s="913"/>
      <c r="AUX56" s="913"/>
      <c r="AUY56" s="913"/>
      <c r="AUZ56" s="913"/>
      <c r="AVA56" s="913"/>
      <c r="AVB56" s="913"/>
      <c r="AVC56" s="913"/>
      <c r="AVD56" s="913"/>
      <c r="AVE56" s="913"/>
      <c r="AVF56" s="913"/>
      <c r="AVG56" s="913"/>
      <c r="AVH56" s="913"/>
      <c r="AVI56" s="913"/>
      <c r="AVJ56" s="913"/>
      <c r="AVK56" s="913"/>
      <c r="AVL56" s="913"/>
      <c r="AVM56" s="913"/>
      <c r="AVN56" s="913"/>
      <c r="AVO56" s="913"/>
      <c r="AVP56" s="913"/>
      <c r="AVQ56" s="913"/>
      <c r="AVR56" s="913"/>
      <c r="AVS56" s="913"/>
      <c r="AVT56" s="913"/>
      <c r="AVU56" s="913"/>
      <c r="AVV56" s="913"/>
      <c r="AVW56" s="913"/>
      <c r="AVX56" s="913"/>
      <c r="AVY56" s="913"/>
      <c r="AVZ56" s="913"/>
      <c r="AWA56" s="913"/>
      <c r="AWB56" s="913"/>
      <c r="AWC56" s="913"/>
      <c r="AWD56" s="913"/>
      <c r="AWE56" s="913"/>
      <c r="AWF56" s="913"/>
      <c r="AWG56" s="913"/>
      <c r="AWH56" s="913"/>
      <c r="AWI56" s="913"/>
      <c r="AWJ56" s="913"/>
      <c r="AWK56" s="913"/>
      <c r="AWL56" s="913"/>
      <c r="AWM56" s="913"/>
      <c r="AWN56" s="913"/>
      <c r="AWO56" s="913"/>
      <c r="AWP56" s="913"/>
      <c r="AWQ56" s="913"/>
      <c r="AWR56" s="913"/>
      <c r="AWS56" s="913"/>
      <c r="AWT56" s="913"/>
      <c r="AWU56" s="913"/>
      <c r="AWV56" s="913"/>
      <c r="AWW56" s="913"/>
      <c r="AWX56" s="913"/>
      <c r="AWY56" s="913"/>
      <c r="AWZ56" s="913"/>
      <c r="AXA56" s="913"/>
      <c r="AXB56" s="913"/>
      <c r="AXC56" s="913"/>
      <c r="AXD56" s="913"/>
      <c r="AXE56" s="913"/>
      <c r="AXF56" s="913"/>
      <c r="AXG56" s="913"/>
      <c r="AXH56" s="913"/>
      <c r="AXI56" s="913"/>
      <c r="AXJ56" s="913"/>
      <c r="AXK56" s="913"/>
      <c r="AXL56" s="913"/>
      <c r="AXM56" s="913"/>
      <c r="AXN56" s="913"/>
      <c r="AXO56" s="913"/>
      <c r="AXP56" s="913"/>
      <c r="AXQ56" s="913"/>
      <c r="AXR56" s="913"/>
      <c r="AXS56" s="913"/>
      <c r="AXT56" s="913"/>
      <c r="AXU56" s="913"/>
      <c r="AXV56" s="913"/>
      <c r="AXW56" s="913"/>
      <c r="AXX56" s="913"/>
      <c r="AXY56" s="913"/>
      <c r="AXZ56" s="913"/>
      <c r="AYA56" s="913"/>
      <c r="AYB56" s="913"/>
      <c r="AYC56" s="913"/>
      <c r="AYD56" s="913"/>
      <c r="AYE56" s="913"/>
      <c r="AYF56" s="913"/>
      <c r="AYG56" s="913"/>
      <c r="AYH56" s="913"/>
      <c r="AYI56" s="913"/>
      <c r="AYJ56" s="913"/>
      <c r="AYK56" s="913"/>
      <c r="AYL56" s="913"/>
      <c r="AYM56" s="913"/>
      <c r="AYN56" s="913"/>
      <c r="AYO56" s="913"/>
      <c r="AYP56" s="913"/>
      <c r="AYQ56" s="913"/>
      <c r="AYR56" s="913"/>
      <c r="AYS56" s="913"/>
      <c r="AYT56" s="913"/>
      <c r="AYU56" s="913"/>
      <c r="AYV56" s="913"/>
      <c r="AYW56" s="913"/>
      <c r="AYX56" s="913"/>
      <c r="AYY56" s="913"/>
      <c r="AYZ56" s="913"/>
      <c r="AZA56" s="913"/>
      <c r="AZB56" s="913"/>
      <c r="AZC56" s="913"/>
      <c r="AZD56" s="913"/>
      <c r="AZE56" s="913"/>
      <c r="AZF56" s="913"/>
      <c r="AZG56" s="913"/>
      <c r="AZH56" s="913"/>
      <c r="AZI56" s="913"/>
      <c r="AZJ56" s="913"/>
      <c r="AZK56" s="913"/>
      <c r="AZL56" s="913"/>
      <c r="AZM56" s="913"/>
      <c r="AZN56" s="913"/>
      <c r="AZO56" s="913"/>
      <c r="AZP56" s="913"/>
      <c r="AZQ56" s="913"/>
      <c r="AZR56" s="913"/>
      <c r="AZS56" s="913"/>
      <c r="AZT56" s="913"/>
      <c r="AZU56" s="913"/>
      <c r="AZV56" s="913"/>
      <c r="AZW56" s="913"/>
      <c r="AZX56" s="913"/>
      <c r="AZY56" s="913"/>
      <c r="AZZ56" s="913"/>
      <c r="BAA56" s="913"/>
      <c r="BAB56" s="913"/>
      <c r="BAC56" s="913"/>
      <c r="BAD56" s="913"/>
      <c r="BAE56" s="913"/>
      <c r="BAF56" s="913"/>
      <c r="BAG56" s="913"/>
      <c r="BAH56" s="913"/>
      <c r="BAI56" s="913"/>
      <c r="BAJ56" s="913"/>
      <c r="BAK56" s="913"/>
      <c r="BAL56" s="913"/>
      <c r="BAM56" s="913"/>
      <c r="BAN56" s="913"/>
      <c r="BAO56" s="913"/>
      <c r="BAP56" s="913"/>
      <c r="BAQ56" s="913"/>
      <c r="BAR56" s="913"/>
      <c r="BAS56" s="913"/>
      <c r="BAT56" s="913"/>
      <c r="BAU56" s="913"/>
      <c r="BAV56" s="913"/>
      <c r="BAW56" s="913"/>
      <c r="BAX56" s="913"/>
      <c r="BAY56" s="913"/>
      <c r="BAZ56" s="913"/>
      <c r="BBA56" s="913"/>
      <c r="BBB56" s="913"/>
      <c r="BBC56" s="913"/>
      <c r="BBD56" s="913"/>
      <c r="BBE56" s="913"/>
      <c r="BBF56" s="913"/>
      <c r="BBG56" s="913"/>
      <c r="BBH56" s="913"/>
      <c r="BBI56" s="913"/>
      <c r="BBJ56" s="913"/>
      <c r="BBK56" s="913"/>
      <c r="BBL56" s="913"/>
      <c r="BBM56" s="913"/>
      <c r="BBN56" s="913"/>
      <c r="BBO56" s="913"/>
      <c r="BBP56" s="913"/>
      <c r="BBQ56" s="913"/>
      <c r="BBR56" s="913"/>
      <c r="BBS56" s="913"/>
      <c r="BBT56" s="913"/>
      <c r="BBU56" s="913"/>
      <c r="BBV56" s="913"/>
      <c r="BBW56" s="913"/>
      <c r="BBX56" s="913"/>
      <c r="BBY56" s="913"/>
      <c r="BBZ56" s="913"/>
      <c r="BCA56" s="913"/>
      <c r="BCB56" s="913"/>
      <c r="BCC56" s="913"/>
      <c r="BCD56" s="913"/>
      <c r="BCE56" s="913"/>
      <c r="BCF56" s="913"/>
      <c r="BCG56" s="913"/>
      <c r="BCH56" s="913"/>
      <c r="BCI56" s="913"/>
      <c r="BCJ56" s="913"/>
      <c r="BCK56" s="913"/>
      <c r="BCL56" s="913"/>
      <c r="BCM56" s="913"/>
      <c r="BCN56" s="913"/>
      <c r="BCO56" s="913"/>
      <c r="BCP56" s="913"/>
      <c r="BCQ56" s="913"/>
      <c r="BCR56" s="913"/>
      <c r="BCS56" s="913"/>
      <c r="BCT56" s="913"/>
      <c r="BCU56" s="913"/>
      <c r="BCV56" s="913"/>
      <c r="BCW56" s="913"/>
      <c r="BCX56" s="913"/>
      <c r="BCY56" s="913"/>
      <c r="BCZ56" s="913"/>
      <c r="BDA56" s="913"/>
      <c r="BDB56" s="913"/>
      <c r="BDC56" s="913"/>
      <c r="BDD56" s="913"/>
      <c r="BDE56" s="913"/>
      <c r="BDF56" s="913"/>
      <c r="BDG56" s="913"/>
      <c r="BDH56" s="913"/>
      <c r="BDI56" s="913"/>
      <c r="BDJ56" s="913"/>
      <c r="BDK56" s="913"/>
      <c r="BDL56" s="913"/>
      <c r="BDM56" s="913"/>
      <c r="BDN56" s="913"/>
      <c r="BDO56" s="913"/>
      <c r="BDP56" s="913"/>
      <c r="BDQ56" s="913"/>
      <c r="BDR56" s="913"/>
      <c r="BDS56" s="913"/>
      <c r="BDT56" s="913"/>
      <c r="BDU56" s="913"/>
      <c r="BDV56" s="913"/>
      <c r="BDW56" s="913"/>
      <c r="BDX56" s="913"/>
      <c r="BDY56" s="913"/>
      <c r="BDZ56" s="913"/>
      <c r="BEA56" s="913"/>
      <c r="BEB56" s="913"/>
      <c r="BEC56" s="913"/>
      <c r="BED56" s="913"/>
      <c r="BEE56" s="913"/>
      <c r="BEF56" s="913"/>
      <c r="BEG56" s="913"/>
      <c r="BEH56" s="913"/>
      <c r="BEI56" s="913"/>
      <c r="BEJ56" s="913"/>
      <c r="BEK56" s="913"/>
      <c r="BEL56" s="913"/>
      <c r="BEM56" s="913"/>
      <c r="BEN56" s="913"/>
      <c r="BEO56" s="913"/>
      <c r="BEP56" s="913"/>
      <c r="BEQ56" s="913"/>
      <c r="BER56" s="913"/>
      <c r="BES56" s="913"/>
      <c r="BET56" s="913"/>
      <c r="BEU56" s="913"/>
      <c r="BEV56" s="913"/>
      <c r="BEW56" s="913"/>
      <c r="BEX56" s="913"/>
      <c r="BEY56" s="913"/>
      <c r="BEZ56" s="913"/>
      <c r="BFA56" s="913"/>
      <c r="BFB56" s="913"/>
      <c r="BFC56" s="913"/>
      <c r="BFD56" s="913"/>
      <c r="BFE56" s="913"/>
      <c r="BFF56" s="913"/>
      <c r="BFG56" s="913"/>
      <c r="BFH56" s="913"/>
      <c r="BFI56" s="913"/>
      <c r="BFJ56" s="913"/>
      <c r="BFK56" s="913"/>
      <c r="BFL56" s="913"/>
      <c r="BFM56" s="913"/>
      <c r="BFN56" s="913"/>
      <c r="BFO56" s="913"/>
      <c r="BFP56" s="913"/>
      <c r="BFQ56" s="913"/>
      <c r="BFR56" s="913"/>
      <c r="BFS56" s="913"/>
      <c r="BFT56" s="913"/>
      <c r="BFU56" s="913"/>
      <c r="BFV56" s="913"/>
      <c r="BFW56" s="913"/>
      <c r="BFX56" s="913"/>
      <c r="BFY56" s="913"/>
      <c r="BFZ56" s="913"/>
      <c r="BGA56" s="913"/>
      <c r="BGB56" s="913"/>
      <c r="BGC56" s="913"/>
      <c r="BGD56" s="913"/>
      <c r="BGE56" s="913"/>
      <c r="BGF56" s="913"/>
      <c r="BGG56" s="913"/>
      <c r="BGH56" s="913"/>
      <c r="BGI56" s="913"/>
      <c r="BGJ56" s="913"/>
      <c r="BGK56" s="913"/>
      <c r="BGL56" s="913"/>
      <c r="BGM56" s="913"/>
      <c r="BGN56" s="913"/>
      <c r="BGO56" s="913"/>
      <c r="BGP56" s="913"/>
      <c r="BGQ56" s="913"/>
      <c r="BGR56" s="913"/>
      <c r="BGS56" s="913"/>
      <c r="BGT56" s="913"/>
      <c r="BGU56" s="913"/>
      <c r="BGV56" s="913"/>
      <c r="BGW56" s="913"/>
      <c r="BGX56" s="913"/>
      <c r="BGY56" s="913"/>
      <c r="BGZ56" s="913"/>
      <c r="BHA56" s="913"/>
      <c r="BHB56" s="913"/>
      <c r="BHC56" s="913"/>
      <c r="BHD56" s="913"/>
      <c r="BHE56" s="913"/>
      <c r="BHF56" s="913"/>
      <c r="BHG56" s="913"/>
      <c r="BHH56" s="913"/>
      <c r="BHI56" s="913"/>
      <c r="BHJ56" s="913"/>
      <c r="BHK56" s="913"/>
      <c r="BHL56" s="913"/>
      <c r="BHM56" s="913"/>
      <c r="BHN56" s="913"/>
      <c r="BHO56" s="913"/>
      <c r="BHP56" s="913"/>
      <c r="BHQ56" s="913"/>
      <c r="BHR56" s="913"/>
      <c r="BHS56" s="913"/>
      <c r="BHT56" s="913"/>
      <c r="BHU56" s="913"/>
      <c r="BHV56" s="913"/>
      <c r="BHW56" s="913"/>
      <c r="BHX56" s="913"/>
      <c r="BHY56" s="913"/>
      <c r="BHZ56" s="913"/>
      <c r="BIA56" s="913"/>
      <c r="BIB56" s="913"/>
      <c r="BIC56" s="913"/>
      <c r="BID56" s="913"/>
      <c r="BIE56" s="913"/>
      <c r="BIF56" s="913"/>
      <c r="BIG56" s="913"/>
      <c r="BIH56" s="913"/>
      <c r="BII56" s="913"/>
      <c r="BIJ56" s="913"/>
      <c r="BIK56" s="913"/>
      <c r="BIL56" s="913"/>
      <c r="BIM56" s="913"/>
      <c r="BIN56" s="913"/>
      <c r="BIO56" s="913"/>
      <c r="BIP56" s="913"/>
      <c r="BIQ56" s="913"/>
      <c r="BIR56" s="913"/>
      <c r="BIS56" s="913"/>
      <c r="BIT56" s="913"/>
      <c r="BIU56" s="913"/>
      <c r="BIV56" s="913"/>
      <c r="BIW56" s="913"/>
      <c r="BIX56" s="913"/>
      <c r="BIY56" s="913"/>
      <c r="BIZ56" s="913"/>
      <c r="BJA56" s="913"/>
      <c r="BJB56" s="913"/>
      <c r="BJC56" s="913"/>
      <c r="BJD56" s="913"/>
      <c r="BJE56" s="913"/>
      <c r="BJF56" s="913"/>
      <c r="BJG56" s="913"/>
      <c r="BJH56" s="913"/>
      <c r="BJI56" s="913"/>
      <c r="BJJ56" s="913"/>
      <c r="BJK56" s="913"/>
      <c r="BJL56" s="913"/>
      <c r="BJM56" s="913"/>
      <c r="BJN56" s="913"/>
      <c r="BJO56" s="913"/>
      <c r="BJP56" s="913"/>
      <c r="BJQ56" s="913"/>
      <c r="BJR56" s="913"/>
      <c r="BJS56" s="913"/>
      <c r="BJT56" s="913"/>
      <c r="BJU56" s="913"/>
      <c r="BJV56" s="913"/>
      <c r="BJW56" s="913"/>
      <c r="BJX56" s="913"/>
      <c r="BJY56" s="913"/>
      <c r="BJZ56" s="913"/>
      <c r="BKA56" s="913"/>
      <c r="BKB56" s="913"/>
      <c r="BKC56" s="913"/>
      <c r="BKD56" s="913"/>
      <c r="BKE56" s="913"/>
      <c r="BKF56" s="913"/>
      <c r="BKG56" s="913"/>
      <c r="BKH56" s="913"/>
      <c r="BKI56" s="913"/>
      <c r="BKJ56" s="913"/>
      <c r="BKK56" s="913"/>
      <c r="BKL56" s="913"/>
      <c r="BKM56" s="913"/>
      <c r="BKN56" s="913"/>
      <c r="BKO56" s="913"/>
      <c r="BKP56" s="913"/>
      <c r="BKQ56" s="913"/>
      <c r="BKR56" s="913"/>
      <c r="BKS56" s="913"/>
      <c r="BKT56" s="913"/>
      <c r="BKU56" s="913"/>
      <c r="BKV56" s="913"/>
      <c r="BKW56" s="913"/>
      <c r="BKX56" s="913"/>
      <c r="BKY56" s="913"/>
      <c r="BKZ56" s="913"/>
      <c r="BLA56" s="913"/>
      <c r="BLB56" s="913"/>
      <c r="BLC56" s="913"/>
      <c r="BLD56" s="913"/>
      <c r="BLE56" s="913"/>
      <c r="BLF56" s="913"/>
      <c r="BLG56" s="913"/>
      <c r="BLH56" s="913"/>
      <c r="BLI56" s="913"/>
      <c r="BLJ56" s="913"/>
      <c r="BLK56" s="913"/>
      <c r="BLL56" s="913"/>
      <c r="BLM56" s="913"/>
      <c r="BLN56" s="913"/>
      <c r="BLO56" s="913"/>
      <c r="BLP56" s="913"/>
      <c r="BLQ56" s="913"/>
      <c r="BLR56" s="913"/>
      <c r="BLS56" s="913"/>
      <c r="BLT56" s="913"/>
      <c r="BLU56" s="913"/>
      <c r="BLV56" s="913"/>
      <c r="BLW56" s="913"/>
      <c r="BLX56" s="913"/>
      <c r="BLY56" s="913"/>
      <c r="BLZ56" s="913"/>
      <c r="BMA56" s="913"/>
      <c r="BMB56" s="913"/>
      <c r="BMC56" s="913"/>
      <c r="BMD56" s="913"/>
      <c r="BME56" s="913"/>
      <c r="BMF56" s="913"/>
      <c r="BMG56" s="913"/>
      <c r="BMH56" s="913"/>
      <c r="BMI56" s="913"/>
      <c r="BMJ56" s="913"/>
      <c r="BMK56" s="913"/>
      <c r="BML56" s="913"/>
      <c r="BMM56" s="913"/>
      <c r="BMN56" s="913"/>
      <c r="BMO56" s="913"/>
      <c r="BMP56" s="913"/>
      <c r="BMQ56" s="913"/>
      <c r="BMR56" s="913"/>
      <c r="BMS56" s="913"/>
      <c r="BMT56" s="913"/>
      <c r="BMU56" s="913"/>
      <c r="BMV56" s="913"/>
      <c r="BMW56" s="913"/>
      <c r="BMX56" s="913"/>
      <c r="BMY56" s="913"/>
      <c r="BMZ56" s="913"/>
      <c r="BNA56" s="913"/>
      <c r="BNB56" s="913"/>
      <c r="BNC56" s="913"/>
      <c r="BND56" s="913"/>
      <c r="BNE56" s="913"/>
      <c r="BNF56" s="913"/>
      <c r="BNG56" s="913"/>
      <c r="BNH56" s="913"/>
      <c r="BNI56" s="913"/>
      <c r="BNJ56" s="913"/>
      <c r="BNK56" s="913"/>
      <c r="BNL56" s="913"/>
      <c r="BNM56" s="913"/>
      <c r="BNN56" s="913"/>
      <c r="BNO56" s="913"/>
      <c r="BNP56" s="913"/>
      <c r="BNQ56" s="913"/>
      <c r="BNR56" s="913"/>
      <c r="BNS56" s="913"/>
      <c r="BNT56" s="913"/>
      <c r="BNU56" s="913"/>
      <c r="BNV56" s="913"/>
      <c r="BNW56" s="913"/>
      <c r="BNX56" s="913"/>
      <c r="BNY56" s="913"/>
      <c r="BNZ56" s="913"/>
      <c r="BOA56" s="913"/>
      <c r="BOB56" s="913"/>
      <c r="BOC56" s="913"/>
      <c r="BOD56" s="913"/>
      <c r="BOE56" s="913"/>
      <c r="BOF56" s="913"/>
      <c r="BOG56" s="913"/>
      <c r="BOH56" s="913"/>
      <c r="BOI56" s="913"/>
      <c r="BOJ56" s="913"/>
      <c r="BOK56" s="913"/>
      <c r="BOL56" s="913"/>
      <c r="BOM56" s="913"/>
      <c r="BON56" s="913"/>
      <c r="BOO56" s="913"/>
      <c r="BOP56" s="913"/>
      <c r="BOQ56" s="913"/>
      <c r="BOR56" s="913"/>
      <c r="BOS56" s="913"/>
      <c r="BOT56" s="913"/>
      <c r="BOU56" s="913"/>
      <c r="BOV56" s="913"/>
      <c r="BOW56" s="913"/>
      <c r="BOX56" s="913"/>
      <c r="BOY56" s="913"/>
      <c r="BOZ56" s="913"/>
      <c r="BPA56" s="913"/>
      <c r="BPB56" s="913"/>
      <c r="BPC56" s="913"/>
      <c r="BPD56" s="913"/>
      <c r="BPE56" s="913"/>
      <c r="BPF56" s="913"/>
      <c r="BPG56" s="913"/>
      <c r="BPH56" s="913"/>
      <c r="BPI56" s="913"/>
      <c r="BPJ56" s="913"/>
      <c r="BPK56" s="913"/>
      <c r="BPL56" s="913"/>
      <c r="BPM56" s="913"/>
      <c r="BPN56" s="913"/>
      <c r="BPO56" s="913"/>
      <c r="BPP56" s="913"/>
      <c r="BPQ56" s="913"/>
      <c r="BPR56" s="913"/>
      <c r="BPS56" s="913"/>
      <c r="BPT56" s="913"/>
      <c r="BPU56" s="913"/>
      <c r="BPV56" s="913"/>
      <c r="BPW56" s="913"/>
      <c r="BPX56" s="913"/>
      <c r="BPY56" s="913"/>
      <c r="BPZ56" s="913"/>
      <c r="BQA56" s="913"/>
      <c r="BQB56" s="913"/>
      <c r="BQC56" s="913"/>
      <c r="BQD56" s="913"/>
      <c r="BQE56" s="913"/>
      <c r="BQF56" s="913"/>
      <c r="BQG56" s="913"/>
      <c r="BQH56" s="913"/>
      <c r="BQI56" s="913"/>
      <c r="BQJ56" s="913"/>
      <c r="BQK56" s="913"/>
      <c r="BQL56" s="913"/>
      <c r="BQM56" s="913"/>
      <c r="BQN56" s="913"/>
      <c r="BQO56" s="913"/>
      <c r="BQP56" s="913"/>
      <c r="BQQ56" s="913"/>
      <c r="BQR56" s="913"/>
      <c r="BQS56" s="913"/>
      <c r="BQT56" s="913"/>
      <c r="BQU56" s="913"/>
      <c r="BQV56" s="913"/>
      <c r="BQW56" s="913"/>
      <c r="BQX56" s="913"/>
      <c r="BQY56" s="913"/>
      <c r="BQZ56" s="913"/>
      <c r="BRA56" s="913"/>
      <c r="BRB56" s="913"/>
      <c r="BRC56" s="913"/>
      <c r="BRD56" s="913"/>
      <c r="BRE56" s="913"/>
      <c r="BRF56" s="913"/>
      <c r="BRG56" s="913"/>
      <c r="BRH56" s="913"/>
      <c r="BRI56" s="913"/>
      <c r="BRJ56" s="913"/>
      <c r="BRK56" s="913"/>
      <c r="BRL56" s="913"/>
      <c r="BRM56" s="913"/>
      <c r="BRN56" s="913"/>
      <c r="BRO56" s="913"/>
      <c r="BRP56" s="913"/>
      <c r="BRQ56" s="913"/>
      <c r="BRR56" s="913"/>
      <c r="BRS56" s="913"/>
      <c r="BRT56" s="913"/>
      <c r="BRU56" s="913"/>
      <c r="BRV56" s="913"/>
      <c r="BRW56" s="913"/>
      <c r="BRX56" s="913"/>
      <c r="BRY56" s="913"/>
      <c r="BRZ56" s="913"/>
      <c r="BSA56" s="913"/>
      <c r="BSB56" s="913"/>
      <c r="BSC56" s="913"/>
      <c r="BSD56" s="913"/>
      <c r="BSE56" s="913"/>
      <c r="BSF56" s="913"/>
      <c r="BSG56" s="913"/>
      <c r="BSH56" s="913"/>
      <c r="BSI56" s="913"/>
      <c r="BSJ56" s="913"/>
      <c r="BSK56" s="913"/>
      <c r="BSL56" s="913"/>
      <c r="BSM56" s="913"/>
      <c r="BSN56" s="913"/>
      <c r="BSO56" s="913"/>
      <c r="BSP56" s="913"/>
      <c r="BSQ56" s="913"/>
      <c r="BSR56" s="913"/>
      <c r="BSS56" s="913"/>
      <c r="BST56" s="913"/>
      <c r="BSU56" s="913"/>
      <c r="BSV56" s="913"/>
      <c r="BSW56" s="913"/>
      <c r="BSX56" s="913"/>
      <c r="BSY56" s="913"/>
      <c r="BSZ56" s="913"/>
      <c r="BTA56" s="913"/>
      <c r="BTB56" s="913"/>
      <c r="BTC56" s="913"/>
      <c r="BTD56" s="913"/>
      <c r="BTE56" s="913"/>
      <c r="BTF56" s="913"/>
      <c r="BTG56" s="913"/>
      <c r="BTH56" s="913"/>
      <c r="BTI56" s="913"/>
      <c r="BTJ56" s="913"/>
      <c r="BTK56" s="913"/>
      <c r="BTL56" s="913"/>
      <c r="BTM56" s="913"/>
      <c r="BTN56" s="913"/>
      <c r="BTO56" s="913"/>
      <c r="BTP56" s="913"/>
      <c r="BTQ56" s="913"/>
      <c r="BTR56" s="913"/>
      <c r="BTS56" s="913"/>
      <c r="BTT56" s="913"/>
      <c r="BTU56" s="913"/>
      <c r="BTV56" s="913"/>
      <c r="BTW56" s="913"/>
      <c r="BTX56" s="913"/>
      <c r="BTY56" s="913"/>
      <c r="BTZ56" s="913"/>
      <c r="BUA56" s="913"/>
      <c r="BUB56" s="913"/>
      <c r="BUC56" s="913"/>
      <c r="BUD56" s="913"/>
      <c r="BUE56" s="913"/>
      <c r="BUF56" s="913"/>
      <c r="BUG56" s="913"/>
      <c r="BUH56" s="913"/>
      <c r="BUI56" s="913"/>
      <c r="BUJ56" s="913"/>
      <c r="BUK56" s="913"/>
      <c r="BUL56" s="913"/>
      <c r="BUM56" s="913"/>
      <c r="BUN56" s="913"/>
      <c r="BUO56" s="913"/>
      <c r="BUP56" s="913"/>
      <c r="BUQ56" s="913"/>
      <c r="BUR56" s="913"/>
      <c r="BUS56" s="913"/>
      <c r="BUT56" s="913"/>
      <c r="BUU56" s="913"/>
      <c r="BUV56" s="913"/>
      <c r="BUW56" s="913"/>
      <c r="BUX56" s="913"/>
      <c r="BUY56" s="913"/>
      <c r="BUZ56" s="913"/>
      <c r="BVA56" s="913"/>
      <c r="BVB56" s="913"/>
      <c r="BVC56" s="913"/>
      <c r="BVD56" s="913"/>
      <c r="BVE56" s="913"/>
      <c r="BVF56" s="913"/>
      <c r="BVG56" s="913"/>
      <c r="BVH56" s="913"/>
      <c r="BVI56" s="913"/>
      <c r="BVJ56" s="913"/>
      <c r="BVK56" s="913"/>
      <c r="BVL56" s="913"/>
      <c r="BVM56" s="913"/>
      <c r="BVN56" s="913"/>
      <c r="BVO56" s="913"/>
      <c r="BVP56" s="913"/>
      <c r="BVQ56" s="913"/>
      <c r="BVR56" s="913"/>
      <c r="BVS56" s="913"/>
      <c r="BVT56" s="913"/>
      <c r="BVU56" s="913"/>
      <c r="BVV56" s="913"/>
      <c r="BVW56" s="913"/>
      <c r="BVX56" s="913"/>
      <c r="BVY56" s="913"/>
      <c r="BVZ56" s="913"/>
      <c r="BWA56" s="913"/>
      <c r="BWB56" s="913"/>
      <c r="BWC56" s="913"/>
      <c r="BWD56" s="913"/>
      <c r="BWE56" s="913"/>
      <c r="BWF56" s="913"/>
      <c r="BWG56" s="913"/>
      <c r="BWH56" s="913"/>
      <c r="BWI56" s="913"/>
      <c r="BWJ56" s="913"/>
      <c r="BWK56" s="913"/>
      <c r="BWL56" s="913"/>
      <c r="BWM56" s="913"/>
      <c r="BWN56" s="913"/>
      <c r="BWO56" s="913"/>
      <c r="BWP56" s="913"/>
      <c r="BWQ56" s="913"/>
      <c r="BWR56" s="913"/>
      <c r="BWS56" s="913"/>
      <c r="BWT56" s="913"/>
      <c r="BWU56" s="913"/>
      <c r="BWV56" s="913"/>
      <c r="BWW56" s="913"/>
      <c r="BWX56" s="913"/>
      <c r="BWY56" s="913"/>
      <c r="BWZ56" s="913"/>
      <c r="BXA56" s="913"/>
      <c r="BXB56" s="913"/>
      <c r="BXC56" s="913"/>
      <c r="BXD56" s="913"/>
      <c r="BXE56" s="913"/>
      <c r="BXF56" s="913"/>
      <c r="BXG56" s="913"/>
      <c r="BXH56" s="913"/>
      <c r="BXI56" s="913"/>
      <c r="BXJ56" s="913"/>
      <c r="BXK56" s="913"/>
      <c r="BXL56" s="913"/>
      <c r="BXM56" s="913"/>
      <c r="BXN56" s="913"/>
      <c r="BXO56" s="913"/>
      <c r="BXP56" s="913"/>
      <c r="BXQ56" s="913"/>
      <c r="BXR56" s="913"/>
      <c r="BXS56" s="913"/>
      <c r="BXT56" s="913"/>
      <c r="BXU56" s="913"/>
      <c r="BXV56" s="913"/>
      <c r="BXW56" s="913"/>
      <c r="BXX56" s="913"/>
      <c r="BXY56" s="913"/>
      <c r="BXZ56" s="913"/>
      <c r="BYA56" s="913"/>
      <c r="BYB56" s="913"/>
      <c r="BYC56" s="913"/>
      <c r="BYD56" s="913"/>
      <c r="BYE56" s="913"/>
      <c r="BYF56" s="913"/>
      <c r="BYG56" s="913"/>
      <c r="BYH56" s="913"/>
      <c r="BYI56" s="913"/>
      <c r="BYJ56" s="913"/>
      <c r="BYK56" s="913"/>
      <c r="BYL56" s="913"/>
      <c r="BYM56" s="913"/>
      <c r="BYN56" s="913"/>
      <c r="BYO56" s="913"/>
      <c r="BYP56" s="913"/>
      <c r="BYQ56" s="913"/>
      <c r="BYR56" s="913"/>
      <c r="BYS56" s="913"/>
      <c r="BYT56" s="913"/>
      <c r="BYU56" s="913"/>
      <c r="BYV56" s="913"/>
      <c r="BYW56" s="913"/>
      <c r="BYX56" s="913"/>
      <c r="BYY56" s="913"/>
      <c r="BYZ56" s="913"/>
      <c r="BZA56" s="913"/>
      <c r="BZB56" s="913"/>
      <c r="BZC56" s="913"/>
      <c r="BZD56" s="913"/>
      <c r="BZE56" s="913"/>
      <c r="BZF56" s="913"/>
      <c r="BZG56" s="913"/>
      <c r="BZH56" s="913"/>
      <c r="BZI56" s="913"/>
      <c r="BZJ56" s="913"/>
      <c r="BZK56" s="913"/>
      <c r="BZL56" s="913"/>
      <c r="BZM56" s="913"/>
      <c r="BZN56" s="913"/>
      <c r="BZO56" s="913"/>
      <c r="BZP56" s="913"/>
      <c r="BZQ56" s="913"/>
      <c r="BZR56" s="913"/>
      <c r="BZS56" s="913"/>
      <c r="BZT56" s="913"/>
      <c r="BZU56" s="913"/>
      <c r="BZV56" s="913"/>
      <c r="BZW56" s="913"/>
      <c r="BZX56" s="913"/>
      <c r="BZY56" s="913"/>
      <c r="BZZ56" s="913"/>
      <c r="CAA56" s="913"/>
      <c r="CAB56" s="913"/>
      <c r="CAC56" s="913"/>
      <c r="CAD56" s="913"/>
      <c r="CAE56" s="913"/>
      <c r="CAF56" s="913"/>
      <c r="CAG56" s="913"/>
      <c r="CAH56" s="913"/>
      <c r="CAI56" s="913"/>
      <c r="CAJ56" s="913"/>
      <c r="CAK56" s="913"/>
      <c r="CAL56" s="913"/>
      <c r="CAM56" s="913"/>
      <c r="CAN56" s="913"/>
      <c r="CAO56" s="913"/>
      <c r="CAP56" s="913"/>
      <c r="CAQ56" s="913"/>
      <c r="CAR56" s="913"/>
      <c r="CAS56" s="913"/>
      <c r="CAT56" s="913"/>
      <c r="CAU56" s="913"/>
      <c r="CAV56" s="913"/>
      <c r="CAW56" s="913"/>
      <c r="CAX56" s="913"/>
      <c r="CAY56" s="913"/>
      <c r="CAZ56" s="913"/>
      <c r="CBA56" s="913"/>
      <c r="CBB56" s="913"/>
      <c r="CBC56" s="913"/>
      <c r="CBD56" s="913"/>
      <c r="CBE56" s="913"/>
      <c r="CBF56" s="913"/>
      <c r="CBG56" s="913"/>
      <c r="CBH56" s="913"/>
      <c r="CBI56" s="913"/>
      <c r="CBJ56" s="913"/>
      <c r="CBK56" s="913"/>
      <c r="CBL56" s="913"/>
      <c r="CBM56" s="913"/>
      <c r="CBN56" s="913"/>
      <c r="CBO56" s="913"/>
      <c r="CBP56" s="913"/>
      <c r="CBQ56" s="913"/>
      <c r="CBR56" s="913"/>
      <c r="CBS56" s="913"/>
      <c r="CBT56" s="913"/>
      <c r="CBU56" s="913"/>
      <c r="CBV56" s="913"/>
      <c r="CBW56" s="913"/>
      <c r="CBX56" s="913"/>
      <c r="CBY56" s="913"/>
      <c r="CBZ56" s="913"/>
      <c r="CCA56" s="913"/>
      <c r="CCB56" s="913"/>
      <c r="CCC56" s="913"/>
      <c r="CCD56" s="913"/>
      <c r="CCE56" s="913"/>
      <c r="CCF56" s="913"/>
      <c r="CCG56" s="913"/>
      <c r="CCH56" s="913"/>
      <c r="CCI56" s="913"/>
      <c r="CCJ56" s="913"/>
      <c r="CCK56" s="913"/>
      <c r="CCL56" s="913"/>
      <c r="CCM56" s="913"/>
      <c r="CCN56" s="913"/>
      <c r="CCO56" s="913"/>
      <c r="CCP56" s="913"/>
      <c r="CCQ56" s="913"/>
      <c r="CCR56" s="913"/>
      <c r="CCS56" s="913"/>
      <c r="CCT56" s="913"/>
      <c r="CCU56" s="913"/>
      <c r="CCV56" s="913"/>
      <c r="CCW56" s="913"/>
      <c r="CCX56" s="913"/>
      <c r="CCY56" s="913"/>
      <c r="CCZ56" s="913"/>
      <c r="CDA56" s="913"/>
      <c r="CDB56" s="913"/>
      <c r="CDC56" s="913"/>
      <c r="CDD56" s="913"/>
      <c r="CDE56" s="913"/>
      <c r="CDF56" s="913"/>
      <c r="CDG56" s="913"/>
      <c r="CDH56" s="913"/>
      <c r="CDI56" s="913"/>
      <c r="CDJ56" s="913"/>
      <c r="CDK56" s="913"/>
      <c r="CDL56" s="913"/>
      <c r="CDM56" s="913"/>
      <c r="CDN56" s="913"/>
      <c r="CDO56" s="913"/>
      <c r="CDP56" s="913"/>
      <c r="CDQ56" s="913"/>
      <c r="CDR56" s="913"/>
      <c r="CDS56" s="913"/>
      <c r="CDT56" s="913"/>
      <c r="CDU56" s="913"/>
      <c r="CDV56" s="913"/>
      <c r="CDW56" s="913"/>
      <c r="CDX56" s="913"/>
      <c r="CDY56" s="913"/>
      <c r="CDZ56" s="913"/>
      <c r="CEA56" s="913"/>
      <c r="CEB56" s="913"/>
      <c r="CEC56" s="913"/>
      <c r="CED56" s="913"/>
      <c r="CEE56" s="913"/>
      <c r="CEF56" s="913"/>
      <c r="CEG56" s="913"/>
      <c r="CEH56" s="913"/>
      <c r="CEI56" s="913"/>
      <c r="CEJ56" s="913"/>
      <c r="CEK56" s="913"/>
      <c r="CEL56" s="913"/>
      <c r="CEM56" s="913"/>
      <c r="CEN56" s="913"/>
      <c r="CEO56" s="913"/>
      <c r="CEP56" s="913"/>
      <c r="CEQ56" s="913"/>
      <c r="CER56" s="913"/>
      <c r="CES56" s="913"/>
      <c r="CET56" s="913"/>
      <c r="CEU56" s="913"/>
      <c r="CEV56" s="913"/>
      <c r="CEW56" s="913"/>
      <c r="CEX56" s="913"/>
      <c r="CEY56" s="913"/>
      <c r="CEZ56" s="913"/>
      <c r="CFA56" s="913"/>
      <c r="CFB56" s="913"/>
      <c r="CFC56" s="913"/>
      <c r="CFD56" s="913"/>
      <c r="CFE56" s="913"/>
      <c r="CFF56" s="913"/>
      <c r="CFG56" s="913"/>
      <c r="CFH56" s="913"/>
      <c r="CFI56" s="913"/>
      <c r="CFJ56" s="913"/>
      <c r="CFK56" s="913"/>
      <c r="CFL56" s="913"/>
      <c r="CFM56" s="913"/>
      <c r="CFN56" s="913"/>
      <c r="CFO56" s="913"/>
      <c r="CFP56" s="913"/>
      <c r="CFQ56" s="913"/>
      <c r="CFR56" s="913"/>
      <c r="CFS56" s="913"/>
      <c r="CFT56" s="913"/>
      <c r="CFU56" s="913"/>
      <c r="CFV56" s="913"/>
      <c r="CFW56" s="913"/>
      <c r="CFX56" s="913"/>
      <c r="CFY56" s="913"/>
      <c r="CFZ56" s="913"/>
      <c r="CGA56" s="913"/>
      <c r="CGB56" s="913"/>
      <c r="CGC56" s="913"/>
      <c r="CGD56" s="913"/>
      <c r="CGE56" s="913"/>
      <c r="CGF56" s="913"/>
      <c r="CGG56" s="913"/>
      <c r="CGH56" s="913"/>
      <c r="CGI56" s="913"/>
      <c r="CGJ56" s="913"/>
      <c r="CGK56" s="913"/>
      <c r="CGL56" s="913"/>
      <c r="CGM56" s="913"/>
      <c r="CGN56" s="913"/>
      <c r="CGO56" s="913"/>
      <c r="CGP56" s="913"/>
      <c r="CGQ56" s="913"/>
      <c r="CGR56" s="913"/>
      <c r="CGS56" s="913"/>
      <c r="CGT56" s="913"/>
      <c r="CGU56" s="913"/>
      <c r="CGV56" s="913"/>
      <c r="CGW56" s="913"/>
      <c r="CGX56" s="913"/>
      <c r="CGY56" s="913"/>
      <c r="CGZ56" s="913"/>
      <c r="CHA56" s="913"/>
      <c r="CHB56" s="913"/>
      <c r="CHC56" s="913"/>
      <c r="CHD56" s="913"/>
      <c r="CHE56" s="913"/>
      <c r="CHF56" s="913"/>
      <c r="CHG56" s="913"/>
      <c r="CHH56" s="913"/>
      <c r="CHI56" s="913"/>
      <c r="CHJ56" s="913"/>
      <c r="CHK56" s="913"/>
      <c r="CHL56" s="913"/>
      <c r="CHM56" s="913"/>
      <c r="CHN56" s="913"/>
      <c r="CHO56" s="913"/>
      <c r="CHP56" s="913"/>
      <c r="CHQ56" s="913"/>
      <c r="CHR56" s="913"/>
      <c r="CHS56" s="913"/>
      <c r="CHT56" s="913"/>
      <c r="CHU56" s="913"/>
      <c r="CHV56" s="913"/>
      <c r="CHW56" s="913"/>
      <c r="CHX56" s="913"/>
      <c r="CHY56" s="913"/>
      <c r="CHZ56" s="913"/>
      <c r="CIA56" s="913"/>
      <c r="CIB56" s="913"/>
      <c r="CIC56" s="913"/>
      <c r="CID56" s="913"/>
      <c r="CIE56" s="913"/>
      <c r="CIF56" s="913"/>
      <c r="CIG56" s="913"/>
      <c r="CIH56" s="913"/>
      <c r="CII56" s="913"/>
      <c r="CIJ56" s="913"/>
      <c r="CIK56" s="913"/>
      <c r="CIL56" s="913"/>
      <c r="CIM56" s="913"/>
      <c r="CIN56" s="913"/>
      <c r="CIO56" s="913"/>
      <c r="CIP56" s="913"/>
      <c r="CIQ56" s="913"/>
      <c r="CIR56" s="913"/>
      <c r="CIS56" s="913"/>
      <c r="CIT56" s="913"/>
      <c r="CIU56" s="913"/>
      <c r="CIV56" s="913"/>
      <c r="CIW56" s="913"/>
      <c r="CIX56" s="913"/>
      <c r="CIY56" s="913"/>
      <c r="CIZ56" s="913"/>
      <c r="CJA56" s="913"/>
      <c r="CJB56" s="913"/>
      <c r="CJC56" s="913"/>
      <c r="CJD56" s="913"/>
      <c r="CJE56" s="913"/>
      <c r="CJF56" s="913"/>
      <c r="CJG56" s="913"/>
      <c r="CJH56" s="913"/>
      <c r="CJI56" s="913"/>
      <c r="CJJ56" s="913"/>
      <c r="CJK56" s="913"/>
      <c r="CJL56" s="913"/>
      <c r="CJM56" s="913"/>
      <c r="CJN56" s="913"/>
      <c r="CJO56" s="913"/>
      <c r="CJP56" s="913"/>
      <c r="CJQ56" s="913"/>
      <c r="CJR56" s="913"/>
      <c r="CJS56" s="913"/>
      <c r="CJT56" s="913"/>
      <c r="CJU56" s="913"/>
      <c r="CJV56" s="913"/>
      <c r="CJW56" s="913"/>
      <c r="CJX56" s="913"/>
      <c r="CJY56" s="913"/>
      <c r="CJZ56" s="913"/>
      <c r="CKA56" s="913"/>
      <c r="CKB56" s="913"/>
      <c r="CKC56" s="913"/>
      <c r="CKD56" s="913"/>
      <c r="CKE56" s="913"/>
      <c r="CKF56" s="913"/>
      <c r="CKG56" s="913"/>
      <c r="CKH56" s="913"/>
      <c r="CKI56" s="913"/>
      <c r="CKJ56" s="913"/>
      <c r="CKK56" s="913"/>
      <c r="CKL56" s="913"/>
      <c r="CKM56" s="913"/>
      <c r="CKN56" s="913"/>
      <c r="CKO56" s="913"/>
      <c r="CKP56" s="913"/>
      <c r="CKQ56" s="913"/>
      <c r="CKR56" s="913"/>
      <c r="CKS56" s="913"/>
      <c r="CKT56" s="913"/>
      <c r="CKU56" s="913"/>
      <c r="CKV56" s="913"/>
      <c r="CKW56" s="913"/>
      <c r="CKX56" s="913"/>
      <c r="CKY56" s="913"/>
      <c r="CKZ56" s="913"/>
      <c r="CLA56" s="913"/>
      <c r="CLB56" s="913"/>
      <c r="CLC56" s="913"/>
      <c r="CLD56" s="913"/>
      <c r="CLE56" s="913"/>
      <c r="CLF56" s="913"/>
      <c r="CLG56" s="913"/>
      <c r="CLH56" s="913"/>
      <c r="CLI56" s="913"/>
      <c r="CLJ56" s="913"/>
      <c r="CLK56" s="913"/>
      <c r="CLL56" s="913"/>
      <c r="CLM56" s="913"/>
      <c r="CLN56" s="913"/>
      <c r="CLO56" s="913"/>
      <c r="CLP56" s="913"/>
      <c r="CLQ56" s="913"/>
      <c r="CLR56" s="913"/>
      <c r="CLS56" s="913"/>
      <c r="CLT56" s="913"/>
      <c r="CLU56" s="913"/>
      <c r="CLV56" s="913"/>
      <c r="CLW56" s="913"/>
      <c r="CLX56" s="913"/>
      <c r="CLY56" s="913"/>
      <c r="CLZ56" s="913"/>
      <c r="CMA56" s="913"/>
      <c r="CMB56" s="913"/>
      <c r="CMC56" s="913"/>
      <c r="CMD56" s="913"/>
      <c r="CME56" s="913"/>
      <c r="CMF56" s="913"/>
      <c r="CMG56" s="913"/>
      <c r="CMH56" s="913"/>
      <c r="CMI56" s="913"/>
      <c r="CMJ56" s="913"/>
      <c r="CMK56" s="913"/>
      <c r="CML56" s="913"/>
      <c r="CMM56" s="913"/>
      <c r="CMN56" s="913"/>
      <c r="CMO56" s="913"/>
      <c r="CMP56" s="913"/>
      <c r="CMQ56" s="913"/>
      <c r="CMR56" s="913"/>
      <c r="CMS56" s="913"/>
      <c r="CMT56" s="913"/>
      <c r="CMU56" s="913"/>
      <c r="CMV56" s="913"/>
      <c r="CMW56" s="913"/>
      <c r="CMX56" s="913"/>
      <c r="CMY56" s="913"/>
      <c r="CMZ56" s="913"/>
      <c r="CNA56" s="913"/>
      <c r="CNB56" s="913"/>
      <c r="CNC56" s="913"/>
      <c r="CND56" s="913"/>
      <c r="CNE56" s="913"/>
      <c r="CNF56" s="913"/>
      <c r="CNG56" s="913"/>
      <c r="CNH56" s="913"/>
      <c r="CNI56" s="913"/>
      <c r="CNJ56" s="913"/>
      <c r="CNK56" s="913"/>
      <c r="CNL56" s="913"/>
      <c r="CNM56" s="913"/>
      <c r="CNN56" s="913"/>
      <c r="CNO56" s="913"/>
      <c r="CNP56" s="913"/>
      <c r="CNQ56" s="913"/>
      <c r="CNR56" s="913"/>
      <c r="CNS56" s="913"/>
      <c r="CNT56" s="913"/>
      <c r="CNU56" s="913"/>
      <c r="CNV56" s="913"/>
      <c r="CNW56" s="913"/>
      <c r="CNX56" s="913"/>
      <c r="CNY56" s="913"/>
      <c r="CNZ56" s="913"/>
      <c r="COA56" s="913"/>
      <c r="COB56" s="913"/>
      <c r="COC56" s="913"/>
      <c r="COD56" s="913"/>
      <c r="COE56" s="913"/>
      <c r="COF56" s="913"/>
      <c r="COG56" s="913"/>
      <c r="COH56" s="913"/>
      <c r="COI56" s="913"/>
      <c r="COJ56" s="913"/>
      <c r="COK56" s="913"/>
      <c r="COL56" s="913"/>
      <c r="COM56" s="913"/>
      <c r="CON56" s="913"/>
      <c r="COO56" s="913"/>
      <c r="COP56" s="913"/>
      <c r="COQ56" s="913"/>
      <c r="COR56" s="913"/>
      <c r="COS56" s="913"/>
      <c r="COT56" s="913"/>
      <c r="COU56" s="913"/>
      <c r="COV56" s="913"/>
      <c r="COW56" s="913"/>
      <c r="COX56" s="913"/>
      <c r="COY56" s="913"/>
      <c r="COZ56" s="913"/>
      <c r="CPA56" s="913"/>
      <c r="CPB56" s="913"/>
      <c r="CPC56" s="913"/>
      <c r="CPD56" s="913"/>
      <c r="CPE56" s="913"/>
      <c r="CPF56" s="913"/>
      <c r="CPG56" s="913"/>
      <c r="CPH56" s="913"/>
      <c r="CPI56" s="913"/>
      <c r="CPJ56" s="913"/>
      <c r="CPK56" s="913"/>
      <c r="CPL56" s="913"/>
      <c r="CPM56" s="913"/>
      <c r="CPN56" s="913"/>
      <c r="CPO56" s="913"/>
      <c r="CPP56" s="913"/>
      <c r="CPQ56" s="913"/>
      <c r="CPR56" s="913"/>
      <c r="CPS56" s="913"/>
      <c r="CPT56" s="913"/>
      <c r="CPU56" s="913"/>
      <c r="CPV56" s="913"/>
      <c r="CPW56" s="913"/>
      <c r="CPX56" s="913"/>
      <c r="CPY56" s="913"/>
      <c r="CPZ56" s="913"/>
      <c r="CQA56" s="913"/>
      <c r="CQB56" s="913"/>
      <c r="CQC56" s="913"/>
      <c r="CQD56" s="913"/>
      <c r="CQE56" s="913"/>
      <c r="CQF56" s="913"/>
      <c r="CQG56" s="913"/>
      <c r="CQH56" s="913"/>
      <c r="CQI56" s="913"/>
      <c r="CQJ56" s="913"/>
      <c r="CQK56" s="913"/>
      <c r="CQL56" s="913"/>
      <c r="CQM56" s="913"/>
      <c r="CQN56" s="913"/>
      <c r="CQO56" s="913"/>
      <c r="CQP56" s="913"/>
      <c r="CQQ56" s="913"/>
      <c r="CQR56" s="913"/>
      <c r="CQS56" s="913"/>
      <c r="CQT56" s="913"/>
      <c r="CQU56" s="913"/>
      <c r="CQV56" s="913"/>
      <c r="CQW56" s="913"/>
      <c r="CQX56" s="913"/>
      <c r="CQY56" s="913"/>
      <c r="CQZ56" s="913"/>
      <c r="CRA56" s="913"/>
      <c r="CRB56" s="913"/>
      <c r="CRC56" s="913"/>
      <c r="CRD56" s="913"/>
      <c r="CRE56" s="913"/>
      <c r="CRF56" s="913"/>
      <c r="CRG56" s="913"/>
      <c r="CRH56" s="913"/>
      <c r="CRI56" s="913"/>
      <c r="CRJ56" s="913"/>
      <c r="CRK56" s="913"/>
      <c r="CRL56" s="913"/>
      <c r="CRM56" s="913"/>
      <c r="CRN56" s="913"/>
      <c r="CRO56" s="913"/>
      <c r="CRP56" s="913"/>
      <c r="CRQ56" s="913"/>
      <c r="CRR56" s="913"/>
      <c r="CRS56" s="913"/>
      <c r="CRT56" s="913"/>
      <c r="CRU56" s="913"/>
      <c r="CRV56" s="913"/>
      <c r="CRW56" s="913"/>
      <c r="CRX56" s="913"/>
      <c r="CRY56" s="913"/>
      <c r="CRZ56" s="913"/>
      <c r="CSA56" s="913"/>
      <c r="CSB56" s="913"/>
      <c r="CSC56" s="913"/>
      <c r="CSD56" s="913"/>
      <c r="CSE56" s="913"/>
      <c r="CSF56" s="913"/>
      <c r="CSG56" s="913"/>
      <c r="CSH56" s="913"/>
      <c r="CSI56" s="913"/>
      <c r="CSJ56" s="913"/>
      <c r="CSK56" s="913"/>
      <c r="CSL56" s="913"/>
      <c r="CSM56" s="913"/>
      <c r="CSN56" s="913"/>
      <c r="CSO56" s="913"/>
      <c r="CSP56" s="913"/>
      <c r="CSQ56" s="913"/>
      <c r="CSR56" s="913"/>
      <c r="CSS56" s="913"/>
      <c r="CST56" s="913"/>
      <c r="CSU56" s="913"/>
      <c r="CSV56" s="913"/>
      <c r="CSW56" s="913"/>
      <c r="CSX56" s="913"/>
      <c r="CSY56" s="913"/>
      <c r="CSZ56" s="913"/>
      <c r="CTA56" s="913"/>
      <c r="CTB56" s="913"/>
      <c r="CTC56" s="913"/>
      <c r="CTD56" s="913"/>
      <c r="CTE56" s="913"/>
      <c r="CTF56" s="913"/>
      <c r="CTG56" s="913"/>
      <c r="CTH56" s="913"/>
      <c r="CTI56" s="913"/>
      <c r="CTJ56" s="913"/>
      <c r="CTK56" s="913"/>
      <c r="CTL56" s="913"/>
      <c r="CTM56" s="913"/>
      <c r="CTN56" s="913"/>
      <c r="CTO56" s="913"/>
      <c r="CTP56" s="913"/>
      <c r="CTQ56" s="913"/>
      <c r="CTR56" s="913"/>
      <c r="CTS56" s="913"/>
      <c r="CTT56" s="913"/>
      <c r="CTU56" s="913"/>
      <c r="CTV56" s="913"/>
      <c r="CTW56" s="913"/>
      <c r="CTX56" s="913"/>
      <c r="CTY56" s="913"/>
      <c r="CTZ56" s="913"/>
      <c r="CUA56" s="913"/>
      <c r="CUB56" s="913"/>
      <c r="CUC56" s="913"/>
      <c r="CUD56" s="913"/>
      <c r="CUE56" s="913"/>
      <c r="CUF56" s="913"/>
      <c r="CUG56" s="913"/>
      <c r="CUH56" s="913"/>
      <c r="CUI56" s="913"/>
      <c r="CUJ56" s="913"/>
      <c r="CUK56" s="913"/>
      <c r="CUL56" s="913"/>
      <c r="CUM56" s="913"/>
      <c r="CUN56" s="913"/>
      <c r="CUO56" s="913"/>
      <c r="CUP56" s="913"/>
      <c r="CUQ56" s="913"/>
      <c r="CUR56" s="913"/>
      <c r="CUS56" s="913"/>
      <c r="CUT56" s="913"/>
      <c r="CUU56" s="913"/>
      <c r="CUV56" s="913"/>
      <c r="CUW56" s="913"/>
      <c r="CUX56" s="913"/>
      <c r="CUY56" s="913"/>
      <c r="CUZ56" s="913"/>
      <c r="CVA56" s="913"/>
      <c r="CVB56" s="913"/>
      <c r="CVC56" s="913"/>
      <c r="CVD56" s="913"/>
      <c r="CVE56" s="913"/>
      <c r="CVF56" s="913"/>
      <c r="CVG56" s="913"/>
      <c r="CVH56" s="913"/>
      <c r="CVI56" s="913"/>
      <c r="CVJ56" s="913"/>
      <c r="CVK56" s="913"/>
      <c r="CVL56" s="913"/>
      <c r="CVM56" s="913"/>
      <c r="CVN56" s="913"/>
      <c r="CVO56" s="913"/>
      <c r="CVP56" s="913"/>
      <c r="CVQ56" s="913"/>
      <c r="CVR56" s="913"/>
      <c r="CVS56" s="913"/>
      <c r="CVT56" s="913"/>
      <c r="CVU56" s="913"/>
      <c r="CVV56" s="913"/>
      <c r="CVW56" s="913"/>
      <c r="CVX56" s="913"/>
      <c r="CVY56" s="913"/>
      <c r="CVZ56" s="913"/>
      <c r="CWA56" s="913"/>
      <c r="CWB56" s="913"/>
      <c r="CWC56" s="913"/>
      <c r="CWD56" s="913"/>
      <c r="CWE56" s="913"/>
      <c r="CWF56" s="913"/>
      <c r="CWG56" s="913"/>
      <c r="CWH56" s="913"/>
      <c r="CWI56" s="913"/>
      <c r="CWJ56" s="913"/>
      <c r="CWK56" s="913"/>
      <c r="CWL56" s="913"/>
      <c r="CWM56" s="913"/>
      <c r="CWN56" s="913"/>
      <c r="CWO56" s="913"/>
      <c r="CWP56" s="913"/>
      <c r="CWQ56" s="913"/>
      <c r="CWR56" s="913"/>
      <c r="CWS56" s="913"/>
      <c r="CWT56" s="913"/>
      <c r="CWU56" s="913"/>
      <c r="CWV56" s="913"/>
      <c r="CWW56" s="913"/>
      <c r="CWX56" s="913"/>
      <c r="CWY56" s="913"/>
      <c r="CWZ56" s="913"/>
      <c r="CXA56" s="913"/>
      <c r="CXB56" s="913"/>
      <c r="CXC56" s="913"/>
      <c r="CXD56" s="913"/>
      <c r="CXE56" s="913"/>
      <c r="CXF56" s="913"/>
      <c r="CXG56" s="913"/>
      <c r="CXH56" s="913"/>
      <c r="CXI56" s="913"/>
      <c r="CXJ56" s="913"/>
      <c r="CXK56" s="913"/>
      <c r="CXL56" s="913"/>
      <c r="CXM56" s="913"/>
      <c r="CXN56" s="913"/>
      <c r="CXO56" s="913"/>
      <c r="CXP56" s="913"/>
      <c r="CXQ56" s="913"/>
      <c r="CXR56" s="913"/>
      <c r="CXS56" s="913"/>
      <c r="CXT56" s="913"/>
      <c r="CXU56" s="913"/>
      <c r="CXV56" s="913"/>
      <c r="CXW56" s="913"/>
      <c r="CXX56" s="913"/>
      <c r="CXY56" s="913"/>
      <c r="CXZ56" s="913"/>
      <c r="CYA56" s="913"/>
      <c r="CYB56" s="913"/>
      <c r="CYC56" s="913"/>
      <c r="CYD56" s="913"/>
      <c r="CYE56" s="913"/>
      <c r="CYF56" s="913"/>
      <c r="CYG56" s="913"/>
      <c r="CYH56" s="913"/>
      <c r="CYI56" s="913"/>
      <c r="CYJ56" s="913"/>
      <c r="CYK56" s="913"/>
      <c r="CYL56" s="913"/>
      <c r="CYM56" s="913"/>
      <c r="CYN56" s="913"/>
      <c r="CYO56" s="913"/>
      <c r="CYP56" s="913"/>
      <c r="CYQ56" s="913"/>
      <c r="CYR56" s="913"/>
      <c r="CYS56" s="913"/>
      <c r="CYT56" s="913"/>
      <c r="CYU56" s="913"/>
      <c r="CYV56" s="913"/>
      <c r="CYW56" s="913"/>
      <c r="CYX56" s="913"/>
      <c r="CYY56" s="913"/>
      <c r="CYZ56" s="913"/>
      <c r="CZA56" s="913"/>
      <c r="CZB56" s="913"/>
      <c r="CZC56" s="913"/>
      <c r="CZD56" s="913"/>
      <c r="CZE56" s="913"/>
      <c r="CZF56" s="913"/>
      <c r="CZG56" s="913"/>
      <c r="CZH56" s="913"/>
      <c r="CZI56" s="913"/>
      <c r="CZJ56" s="913"/>
      <c r="CZK56" s="913"/>
      <c r="CZL56" s="913"/>
      <c r="CZM56" s="913"/>
      <c r="CZN56" s="913"/>
      <c r="CZO56" s="913"/>
      <c r="CZP56" s="913"/>
      <c r="CZQ56" s="913"/>
      <c r="CZR56" s="913"/>
      <c r="CZS56" s="913"/>
      <c r="CZT56" s="913"/>
      <c r="CZU56" s="913"/>
      <c r="CZV56" s="913"/>
      <c r="CZW56" s="913"/>
      <c r="CZX56" s="913"/>
      <c r="CZY56" s="913"/>
      <c r="CZZ56" s="913"/>
      <c r="DAA56" s="913"/>
      <c r="DAB56" s="913"/>
      <c r="DAC56" s="913"/>
      <c r="DAD56" s="913"/>
      <c r="DAE56" s="913"/>
      <c r="DAF56" s="913"/>
      <c r="DAG56" s="913"/>
      <c r="DAH56" s="913"/>
      <c r="DAI56" s="913"/>
      <c r="DAJ56" s="913"/>
      <c r="DAK56" s="913"/>
      <c r="DAL56" s="913"/>
      <c r="DAM56" s="913"/>
      <c r="DAN56" s="913"/>
      <c r="DAO56" s="913"/>
      <c r="DAP56" s="913"/>
      <c r="DAQ56" s="913"/>
      <c r="DAR56" s="913"/>
      <c r="DAS56" s="913"/>
      <c r="DAT56" s="913"/>
      <c r="DAU56" s="913"/>
      <c r="DAV56" s="913"/>
      <c r="DAW56" s="913"/>
      <c r="DAX56" s="913"/>
      <c r="DAY56" s="913"/>
      <c r="DAZ56" s="913"/>
      <c r="DBA56" s="913"/>
      <c r="DBB56" s="913"/>
      <c r="DBC56" s="913"/>
      <c r="DBD56" s="913"/>
      <c r="DBE56" s="913"/>
      <c r="DBF56" s="913"/>
      <c r="DBG56" s="913"/>
      <c r="DBH56" s="913"/>
      <c r="DBI56" s="913"/>
      <c r="DBJ56" s="913"/>
      <c r="DBK56" s="913"/>
      <c r="DBL56" s="913"/>
      <c r="DBM56" s="913"/>
      <c r="DBN56" s="913"/>
      <c r="DBO56" s="913"/>
      <c r="DBP56" s="913"/>
      <c r="DBQ56" s="913"/>
      <c r="DBR56" s="913"/>
      <c r="DBS56" s="913"/>
      <c r="DBT56" s="913"/>
      <c r="DBU56" s="913"/>
      <c r="DBV56" s="913"/>
      <c r="DBW56" s="913"/>
      <c r="DBX56" s="913"/>
      <c r="DBY56" s="913"/>
      <c r="DBZ56" s="913"/>
      <c r="DCA56" s="913"/>
      <c r="DCB56" s="913"/>
      <c r="DCC56" s="913"/>
      <c r="DCD56" s="913"/>
      <c r="DCE56" s="913"/>
      <c r="DCF56" s="913"/>
      <c r="DCG56" s="913"/>
      <c r="DCH56" s="913"/>
      <c r="DCI56" s="913"/>
      <c r="DCJ56" s="913"/>
      <c r="DCK56" s="913"/>
      <c r="DCL56" s="913"/>
      <c r="DCM56" s="913"/>
      <c r="DCN56" s="913"/>
      <c r="DCO56" s="913"/>
      <c r="DCP56" s="913"/>
      <c r="DCQ56" s="913"/>
      <c r="DCR56" s="913"/>
      <c r="DCS56" s="913"/>
      <c r="DCT56" s="913"/>
      <c r="DCU56" s="913"/>
      <c r="DCV56" s="913"/>
      <c r="DCW56" s="913"/>
      <c r="DCX56" s="913"/>
      <c r="DCY56" s="913"/>
      <c r="DCZ56" s="913"/>
      <c r="DDA56" s="913"/>
      <c r="DDB56" s="913"/>
      <c r="DDC56" s="913"/>
      <c r="DDD56" s="913"/>
      <c r="DDE56" s="913"/>
      <c r="DDF56" s="913"/>
      <c r="DDG56" s="913"/>
      <c r="DDH56" s="913"/>
      <c r="DDI56" s="913"/>
      <c r="DDJ56" s="913"/>
      <c r="DDK56" s="913"/>
      <c r="DDL56" s="913"/>
      <c r="DDM56" s="913"/>
      <c r="DDN56" s="913"/>
      <c r="DDO56" s="913"/>
      <c r="DDP56" s="913"/>
      <c r="DDQ56" s="913"/>
      <c r="DDR56" s="913"/>
      <c r="DDS56" s="913"/>
      <c r="DDT56" s="913"/>
      <c r="DDU56" s="913"/>
      <c r="DDV56" s="913"/>
      <c r="DDW56" s="913"/>
      <c r="DDX56" s="913"/>
      <c r="DDY56" s="913"/>
      <c r="DDZ56" s="913"/>
      <c r="DEA56" s="913"/>
      <c r="DEB56" s="913"/>
      <c r="DEC56" s="913"/>
      <c r="DED56" s="913"/>
      <c r="DEE56" s="913"/>
      <c r="DEF56" s="913"/>
      <c r="DEG56" s="913"/>
      <c r="DEH56" s="913"/>
      <c r="DEI56" s="913"/>
      <c r="DEJ56" s="913"/>
      <c r="DEK56" s="913"/>
      <c r="DEL56" s="913"/>
      <c r="DEM56" s="913"/>
      <c r="DEN56" s="913"/>
      <c r="DEO56" s="913"/>
      <c r="DEP56" s="913"/>
      <c r="DEQ56" s="913"/>
      <c r="DER56" s="913"/>
      <c r="DES56" s="913"/>
      <c r="DET56" s="913"/>
      <c r="DEU56" s="913"/>
      <c r="DEV56" s="913"/>
      <c r="DEW56" s="913"/>
      <c r="DEX56" s="913"/>
      <c r="DEY56" s="913"/>
      <c r="DEZ56" s="913"/>
      <c r="DFA56" s="913"/>
      <c r="DFB56" s="913"/>
      <c r="DFC56" s="913"/>
      <c r="DFD56" s="913"/>
      <c r="DFE56" s="913"/>
      <c r="DFF56" s="913"/>
      <c r="DFG56" s="913"/>
      <c r="DFH56" s="913"/>
      <c r="DFI56" s="913"/>
      <c r="DFJ56" s="913"/>
      <c r="DFK56" s="913"/>
      <c r="DFL56" s="913"/>
      <c r="DFM56" s="913"/>
      <c r="DFN56" s="913"/>
      <c r="DFO56" s="913"/>
      <c r="DFP56" s="913"/>
      <c r="DFQ56" s="913"/>
      <c r="DFR56" s="913"/>
      <c r="DFS56" s="913"/>
      <c r="DFT56" s="913"/>
      <c r="DFU56" s="913"/>
      <c r="DFV56" s="913"/>
      <c r="DFW56" s="913"/>
      <c r="DFX56" s="913"/>
      <c r="DFY56" s="913"/>
      <c r="DFZ56" s="913"/>
      <c r="DGA56" s="913"/>
      <c r="DGB56" s="913"/>
      <c r="DGC56" s="913"/>
      <c r="DGD56" s="913"/>
      <c r="DGE56" s="913"/>
      <c r="DGF56" s="913"/>
      <c r="DGG56" s="913"/>
      <c r="DGH56" s="913"/>
      <c r="DGI56" s="913"/>
      <c r="DGJ56" s="913"/>
      <c r="DGK56" s="913"/>
      <c r="DGL56" s="913"/>
      <c r="DGM56" s="913"/>
      <c r="DGN56" s="913"/>
      <c r="DGO56" s="913"/>
      <c r="DGP56" s="913"/>
      <c r="DGQ56" s="913"/>
      <c r="DGR56" s="913"/>
      <c r="DGS56" s="913"/>
      <c r="DGT56" s="913"/>
      <c r="DGU56" s="913"/>
      <c r="DGV56" s="913"/>
      <c r="DGW56" s="913"/>
      <c r="DGX56" s="913"/>
      <c r="DGY56" s="913"/>
      <c r="DGZ56" s="913"/>
      <c r="DHA56" s="913"/>
      <c r="DHB56" s="913"/>
      <c r="DHC56" s="913"/>
      <c r="DHD56" s="913"/>
      <c r="DHE56" s="913"/>
      <c r="DHF56" s="913"/>
      <c r="DHG56" s="913"/>
      <c r="DHH56" s="913"/>
      <c r="DHI56" s="913"/>
      <c r="DHJ56" s="913"/>
      <c r="DHK56" s="913"/>
      <c r="DHL56" s="913"/>
      <c r="DHM56" s="913"/>
      <c r="DHN56" s="913"/>
      <c r="DHO56" s="913"/>
      <c r="DHP56" s="913"/>
      <c r="DHQ56" s="913"/>
      <c r="DHR56" s="913"/>
      <c r="DHS56" s="913"/>
      <c r="DHT56" s="913"/>
      <c r="DHU56" s="913"/>
      <c r="DHV56" s="913"/>
      <c r="DHW56" s="913"/>
      <c r="DHX56" s="913"/>
      <c r="DHY56" s="913"/>
      <c r="DHZ56" s="913"/>
      <c r="DIA56" s="913"/>
      <c r="DIB56" s="913"/>
      <c r="DIC56" s="913"/>
      <c r="DID56" s="913"/>
      <c r="DIE56" s="913"/>
      <c r="DIF56" s="913"/>
      <c r="DIG56" s="913"/>
      <c r="DIH56" s="913"/>
      <c r="DII56" s="913"/>
      <c r="DIJ56" s="913"/>
      <c r="DIK56" s="913"/>
      <c r="DIL56" s="913"/>
      <c r="DIM56" s="913"/>
      <c r="DIN56" s="913"/>
      <c r="DIO56" s="913"/>
      <c r="DIP56" s="913"/>
      <c r="DIQ56" s="913"/>
      <c r="DIR56" s="913"/>
      <c r="DIS56" s="913"/>
      <c r="DIT56" s="913"/>
      <c r="DIU56" s="913"/>
      <c r="DIV56" s="913"/>
      <c r="DIW56" s="913"/>
      <c r="DIX56" s="913"/>
      <c r="DIY56" s="913"/>
      <c r="DIZ56" s="913"/>
      <c r="DJA56" s="913"/>
      <c r="DJB56" s="913"/>
      <c r="DJC56" s="913"/>
      <c r="DJD56" s="913"/>
      <c r="DJE56" s="913"/>
      <c r="DJF56" s="913"/>
      <c r="DJG56" s="913"/>
      <c r="DJH56" s="913"/>
      <c r="DJI56" s="913"/>
      <c r="DJJ56" s="913"/>
      <c r="DJK56" s="913"/>
      <c r="DJL56" s="913"/>
      <c r="DJM56" s="913"/>
      <c r="DJN56" s="913"/>
      <c r="DJO56" s="913"/>
      <c r="DJP56" s="913"/>
      <c r="DJQ56" s="913"/>
      <c r="DJR56" s="913"/>
      <c r="DJS56" s="913"/>
      <c r="DJT56" s="913"/>
      <c r="DJU56" s="913"/>
      <c r="DJV56" s="913"/>
      <c r="DJW56" s="913"/>
      <c r="DJX56" s="913"/>
      <c r="DJY56" s="913"/>
      <c r="DJZ56" s="913"/>
      <c r="DKA56" s="913"/>
      <c r="DKB56" s="913"/>
      <c r="DKC56" s="913"/>
      <c r="DKD56" s="913"/>
      <c r="DKE56" s="913"/>
      <c r="DKF56" s="913"/>
      <c r="DKG56" s="913"/>
      <c r="DKH56" s="913"/>
      <c r="DKI56" s="913"/>
      <c r="DKJ56" s="913"/>
      <c r="DKK56" s="913"/>
      <c r="DKL56" s="913"/>
      <c r="DKM56" s="913"/>
      <c r="DKN56" s="913"/>
      <c r="DKO56" s="913"/>
      <c r="DKP56" s="913"/>
      <c r="DKQ56" s="913"/>
      <c r="DKR56" s="913"/>
      <c r="DKS56" s="913"/>
      <c r="DKT56" s="913"/>
      <c r="DKU56" s="913"/>
      <c r="DKV56" s="913"/>
      <c r="DKW56" s="913"/>
      <c r="DKX56" s="913"/>
      <c r="DKY56" s="913"/>
      <c r="DKZ56" s="913"/>
      <c r="DLA56" s="913"/>
      <c r="DLB56" s="913"/>
      <c r="DLC56" s="913"/>
      <c r="DLD56" s="913"/>
      <c r="DLE56" s="913"/>
      <c r="DLF56" s="913"/>
      <c r="DLG56" s="913"/>
      <c r="DLH56" s="913"/>
      <c r="DLI56" s="913"/>
      <c r="DLJ56" s="913"/>
      <c r="DLK56" s="913"/>
      <c r="DLL56" s="913"/>
      <c r="DLM56" s="913"/>
      <c r="DLN56" s="913"/>
      <c r="DLO56" s="913"/>
      <c r="DLP56" s="913"/>
      <c r="DLQ56" s="913"/>
      <c r="DLR56" s="913"/>
      <c r="DLS56" s="913"/>
      <c r="DLT56" s="913"/>
      <c r="DLU56" s="913"/>
      <c r="DLV56" s="913"/>
      <c r="DLW56" s="913"/>
      <c r="DLX56" s="913"/>
      <c r="DLY56" s="913"/>
      <c r="DLZ56" s="913"/>
      <c r="DMA56" s="913"/>
      <c r="DMB56" s="913"/>
      <c r="DMC56" s="913"/>
      <c r="DMD56" s="913"/>
      <c r="DME56" s="913"/>
      <c r="DMF56" s="913"/>
      <c r="DMG56" s="913"/>
      <c r="DMH56" s="913"/>
      <c r="DMI56" s="913"/>
      <c r="DMJ56" s="913"/>
      <c r="DMK56" s="913"/>
      <c r="DML56" s="913"/>
      <c r="DMM56" s="913"/>
      <c r="DMN56" s="913"/>
      <c r="DMO56" s="913"/>
      <c r="DMP56" s="913"/>
      <c r="DMQ56" s="913"/>
      <c r="DMR56" s="913"/>
      <c r="DMS56" s="913"/>
      <c r="DMT56" s="913"/>
      <c r="DMU56" s="913"/>
      <c r="DMV56" s="913"/>
      <c r="DMW56" s="913"/>
      <c r="DMX56" s="913"/>
      <c r="DMY56" s="913"/>
      <c r="DMZ56" s="913"/>
      <c r="DNA56" s="913"/>
      <c r="DNB56" s="913"/>
      <c r="DNC56" s="913"/>
      <c r="DND56" s="913"/>
      <c r="DNE56" s="913"/>
      <c r="DNF56" s="913"/>
      <c r="DNG56" s="913"/>
      <c r="DNH56" s="913"/>
      <c r="DNI56" s="913"/>
      <c r="DNJ56" s="913"/>
      <c r="DNK56" s="913"/>
      <c r="DNL56" s="913"/>
      <c r="DNM56" s="913"/>
      <c r="DNN56" s="913"/>
      <c r="DNO56" s="913"/>
      <c r="DNP56" s="913"/>
      <c r="DNQ56" s="913"/>
      <c r="DNR56" s="913"/>
      <c r="DNS56" s="913"/>
      <c r="DNT56" s="913"/>
      <c r="DNU56" s="913"/>
      <c r="DNV56" s="913"/>
      <c r="DNW56" s="913"/>
      <c r="DNX56" s="913"/>
      <c r="DNY56" s="913"/>
      <c r="DNZ56" s="913"/>
      <c r="DOA56" s="913"/>
      <c r="DOB56" s="913"/>
      <c r="DOC56" s="913"/>
      <c r="DOD56" s="913"/>
      <c r="DOE56" s="913"/>
      <c r="DOF56" s="913"/>
      <c r="DOG56" s="913"/>
      <c r="DOH56" s="913"/>
      <c r="DOI56" s="913"/>
      <c r="DOJ56" s="913"/>
      <c r="DOK56" s="913"/>
      <c r="DOL56" s="913"/>
      <c r="DOM56" s="913"/>
      <c r="DON56" s="913"/>
      <c r="DOO56" s="913"/>
      <c r="DOP56" s="913"/>
      <c r="DOQ56" s="913"/>
      <c r="DOR56" s="913"/>
      <c r="DOS56" s="913"/>
      <c r="DOT56" s="913"/>
      <c r="DOU56" s="913"/>
      <c r="DOV56" s="913"/>
      <c r="DOW56" s="913"/>
      <c r="DOX56" s="913"/>
      <c r="DOY56" s="913"/>
      <c r="DOZ56" s="913"/>
      <c r="DPA56" s="913"/>
      <c r="DPB56" s="913"/>
      <c r="DPC56" s="913"/>
      <c r="DPD56" s="913"/>
      <c r="DPE56" s="913"/>
      <c r="DPF56" s="913"/>
      <c r="DPG56" s="913"/>
      <c r="DPH56" s="913"/>
      <c r="DPI56" s="913"/>
      <c r="DPJ56" s="913"/>
      <c r="DPK56" s="913"/>
      <c r="DPL56" s="913"/>
      <c r="DPM56" s="913"/>
      <c r="DPN56" s="913"/>
      <c r="DPO56" s="913"/>
      <c r="DPP56" s="913"/>
      <c r="DPQ56" s="913"/>
      <c r="DPR56" s="913"/>
      <c r="DPS56" s="913"/>
      <c r="DPT56" s="913"/>
      <c r="DPU56" s="913"/>
      <c r="DPV56" s="913"/>
      <c r="DPW56" s="913"/>
      <c r="DPX56" s="913"/>
      <c r="DPY56" s="913"/>
      <c r="DPZ56" s="913"/>
      <c r="DQA56" s="913"/>
      <c r="DQB56" s="913"/>
      <c r="DQC56" s="913"/>
      <c r="DQD56" s="913"/>
      <c r="DQE56" s="913"/>
      <c r="DQF56" s="913"/>
      <c r="DQG56" s="913"/>
      <c r="DQH56" s="913"/>
      <c r="DQI56" s="913"/>
      <c r="DQJ56" s="913"/>
      <c r="DQK56" s="913"/>
      <c r="DQL56" s="913"/>
      <c r="DQM56" s="913"/>
      <c r="DQN56" s="913"/>
      <c r="DQO56" s="913"/>
      <c r="DQP56" s="913"/>
      <c r="DQQ56" s="913"/>
      <c r="DQR56" s="913"/>
      <c r="DQS56" s="913"/>
      <c r="DQT56" s="913"/>
      <c r="DQU56" s="913"/>
      <c r="DQV56" s="913"/>
      <c r="DQW56" s="913"/>
      <c r="DQX56" s="913"/>
      <c r="DQY56" s="913"/>
      <c r="DQZ56" s="913"/>
      <c r="DRA56" s="913"/>
      <c r="DRB56" s="913"/>
      <c r="DRC56" s="913"/>
      <c r="DRD56" s="913"/>
      <c r="DRE56" s="913"/>
      <c r="DRF56" s="913"/>
      <c r="DRG56" s="913"/>
      <c r="DRH56" s="913"/>
      <c r="DRI56" s="913"/>
      <c r="DRJ56" s="913"/>
      <c r="DRK56" s="913"/>
      <c r="DRL56" s="913"/>
      <c r="DRM56" s="913"/>
      <c r="DRN56" s="913"/>
      <c r="DRO56" s="913"/>
      <c r="DRP56" s="913"/>
      <c r="DRQ56" s="913"/>
      <c r="DRR56" s="913"/>
      <c r="DRS56" s="913"/>
      <c r="DRT56" s="913"/>
      <c r="DRU56" s="913"/>
      <c r="DRV56" s="913"/>
      <c r="DRW56" s="913"/>
      <c r="DRX56" s="913"/>
      <c r="DRY56" s="913"/>
      <c r="DRZ56" s="913"/>
      <c r="DSA56" s="913"/>
      <c r="DSB56" s="913"/>
      <c r="DSC56" s="913"/>
      <c r="DSD56" s="913"/>
      <c r="DSE56" s="913"/>
      <c r="DSF56" s="913"/>
      <c r="DSG56" s="913"/>
      <c r="DSH56" s="913"/>
      <c r="DSI56" s="913"/>
      <c r="DSJ56" s="913"/>
      <c r="DSK56" s="913"/>
      <c r="DSL56" s="913"/>
      <c r="DSM56" s="913"/>
      <c r="DSN56" s="913"/>
      <c r="DSO56" s="913"/>
      <c r="DSP56" s="913"/>
      <c r="DSQ56" s="913"/>
      <c r="DSR56" s="913"/>
      <c r="DSS56" s="913"/>
      <c r="DST56" s="913"/>
      <c r="DSU56" s="913"/>
      <c r="DSV56" s="913"/>
      <c r="DSW56" s="913"/>
      <c r="DSX56" s="913"/>
      <c r="DSY56" s="913"/>
      <c r="DSZ56" s="913"/>
      <c r="DTA56" s="913"/>
      <c r="DTB56" s="913"/>
      <c r="DTC56" s="913"/>
      <c r="DTD56" s="913"/>
      <c r="DTE56" s="913"/>
      <c r="DTF56" s="913"/>
      <c r="DTG56" s="913"/>
      <c r="DTH56" s="913"/>
      <c r="DTI56" s="913"/>
      <c r="DTJ56" s="913"/>
      <c r="DTK56" s="913"/>
      <c r="DTL56" s="913"/>
      <c r="DTM56" s="913"/>
      <c r="DTN56" s="913"/>
      <c r="DTO56" s="913"/>
      <c r="DTP56" s="913"/>
      <c r="DTQ56" s="913"/>
      <c r="DTR56" s="913"/>
      <c r="DTS56" s="913"/>
      <c r="DTT56" s="913"/>
      <c r="DTU56" s="913"/>
      <c r="DTV56" s="913"/>
      <c r="DTW56" s="913"/>
      <c r="DTX56" s="913"/>
      <c r="DTY56" s="913"/>
      <c r="DTZ56" s="913"/>
      <c r="DUA56" s="913"/>
      <c r="DUB56" s="913"/>
      <c r="DUC56" s="913"/>
      <c r="DUD56" s="913"/>
      <c r="DUE56" s="913"/>
      <c r="DUF56" s="913"/>
      <c r="DUG56" s="913"/>
      <c r="DUH56" s="913"/>
      <c r="DUI56" s="913"/>
      <c r="DUJ56" s="913"/>
      <c r="DUK56" s="913"/>
      <c r="DUL56" s="913"/>
      <c r="DUM56" s="913"/>
      <c r="DUN56" s="913"/>
      <c r="DUO56" s="913"/>
      <c r="DUP56" s="913"/>
      <c r="DUQ56" s="913"/>
      <c r="DUR56" s="913"/>
      <c r="DUS56" s="913"/>
      <c r="DUT56" s="913"/>
      <c r="DUU56" s="913"/>
      <c r="DUV56" s="913"/>
      <c r="DUW56" s="913"/>
      <c r="DUX56" s="913"/>
      <c r="DUY56" s="913"/>
      <c r="DUZ56" s="913"/>
      <c r="DVA56" s="913"/>
      <c r="DVB56" s="913"/>
      <c r="DVC56" s="913"/>
      <c r="DVD56" s="913"/>
      <c r="DVE56" s="913"/>
      <c r="DVF56" s="913"/>
      <c r="DVG56" s="913"/>
      <c r="DVH56" s="913"/>
      <c r="DVI56" s="913"/>
      <c r="DVJ56" s="913"/>
      <c r="DVK56" s="913"/>
      <c r="DVL56" s="913"/>
      <c r="DVM56" s="913"/>
      <c r="DVN56" s="913"/>
      <c r="DVO56" s="913"/>
      <c r="DVP56" s="913"/>
      <c r="DVQ56" s="913"/>
      <c r="DVR56" s="913"/>
      <c r="DVS56" s="913"/>
      <c r="DVT56" s="913"/>
      <c r="DVU56" s="913"/>
      <c r="DVV56" s="913"/>
      <c r="DVW56" s="913"/>
      <c r="DVX56" s="913"/>
      <c r="DVY56" s="913"/>
      <c r="DVZ56" s="913"/>
      <c r="DWA56" s="913"/>
      <c r="DWB56" s="913"/>
      <c r="DWC56" s="913"/>
      <c r="DWD56" s="913"/>
      <c r="DWE56" s="913"/>
      <c r="DWF56" s="913"/>
      <c r="DWG56" s="913"/>
      <c r="DWH56" s="913"/>
      <c r="DWI56" s="913"/>
      <c r="DWJ56" s="913"/>
      <c r="DWK56" s="913"/>
      <c r="DWL56" s="913"/>
      <c r="DWM56" s="913"/>
      <c r="DWN56" s="913"/>
      <c r="DWO56" s="913"/>
      <c r="DWP56" s="913"/>
      <c r="DWQ56" s="913"/>
      <c r="DWR56" s="913"/>
      <c r="DWS56" s="913"/>
      <c r="DWT56" s="913"/>
      <c r="DWU56" s="913"/>
      <c r="DWV56" s="913"/>
      <c r="DWW56" s="913"/>
      <c r="DWX56" s="913"/>
      <c r="DWY56" s="913"/>
      <c r="DWZ56" s="913"/>
      <c r="DXA56" s="913"/>
      <c r="DXB56" s="913"/>
      <c r="DXC56" s="913"/>
      <c r="DXD56" s="913"/>
      <c r="DXE56" s="913"/>
      <c r="DXF56" s="913"/>
      <c r="DXG56" s="913"/>
      <c r="DXH56" s="913"/>
      <c r="DXI56" s="913"/>
      <c r="DXJ56" s="913"/>
      <c r="DXK56" s="913"/>
      <c r="DXL56" s="913"/>
      <c r="DXM56" s="913"/>
      <c r="DXN56" s="913"/>
      <c r="DXO56" s="913"/>
      <c r="DXP56" s="913"/>
      <c r="DXQ56" s="913"/>
      <c r="DXR56" s="913"/>
      <c r="DXS56" s="913"/>
      <c r="DXT56" s="913"/>
      <c r="DXU56" s="913"/>
      <c r="DXV56" s="913"/>
      <c r="DXW56" s="913"/>
      <c r="DXX56" s="913"/>
      <c r="DXY56" s="913"/>
      <c r="DXZ56" s="913"/>
      <c r="DYA56" s="913"/>
      <c r="DYB56" s="913"/>
      <c r="DYC56" s="913"/>
      <c r="DYD56" s="913"/>
      <c r="DYE56" s="913"/>
      <c r="DYF56" s="913"/>
      <c r="DYG56" s="913"/>
      <c r="DYH56" s="913"/>
      <c r="DYI56" s="913"/>
      <c r="DYJ56" s="913"/>
      <c r="DYK56" s="913"/>
      <c r="DYL56" s="913"/>
      <c r="DYM56" s="913"/>
      <c r="DYN56" s="913"/>
      <c r="DYO56" s="913"/>
      <c r="DYP56" s="913"/>
      <c r="DYQ56" s="913"/>
      <c r="DYR56" s="913"/>
      <c r="DYS56" s="913"/>
      <c r="DYT56" s="913"/>
      <c r="DYU56" s="913"/>
      <c r="DYV56" s="913"/>
      <c r="DYW56" s="913"/>
      <c r="DYX56" s="913"/>
      <c r="DYY56" s="913"/>
      <c r="DYZ56" s="913"/>
      <c r="DZA56" s="913"/>
      <c r="DZB56" s="913"/>
      <c r="DZC56" s="913"/>
      <c r="DZD56" s="913"/>
      <c r="DZE56" s="913"/>
      <c r="DZF56" s="913"/>
      <c r="DZG56" s="913"/>
      <c r="DZH56" s="913"/>
      <c r="DZI56" s="913"/>
      <c r="DZJ56" s="913"/>
      <c r="DZK56" s="913"/>
      <c r="DZL56" s="913"/>
      <c r="DZM56" s="913"/>
      <c r="DZN56" s="913"/>
      <c r="DZO56" s="913"/>
      <c r="DZP56" s="913"/>
      <c r="DZQ56" s="913"/>
      <c r="DZR56" s="913"/>
      <c r="DZS56" s="913"/>
      <c r="DZT56" s="913"/>
      <c r="DZU56" s="913"/>
      <c r="DZV56" s="913"/>
      <c r="DZW56" s="913"/>
      <c r="DZX56" s="913"/>
      <c r="DZY56" s="913"/>
      <c r="DZZ56" s="913"/>
      <c r="EAA56" s="913"/>
      <c r="EAB56" s="913"/>
      <c r="EAC56" s="913"/>
      <c r="EAD56" s="913"/>
      <c r="EAE56" s="913"/>
      <c r="EAF56" s="913"/>
      <c r="EAG56" s="913"/>
      <c r="EAH56" s="913"/>
      <c r="EAI56" s="913"/>
      <c r="EAJ56" s="913"/>
      <c r="EAK56" s="913"/>
      <c r="EAL56" s="913"/>
      <c r="EAM56" s="913"/>
      <c r="EAN56" s="913"/>
      <c r="EAO56" s="913"/>
      <c r="EAP56" s="913"/>
      <c r="EAQ56" s="913"/>
      <c r="EAR56" s="913"/>
      <c r="EAS56" s="913"/>
      <c r="EAT56" s="913"/>
      <c r="EAU56" s="913"/>
      <c r="EAV56" s="913"/>
      <c r="EAW56" s="913"/>
      <c r="EAX56" s="913"/>
      <c r="EAY56" s="913"/>
      <c r="EAZ56" s="913"/>
      <c r="EBA56" s="913"/>
      <c r="EBB56" s="913"/>
      <c r="EBC56" s="913"/>
      <c r="EBD56" s="913"/>
      <c r="EBE56" s="913"/>
      <c r="EBF56" s="913"/>
      <c r="EBG56" s="913"/>
      <c r="EBH56" s="913"/>
      <c r="EBI56" s="913"/>
      <c r="EBJ56" s="913"/>
      <c r="EBK56" s="913"/>
      <c r="EBL56" s="913"/>
      <c r="EBM56" s="913"/>
      <c r="EBN56" s="913"/>
      <c r="EBO56" s="913"/>
      <c r="EBP56" s="913"/>
      <c r="EBQ56" s="913"/>
      <c r="EBR56" s="913"/>
      <c r="EBS56" s="913"/>
      <c r="EBT56" s="913"/>
      <c r="EBU56" s="913"/>
      <c r="EBV56" s="913"/>
      <c r="EBW56" s="913"/>
      <c r="EBX56" s="913"/>
      <c r="EBY56" s="913"/>
      <c r="EBZ56" s="913"/>
      <c r="ECA56" s="913"/>
      <c r="ECB56" s="913"/>
      <c r="ECC56" s="913"/>
      <c r="ECD56" s="913"/>
      <c r="ECE56" s="913"/>
      <c r="ECF56" s="913"/>
      <c r="ECG56" s="913"/>
      <c r="ECH56" s="913"/>
      <c r="ECI56" s="913"/>
      <c r="ECJ56" s="913"/>
      <c r="ECK56" s="913"/>
      <c r="ECL56" s="913"/>
      <c r="ECM56" s="913"/>
      <c r="ECN56" s="913"/>
      <c r="ECO56" s="913"/>
      <c r="ECP56" s="913"/>
      <c r="ECQ56" s="913"/>
      <c r="ECR56" s="913"/>
      <c r="ECS56" s="913"/>
      <c r="ECT56" s="913"/>
      <c r="ECU56" s="913"/>
      <c r="ECV56" s="913"/>
      <c r="ECW56" s="913"/>
      <c r="ECX56" s="913"/>
      <c r="ECY56" s="913"/>
      <c r="ECZ56" s="913"/>
      <c r="EDA56" s="913"/>
      <c r="EDB56" s="913"/>
      <c r="EDC56" s="913"/>
      <c r="EDD56" s="913"/>
      <c r="EDE56" s="913"/>
      <c r="EDF56" s="913"/>
      <c r="EDG56" s="913"/>
      <c r="EDH56" s="913"/>
      <c r="EDI56" s="913"/>
      <c r="EDJ56" s="913"/>
      <c r="EDK56" s="913"/>
      <c r="EDL56" s="913"/>
      <c r="EDM56" s="913"/>
      <c r="EDN56" s="913"/>
      <c r="EDO56" s="913"/>
      <c r="EDP56" s="913"/>
      <c r="EDQ56" s="913"/>
      <c r="EDR56" s="913"/>
      <c r="EDS56" s="913"/>
      <c r="EDT56" s="913"/>
      <c r="EDU56" s="913"/>
      <c r="EDV56" s="913"/>
      <c r="EDW56" s="913"/>
      <c r="EDX56" s="913"/>
      <c r="EDY56" s="913"/>
      <c r="EDZ56" s="913"/>
      <c r="EEA56" s="913"/>
      <c r="EEB56" s="913"/>
      <c r="EEC56" s="913"/>
      <c r="EED56" s="913"/>
      <c r="EEE56" s="913"/>
      <c r="EEF56" s="913"/>
      <c r="EEG56" s="913"/>
      <c r="EEH56" s="913"/>
      <c r="EEI56" s="913"/>
      <c r="EEJ56" s="913"/>
      <c r="EEK56" s="913"/>
      <c r="EEL56" s="913"/>
      <c r="EEM56" s="913"/>
      <c r="EEN56" s="913"/>
      <c r="EEO56" s="913"/>
      <c r="EEP56" s="913"/>
      <c r="EEQ56" s="913"/>
      <c r="EER56" s="913"/>
      <c r="EES56" s="913"/>
      <c r="EET56" s="913"/>
      <c r="EEU56" s="913"/>
      <c r="EEV56" s="913"/>
      <c r="EEW56" s="913"/>
      <c r="EEX56" s="913"/>
      <c r="EEY56" s="913"/>
      <c r="EEZ56" s="913"/>
      <c r="EFA56" s="913"/>
      <c r="EFB56" s="913"/>
      <c r="EFC56" s="913"/>
      <c r="EFD56" s="913"/>
      <c r="EFE56" s="913"/>
      <c r="EFF56" s="913"/>
      <c r="EFG56" s="913"/>
      <c r="EFH56" s="913"/>
      <c r="EFI56" s="913"/>
      <c r="EFJ56" s="913"/>
      <c r="EFK56" s="913"/>
      <c r="EFL56" s="913"/>
      <c r="EFM56" s="913"/>
      <c r="EFN56" s="913"/>
      <c r="EFO56" s="913"/>
      <c r="EFP56" s="913"/>
      <c r="EFQ56" s="913"/>
      <c r="EFR56" s="913"/>
      <c r="EFS56" s="913"/>
      <c r="EFT56" s="913"/>
      <c r="EFU56" s="913"/>
      <c r="EFV56" s="913"/>
      <c r="EFW56" s="913"/>
      <c r="EFX56" s="913"/>
      <c r="EFY56" s="913"/>
      <c r="EFZ56" s="913"/>
      <c r="EGA56" s="913"/>
      <c r="EGB56" s="913"/>
      <c r="EGC56" s="913"/>
      <c r="EGD56" s="913"/>
      <c r="EGE56" s="913"/>
      <c r="EGF56" s="913"/>
      <c r="EGG56" s="913"/>
      <c r="EGH56" s="913"/>
      <c r="EGI56" s="913"/>
      <c r="EGJ56" s="913"/>
      <c r="EGK56" s="913"/>
      <c r="EGL56" s="913"/>
      <c r="EGM56" s="913"/>
      <c r="EGN56" s="913"/>
      <c r="EGO56" s="913"/>
      <c r="EGP56" s="913"/>
      <c r="EGQ56" s="913"/>
      <c r="EGR56" s="913"/>
      <c r="EGS56" s="913"/>
      <c r="EGT56" s="913"/>
      <c r="EGU56" s="913"/>
      <c r="EGV56" s="913"/>
      <c r="EGW56" s="913"/>
      <c r="EGX56" s="913"/>
      <c r="EGY56" s="913"/>
      <c r="EGZ56" s="913"/>
      <c r="EHA56" s="913"/>
      <c r="EHB56" s="913"/>
      <c r="EHC56" s="913"/>
      <c r="EHD56" s="913"/>
      <c r="EHE56" s="913"/>
      <c r="EHF56" s="913"/>
      <c r="EHG56" s="913"/>
      <c r="EHH56" s="913"/>
      <c r="EHI56" s="913"/>
      <c r="EHJ56" s="913"/>
      <c r="EHK56" s="913"/>
      <c r="EHL56" s="913"/>
      <c r="EHM56" s="913"/>
      <c r="EHN56" s="913"/>
      <c r="EHO56" s="913"/>
      <c r="EHP56" s="913"/>
      <c r="EHQ56" s="913"/>
      <c r="EHR56" s="913"/>
      <c r="EHS56" s="913"/>
      <c r="EHT56" s="913"/>
      <c r="EHU56" s="913"/>
      <c r="EHV56" s="913"/>
      <c r="EHW56" s="913"/>
      <c r="EHX56" s="913"/>
      <c r="EHY56" s="913"/>
      <c r="EHZ56" s="913"/>
      <c r="EIA56" s="913"/>
      <c r="EIB56" s="913"/>
      <c r="EIC56" s="913"/>
      <c r="EID56" s="913"/>
      <c r="EIE56" s="913"/>
      <c r="EIF56" s="913"/>
      <c r="EIG56" s="913"/>
      <c r="EIH56" s="913"/>
      <c r="EII56" s="913"/>
      <c r="EIJ56" s="913"/>
      <c r="EIK56" s="913"/>
      <c r="EIL56" s="913"/>
      <c r="EIM56" s="913"/>
      <c r="EIN56" s="913"/>
      <c r="EIO56" s="913"/>
      <c r="EIP56" s="913"/>
      <c r="EIQ56" s="913"/>
      <c r="EIR56" s="913"/>
      <c r="EIS56" s="913"/>
      <c r="EIT56" s="913"/>
      <c r="EIU56" s="913"/>
      <c r="EIV56" s="913"/>
      <c r="EIW56" s="913"/>
      <c r="EIX56" s="913"/>
      <c r="EIY56" s="913"/>
      <c r="EIZ56" s="913"/>
      <c r="EJA56" s="913"/>
      <c r="EJB56" s="913"/>
      <c r="EJC56" s="913"/>
      <c r="EJD56" s="913"/>
      <c r="EJE56" s="913"/>
      <c r="EJF56" s="913"/>
      <c r="EJG56" s="913"/>
      <c r="EJH56" s="913"/>
      <c r="EJI56" s="913"/>
      <c r="EJJ56" s="913"/>
      <c r="EJK56" s="913"/>
      <c r="EJL56" s="913"/>
      <c r="EJM56" s="913"/>
      <c r="EJN56" s="913"/>
      <c r="EJO56" s="913"/>
      <c r="EJP56" s="913"/>
      <c r="EJQ56" s="913"/>
      <c r="EJR56" s="913"/>
      <c r="EJS56" s="913"/>
      <c r="EJT56" s="913"/>
      <c r="EJU56" s="913"/>
      <c r="EJV56" s="913"/>
      <c r="EJW56" s="913"/>
      <c r="EJX56" s="913"/>
      <c r="EJY56" s="913"/>
      <c r="EJZ56" s="913"/>
      <c r="EKA56" s="913"/>
      <c r="EKB56" s="913"/>
      <c r="EKC56" s="913"/>
      <c r="EKD56" s="913"/>
      <c r="EKE56" s="913"/>
      <c r="EKF56" s="913"/>
      <c r="EKG56" s="913"/>
      <c r="EKH56" s="913"/>
      <c r="EKI56" s="913"/>
      <c r="EKJ56" s="913"/>
      <c r="EKK56" s="913"/>
      <c r="EKL56" s="913"/>
      <c r="EKM56" s="913"/>
      <c r="EKN56" s="913"/>
      <c r="EKO56" s="913"/>
      <c r="EKP56" s="913"/>
      <c r="EKQ56" s="913"/>
      <c r="EKR56" s="913"/>
      <c r="EKS56" s="913"/>
      <c r="EKT56" s="913"/>
      <c r="EKU56" s="913"/>
      <c r="EKV56" s="913"/>
      <c r="EKW56" s="913"/>
      <c r="EKX56" s="913"/>
      <c r="EKY56" s="913"/>
      <c r="EKZ56" s="913"/>
      <c r="ELA56" s="913"/>
      <c r="ELB56" s="913"/>
      <c r="ELC56" s="913"/>
      <c r="ELD56" s="913"/>
      <c r="ELE56" s="913"/>
      <c r="ELF56" s="913"/>
      <c r="ELG56" s="913"/>
      <c r="ELH56" s="913"/>
      <c r="ELI56" s="913"/>
      <c r="ELJ56" s="913"/>
      <c r="ELK56" s="913"/>
      <c r="ELL56" s="913"/>
      <c r="ELM56" s="913"/>
      <c r="ELN56" s="913"/>
      <c r="ELO56" s="913"/>
      <c r="ELP56" s="913"/>
      <c r="ELQ56" s="913"/>
      <c r="ELR56" s="913"/>
      <c r="ELS56" s="913"/>
      <c r="ELT56" s="913"/>
      <c r="ELU56" s="913"/>
      <c r="ELV56" s="913"/>
      <c r="ELW56" s="913"/>
      <c r="ELX56" s="913"/>
      <c r="ELY56" s="913"/>
      <c r="ELZ56" s="913"/>
      <c r="EMA56" s="913"/>
      <c r="EMB56" s="913"/>
      <c r="EMC56" s="913"/>
      <c r="EMD56" s="913"/>
      <c r="EME56" s="913"/>
      <c r="EMF56" s="913"/>
      <c r="EMG56" s="913"/>
      <c r="EMH56" s="913"/>
      <c r="EMI56" s="913"/>
      <c r="EMJ56" s="913"/>
      <c r="EMK56" s="913"/>
      <c r="EML56" s="913"/>
      <c r="EMM56" s="913"/>
      <c r="EMN56" s="913"/>
      <c r="EMO56" s="913"/>
      <c r="EMP56" s="913"/>
      <c r="EMQ56" s="913"/>
      <c r="EMR56" s="913"/>
      <c r="EMS56" s="913"/>
      <c r="EMT56" s="913"/>
      <c r="EMU56" s="913"/>
      <c r="EMV56" s="913"/>
      <c r="EMW56" s="913"/>
      <c r="EMX56" s="913"/>
      <c r="EMY56" s="913"/>
      <c r="EMZ56" s="913"/>
      <c r="ENA56" s="913"/>
      <c r="ENB56" s="913"/>
      <c r="ENC56" s="913"/>
      <c r="END56" s="913"/>
      <c r="ENE56" s="913"/>
      <c r="ENF56" s="913"/>
      <c r="ENG56" s="913"/>
      <c r="ENH56" s="913"/>
      <c r="ENI56" s="913"/>
      <c r="ENJ56" s="913"/>
      <c r="ENK56" s="913"/>
      <c r="ENL56" s="913"/>
      <c r="ENM56" s="913"/>
      <c r="ENN56" s="913"/>
      <c r="ENO56" s="913"/>
      <c r="ENP56" s="913"/>
      <c r="ENQ56" s="913"/>
      <c r="ENR56" s="913"/>
      <c r="ENS56" s="913"/>
      <c r="ENT56" s="913"/>
      <c r="ENU56" s="913"/>
      <c r="ENV56" s="913"/>
      <c r="ENW56" s="913"/>
      <c r="ENX56" s="913"/>
      <c r="ENY56" s="913"/>
      <c r="ENZ56" s="913"/>
      <c r="EOA56" s="913"/>
      <c r="EOB56" s="913"/>
      <c r="EOC56" s="913"/>
      <c r="EOD56" s="913"/>
      <c r="EOE56" s="913"/>
      <c r="EOF56" s="913"/>
      <c r="EOG56" s="913"/>
      <c r="EOH56" s="913"/>
      <c r="EOI56" s="913"/>
      <c r="EOJ56" s="913"/>
      <c r="EOK56" s="913"/>
      <c r="EOL56" s="913"/>
      <c r="EOM56" s="913"/>
      <c r="EON56" s="913"/>
      <c r="EOO56" s="913"/>
      <c r="EOP56" s="913"/>
      <c r="EOQ56" s="913"/>
      <c r="EOR56" s="913"/>
      <c r="EOS56" s="913"/>
      <c r="EOT56" s="913"/>
      <c r="EOU56" s="913"/>
      <c r="EOV56" s="913"/>
      <c r="EOW56" s="913"/>
      <c r="EOX56" s="913"/>
      <c r="EOY56" s="913"/>
      <c r="EOZ56" s="913"/>
      <c r="EPA56" s="913"/>
      <c r="EPB56" s="913"/>
      <c r="EPC56" s="913"/>
      <c r="EPD56" s="913"/>
      <c r="EPE56" s="913"/>
      <c r="EPF56" s="913"/>
      <c r="EPG56" s="913"/>
      <c r="EPH56" s="913"/>
      <c r="EPI56" s="913"/>
      <c r="EPJ56" s="913"/>
      <c r="EPK56" s="913"/>
      <c r="EPL56" s="913"/>
      <c r="EPM56" s="913"/>
      <c r="EPN56" s="913"/>
      <c r="EPO56" s="913"/>
      <c r="EPP56" s="913"/>
      <c r="EPQ56" s="913"/>
      <c r="EPR56" s="913"/>
      <c r="EPS56" s="913"/>
      <c r="EPT56" s="913"/>
      <c r="EPU56" s="913"/>
      <c r="EPV56" s="913"/>
      <c r="EPW56" s="913"/>
      <c r="EPX56" s="913"/>
      <c r="EPY56" s="913"/>
      <c r="EPZ56" s="913"/>
      <c r="EQA56" s="913"/>
      <c r="EQB56" s="913"/>
      <c r="EQC56" s="913"/>
      <c r="EQD56" s="913"/>
      <c r="EQE56" s="913"/>
      <c r="EQF56" s="913"/>
      <c r="EQG56" s="913"/>
      <c r="EQH56" s="913"/>
      <c r="EQI56" s="913"/>
      <c r="EQJ56" s="913"/>
      <c r="EQK56" s="913"/>
      <c r="EQL56" s="913"/>
      <c r="EQM56" s="913"/>
      <c r="EQN56" s="913"/>
      <c r="EQO56" s="913"/>
      <c r="EQP56" s="913"/>
      <c r="EQQ56" s="913"/>
      <c r="EQR56" s="913"/>
      <c r="EQS56" s="913"/>
      <c r="EQT56" s="913"/>
      <c r="EQU56" s="913"/>
      <c r="EQV56" s="913"/>
      <c r="EQW56" s="913"/>
      <c r="EQX56" s="913"/>
      <c r="EQY56" s="913"/>
      <c r="EQZ56" s="913"/>
      <c r="ERA56" s="913"/>
      <c r="ERB56" s="913"/>
      <c r="ERC56" s="913"/>
      <c r="ERD56" s="913"/>
      <c r="ERE56" s="913"/>
      <c r="ERF56" s="913"/>
      <c r="ERG56" s="913"/>
      <c r="ERH56" s="913"/>
      <c r="ERI56" s="913"/>
      <c r="ERJ56" s="913"/>
      <c r="ERK56" s="913"/>
      <c r="ERL56" s="913"/>
      <c r="ERM56" s="913"/>
      <c r="ERN56" s="913"/>
      <c r="ERO56" s="913"/>
      <c r="ERP56" s="913"/>
      <c r="ERQ56" s="913"/>
      <c r="ERR56" s="913"/>
      <c r="ERS56" s="913"/>
      <c r="ERT56" s="913"/>
      <c r="ERU56" s="913"/>
      <c r="ERV56" s="913"/>
      <c r="ERW56" s="913"/>
      <c r="ERX56" s="913"/>
      <c r="ERY56" s="913"/>
      <c r="ERZ56" s="913"/>
      <c r="ESA56" s="913"/>
      <c r="ESB56" s="913"/>
      <c r="ESC56" s="913"/>
      <c r="ESD56" s="913"/>
      <c r="ESE56" s="913"/>
      <c r="ESF56" s="913"/>
      <c r="ESG56" s="913"/>
      <c r="ESH56" s="913"/>
      <c r="ESI56" s="913"/>
      <c r="ESJ56" s="913"/>
      <c r="ESK56" s="913"/>
      <c r="ESL56" s="913"/>
      <c r="ESM56" s="913"/>
      <c r="ESN56" s="913"/>
      <c r="ESO56" s="913"/>
      <c r="ESP56" s="913"/>
      <c r="ESQ56" s="913"/>
      <c r="ESR56" s="913"/>
      <c r="ESS56" s="913"/>
      <c r="EST56" s="913"/>
      <c r="ESU56" s="913"/>
      <c r="ESV56" s="913"/>
      <c r="ESW56" s="913"/>
      <c r="ESX56" s="913"/>
      <c r="ESY56" s="913"/>
      <c r="ESZ56" s="913"/>
      <c r="ETA56" s="913"/>
      <c r="ETB56" s="913"/>
      <c r="ETC56" s="913"/>
      <c r="ETD56" s="913"/>
      <c r="ETE56" s="913"/>
      <c r="ETF56" s="913"/>
      <c r="ETG56" s="913"/>
      <c r="ETH56" s="913"/>
      <c r="ETI56" s="913"/>
      <c r="ETJ56" s="913"/>
      <c r="ETK56" s="913"/>
      <c r="ETL56" s="913"/>
      <c r="ETM56" s="913"/>
      <c r="ETN56" s="913"/>
      <c r="ETO56" s="913"/>
      <c r="ETP56" s="913"/>
      <c r="ETQ56" s="913"/>
      <c r="ETR56" s="913"/>
      <c r="ETS56" s="913"/>
      <c r="ETT56" s="913"/>
      <c r="ETU56" s="913"/>
      <c r="ETV56" s="913"/>
      <c r="ETW56" s="913"/>
      <c r="ETX56" s="913"/>
      <c r="ETY56" s="913"/>
      <c r="ETZ56" s="913"/>
      <c r="EUA56" s="913"/>
      <c r="EUB56" s="913"/>
      <c r="EUC56" s="913"/>
      <c r="EUD56" s="913"/>
      <c r="EUE56" s="913"/>
      <c r="EUF56" s="913"/>
      <c r="EUG56" s="913"/>
      <c r="EUH56" s="913"/>
      <c r="EUI56" s="913"/>
      <c r="EUJ56" s="913"/>
      <c r="EUK56" s="913"/>
      <c r="EUL56" s="913"/>
      <c r="EUM56" s="913"/>
      <c r="EUN56" s="913"/>
      <c r="EUO56" s="913"/>
      <c r="EUP56" s="913"/>
      <c r="EUQ56" s="913"/>
      <c r="EUR56" s="913"/>
      <c r="EUS56" s="913"/>
      <c r="EUT56" s="913"/>
      <c r="EUU56" s="913"/>
      <c r="EUV56" s="913"/>
      <c r="EUW56" s="913"/>
      <c r="EUX56" s="913"/>
      <c r="EUY56" s="913"/>
      <c r="EUZ56" s="913"/>
      <c r="EVA56" s="913"/>
      <c r="EVB56" s="913"/>
      <c r="EVC56" s="913"/>
      <c r="EVD56" s="913"/>
      <c r="EVE56" s="913"/>
      <c r="EVF56" s="913"/>
      <c r="EVG56" s="913"/>
      <c r="EVH56" s="913"/>
      <c r="EVI56" s="913"/>
      <c r="EVJ56" s="913"/>
      <c r="EVK56" s="913"/>
      <c r="EVL56" s="913"/>
      <c r="EVM56" s="913"/>
      <c r="EVN56" s="913"/>
      <c r="EVO56" s="913"/>
      <c r="EVP56" s="913"/>
      <c r="EVQ56" s="913"/>
      <c r="EVR56" s="913"/>
      <c r="EVS56" s="913"/>
      <c r="EVT56" s="913"/>
      <c r="EVU56" s="913"/>
      <c r="EVV56" s="913"/>
      <c r="EVW56" s="913"/>
      <c r="EVX56" s="913"/>
      <c r="EVY56" s="913"/>
      <c r="EVZ56" s="913"/>
      <c r="EWA56" s="913"/>
      <c r="EWB56" s="913"/>
      <c r="EWC56" s="913"/>
      <c r="EWD56" s="913"/>
      <c r="EWE56" s="913"/>
      <c r="EWF56" s="913"/>
      <c r="EWG56" s="913"/>
      <c r="EWH56" s="913"/>
      <c r="EWI56" s="913"/>
      <c r="EWJ56" s="913"/>
      <c r="EWK56" s="913"/>
      <c r="EWL56" s="913"/>
      <c r="EWM56" s="913"/>
      <c r="EWN56" s="913"/>
      <c r="EWO56" s="913"/>
      <c r="EWP56" s="913"/>
      <c r="EWQ56" s="913"/>
      <c r="EWR56" s="913"/>
      <c r="EWS56" s="913"/>
      <c r="EWT56" s="913"/>
      <c r="EWU56" s="913"/>
      <c r="EWV56" s="913"/>
      <c r="EWW56" s="913"/>
      <c r="EWX56" s="913"/>
      <c r="EWY56" s="913"/>
      <c r="EWZ56" s="913"/>
      <c r="EXA56" s="913"/>
      <c r="EXB56" s="913"/>
      <c r="EXC56" s="913"/>
      <c r="EXD56" s="913"/>
      <c r="EXE56" s="913"/>
      <c r="EXF56" s="913"/>
      <c r="EXG56" s="913"/>
      <c r="EXH56" s="913"/>
      <c r="EXI56" s="913"/>
      <c r="EXJ56" s="913"/>
      <c r="EXK56" s="913"/>
      <c r="EXL56" s="913"/>
      <c r="EXM56" s="913"/>
      <c r="EXN56" s="913"/>
      <c r="EXO56" s="913"/>
      <c r="EXP56" s="913"/>
      <c r="EXQ56" s="913"/>
      <c r="EXR56" s="913"/>
      <c r="EXS56" s="913"/>
      <c r="EXT56" s="913"/>
      <c r="EXU56" s="913"/>
      <c r="EXV56" s="913"/>
      <c r="EXW56" s="913"/>
      <c r="EXX56" s="913"/>
      <c r="EXY56" s="913"/>
      <c r="EXZ56" s="913"/>
      <c r="EYA56" s="913"/>
      <c r="EYB56" s="913"/>
      <c r="EYC56" s="913"/>
      <c r="EYD56" s="913"/>
      <c r="EYE56" s="913"/>
      <c r="EYF56" s="913"/>
      <c r="EYG56" s="913"/>
      <c r="EYH56" s="913"/>
      <c r="EYI56" s="913"/>
      <c r="EYJ56" s="913"/>
      <c r="EYK56" s="913"/>
      <c r="EYL56" s="913"/>
      <c r="EYM56" s="913"/>
      <c r="EYN56" s="913"/>
      <c r="EYO56" s="913"/>
      <c r="EYP56" s="913"/>
      <c r="EYQ56" s="913"/>
      <c r="EYR56" s="913"/>
      <c r="EYS56" s="913"/>
      <c r="EYT56" s="913"/>
      <c r="EYU56" s="913"/>
      <c r="EYV56" s="913"/>
      <c r="EYW56" s="913"/>
      <c r="EYX56" s="913"/>
      <c r="EYY56" s="913"/>
      <c r="EYZ56" s="913"/>
      <c r="EZA56" s="913"/>
      <c r="EZB56" s="913"/>
      <c r="EZC56" s="913"/>
      <c r="EZD56" s="913"/>
      <c r="EZE56" s="913"/>
      <c r="EZF56" s="913"/>
      <c r="EZG56" s="913"/>
      <c r="EZH56" s="913"/>
      <c r="EZI56" s="913"/>
      <c r="EZJ56" s="913"/>
      <c r="EZK56" s="913"/>
      <c r="EZL56" s="913"/>
      <c r="EZM56" s="913"/>
      <c r="EZN56" s="913"/>
      <c r="EZO56" s="913"/>
      <c r="EZP56" s="913"/>
      <c r="EZQ56" s="913"/>
      <c r="EZR56" s="913"/>
      <c r="EZS56" s="913"/>
      <c r="EZT56" s="913"/>
      <c r="EZU56" s="913"/>
      <c r="EZV56" s="913"/>
      <c r="EZW56" s="913"/>
      <c r="EZX56" s="913"/>
      <c r="EZY56" s="913"/>
      <c r="EZZ56" s="913"/>
      <c r="FAA56" s="913"/>
      <c r="FAB56" s="913"/>
      <c r="FAC56" s="913"/>
      <c r="FAD56" s="913"/>
      <c r="FAE56" s="913"/>
      <c r="FAF56" s="913"/>
      <c r="FAG56" s="913"/>
      <c r="FAH56" s="913"/>
      <c r="FAI56" s="913"/>
      <c r="FAJ56" s="913"/>
      <c r="FAK56" s="913"/>
      <c r="FAL56" s="913"/>
      <c r="FAM56" s="913"/>
      <c r="FAN56" s="913"/>
      <c r="FAO56" s="913"/>
      <c r="FAP56" s="913"/>
      <c r="FAQ56" s="913"/>
      <c r="FAR56" s="913"/>
      <c r="FAS56" s="913"/>
      <c r="FAT56" s="913"/>
      <c r="FAU56" s="913"/>
      <c r="FAV56" s="913"/>
      <c r="FAW56" s="913"/>
      <c r="FAX56" s="913"/>
      <c r="FAY56" s="913"/>
      <c r="FAZ56" s="913"/>
      <c r="FBA56" s="913"/>
      <c r="FBB56" s="913"/>
      <c r="FBC56" s="913"/>
      <c r="FBD56" s="913"/>
      <c r="FBE56" s="913"/>
      <c r="FBF56" s="913"/>
      <c r="FBG56" s="913"/>
      <c r="FBH56" s="913"/>
      <c r="FBI56" s="913"/>
      <c r="FBJ56" s="913"/>
      <c r="FBK56" s="913"/>
      <c r="FBL56" s="913"/>
      <c r="FBM56" s="913"/>
      <c r="FBN56" s="913"/>
      <c r="FBO56" s="913"/>
      <c r="FBP56" s="913"/>
      <c r="FBQ56" s="913"/>
      <c r="FBR56" s="913"/>
      <c r="FBS56" s="913"/>
      <c r="FBT56" s="913"/>
      <c r="FBU56" s="913"/>
      <c r="FBV56" s="913"/>
      <c r="FBW56" s="913"/>
      <c r="FBX56" s="913"/>
      <c r="FBY56" s="913"/>
      <c r="FBZ56" s="913"/>
      <c r="FCA56" s="913"/>
      <c r="FCB56" s="913"/>
      <c r="FCC56" s="913"/>
      <c r="FCD56" s="913"/>
      <c r="FCE56" s="913"/>
      <c r="FCF56" s="913"/>
      <c r="FCG56" s="913"/>
      <c r="FCH56" s="913"/>
      <c r="FCI56" s="913"/>
      <c r="FCJ56" s="913"/>
      <c r="FCK56" s="913"/>
      <c r="FCL56" s="913"/>
      <c r="FCM56" s="913"/>
      <c r="FCN56" s="913"/>
      <c r="FCO56" s="913"/>
      <c r="FCP56" s="913"/>
      <c r="FCQ56" s="913"/>
      <c r="FCR56" s="913"/>
      <c r="FCS56" s="913"/>
      <c r="FCT56" s="913"/>
      <c r="FCU56" s="913"/>
      <c r="FCV56" s="913"/>
      <c r="FCW56" s="913"/>
      <c r="FCX56" s="913"/>
      <c r="FCY56" s="913"/>
      <c r="FCZ56" s="913"/>
      <c r="FDA56" s="913"/>
      <c r="FDB56" s="913"/>
      <c r="FDC56" s="913"/>
      <c r="FDD56" s="913"/>
      <c r="FDE56" s="913"/>
      <c r="FDF56" s="913"/>
      <c r="FDG56" s="913"/>
      <c r="FDH56" s="913"/>
      <c r="FDI56" s="913"/>
      <c r="FDJ56" s="913"/>
      <c r="FDK56" s="913"/>
      <c r="FDL56" s="913"/>
      <c r="FDM56" s="913"/>
      <c r="FDN56" s="913"/>
      <c r="FDO56" s="913"/>
      <c r="FDP56" s="913"/>
      <c r="FDQ56" s="913"/>
      <c r="FDR56" s="913"/>
      <c r="FDS56" s="913"/>
      <c r="FDT56" s="913"/>
      <c r="FDU56" s="913"/>
      <c r="FDV56" s="913"/>
      <c r="FDW56" s="913"/>
      <c r="FDX56" s="913"/>
      <c r="FDY56" s="913"/>
      <c r="FDZ56" s="913"/>
      <c r="FEA56" s="913"/>
      <c r="FEB56" s="913"/>
      <c r="FEC56" s="913"/>
      <c r="FED56" s="913"/>
      <c r="FEE56" s="913"/>
      <c r="FEF56" s="913"/>
      <c r="FEG56" s="913"/>
      <c r="FEH56" s="913"/>
      <c r="FEI56" s="913"/>
      <c r="FEJ56" s="913"/>
      <c r="FEK56" s="913"/>
      <c r="FEL56" s="913"/>
      <c r="FEM56" s="913"/>
      <c r="FEN56" s="913"/>
      <c r="FEO56" s="913"/>
      <c r="FEP56" s="913"/>
      <c r="FEQ56" s="913"/>
      <c r="FER56" s="913"/>
      <c r="FES56" s="913"/>
      <c r="FET56" s="913"/>
      <c r="FEU56" s="913"/>
      <c r="FEV56" s="913"/>
      <c r="FEW56" s="913"/>
      <c r="FEX56" s="913"/>
      <c r="FEY56" s="913"/>
      <c r="FEZ56" s="913"/>
      <c r="FFA56" s="913"/>
      <c r="FFB56" s="913"/>
      <c r="FFC56" s="913"/>
      <c r="FFD56" s="913"/>
      <c r="FFE56" s="913"/>
      <c r="FFF56" s="913"/>
      <c r="FFG56" s="913"/>
      <c r="FFH56" s="913"/>
      <c r="FFI56" s="913"/>
      <c r="FFJ56" s="913"/>
      <c r="FFK56" s="913"/>
      <c r="FFL56" s="913"/>
      <c r="FFM56" s="913"/>
      <c r="FFN56" s="913"/>
      <c r="FFO56" s="913"/>
      <c r="FFP56" s="913"/>
      <c r="FFQ56" s="913"/>
      <c r="FFR56" s="913"/>
      <c r="FFS56" s="913"/>
      <c r="FFT56" s="913"/>
      <c r="FFU56" s="913"/>
      <c r="FFV56" s="913"/>
      <c r="FFW56" s="913"/>
      <c r="FFX56" s="913"/>
      <c r="FFY56" s="913"/>
      <c r="FFZ56" s="913"/>
      <c r="FGA56" s="913"/>
      <c r="FGB56" s="913"/>
      <c r="FGC56" s="913"/>
      <c r="FGD56" s="913"/>
      <c r="FGE56" s="913"/>
      <c r="FGF56" s="913"/>
      <c r="FGG56" s="913"/>
      <c r="FGH56" s="913"/>
      <c r="FGI56" s="913"/>
      <c r="FGJ56" s="913"/>
      <c r="FGK56" s="913"/>
      <c r="FGL56" s="913"/>
      <c r="FGM56" s="913"/>
      <c r="FGN56" s="913"/>
      <c r="FGO56" s="913"/>
      <c r="FGP56" s="913"/>
      <c r="FGQ56" s="913"/>
      <c r="FGR56" s="913"/>
      <c r="FGS56" s="913"/>
      <c r="FGT56" s="913"/>
      <c r="FGU56" s="913"/>
      <c r="FGV56" s="913"/>
      <c r="FGW56" s="913"/>
      <c r="FGX56" s="913"/>
      <c r="FGY56" s="913"/>
      <c r="FGZ56" s="913"/>
      <c r="FHA56" s="913"/>
      <c r="FHB56" s="913"/>
      <c r="FHC56" s="913"/>
      <c r="FHD56" s="913"/>
      <c r="FHE56" s="913"/>
      <c r="FHF56" s="913"/>
      <c r="FHG56" s="913"/>
      <c r="FHH56" s="913"/>
      <c r="FHI56" s="913"/>
      <c r="FHJ56" s="913"/>
      <c r="FHK56" s="913"/>
      <c r="FHL56" s="913"/>
      <c r="FHM56" s="913"/>
      <c r="FHN56" s="913"/>
      <c r="FHO56" s="913"/>
      <c r="FHP56" s="913"/>
      <c r="FHQ56" s="913"/>
      <c r="FHR56" s="913"/>
      <c r="FHS56" s="913"/>
      <c r="FHT56" s="913"/>
      <c r="FHU56" s="913"/>
      <c r="FHV56" s="913"/>
      <c r="FHW56" s="913"/>
      <c r="FHX56" s="913"/>
      <c r="FHY56" s="913"/>
      <c r="FHZ56" s="913"/>
      <c r="FIA56" s="913"/>
      <c r="FIB56" s="913"/>
      <c r="FIC56" s="913"/>
      <c r="FID56" s="913"/>
      <c r="FIE56" s="913"/>
      <c r="FIF56" s="913"/>
      <c r="FIG56" s="913"/>
      <c r="FIH56" s="913"/>
      <c r="FII56" s="913"/>
      <c r="FIJ56" s="913"/>
      <c r="FIK56" s="913"/>
      <c r="FIL56" s="913"/>
      <c r="FIM56" s="913"/>
      <c r="FIN56" s="913"/>
      <c r="FIO56" s="913"/>
      <c r="FIP56" s="913"/>
      <c r="FIQ56" s="913"/>
      <c r="FIR56" s="913"/>
      <c r="FIS56" s="913"/>
      <c r="FIT56" s="913"/>
      <c r="FIU56" s="913"/>
      <c r="FIV56" s="913"/>
      <c r="FIW56" s="913"/>
      <c r="FIX56" s="913"/>
      <c r="FIY56" s="913"/>
      <c r="FIZ56" s="913"/>
      <c r="FJA56" s="913"/>
      <c r="FJB56" s="913"/>
      <c r="FJC56" s="913"/>
      <c r="FJD56" s="913"/>
      <c r="FJE56" s="913"/>
      <c r="FJF56" s="913"/>
      <c r="FJG56" s="913"/>
      <c r="FJH56" s="913"/>
      <c r="FJI56" s="913"/>
      <c r="FJJ56" s="913"/>
      <c r="FJK56" s="913"/>
      <c r="FJL56" s="913"/>
      <c r="FJM56" s="913"/>
      <c r="FJN56" s="913"/>
      <c r="FJO56" s="913"/>
      <c r="FJP56" s="913"/>
      <c r="FJQ56" s="913"/>
      <c r="FJR56" s="913"/>
      <c r="FJS56" s="913"/>
      <c r="FJT56" s="913"/>
      <c r="FJU56" s="913"/>
      <c r="FJV56" s="913"/>
      <c r="FJW56" s="913"/>
      <c r="FJX56" s="913"/>
      <c r="FJY56" s="913"/>
      <c r="FJZ56" s="913"/>
      <c r="FKA56" s="913"/>
      <c r="FKB56" s="913"/>
      <c r="FKC56" s="913"/>
      <c r="FKD56" s="913"/>
      <c r="FKE56" s="913"/>
      <c r="FKF56" s="913"/>
      <c r="FKG56" s="913"/>
      <c r="FKH56" s="913"/>
      <c r="FKI56" s="913"/>
      <c r="FKJ56" s="913"/>
      <c r="FKK56" s="913"/>
      <c r="FKL56" s="913"/>
      <c r="FKM56" s="913"/>
      <c r="FKN56" s="913"/>
      <c r="FKO56" s="913"/>
      <c r="FKP56" s="913"/>
      <c r="FKQ56" s="913"/>
      <c r="FKR56" s="913"/>
      <c r="FKS56" s="913"/>
      <c r="FKT56" s="913"/>
      <c r="FKU56" s="913"/>
      <c r="FKV56" s="913"/>
      <c r="FKW56" s="913"/>
      <c r="FKX56" s="913"/>
      <c r="FKY56" s="913"/>
      <c r="FKZ56" s="913"/>
      <c r="FLA56" s="913"/>
      <c r="FLB56" s="913"/>
      <c r="FLC56" s="913"/>
      <c r="FLD56" s="913"/>
      <c r="FLE56" s="913"/>
      <c r="FLF56" s="913"/>
      <c r="FLG56" s="913"/>
      <c r="FLH56" s="913"/>
      <c r="FLI56" s="913"/>
      <c r="FLJ56" s="913"/>
      <c r="FLK56" s="913"/>
      <c r="FLL56" s="913"/>
      <c r="FLM56" s="913"/>
      <c r="FLN56" s="913"/>
      <c r="FLO56" s="913"/>
      <c r="FLP56" s="913"/>
      <c r="FLQ56" s="913"/>
      <c r="FLR56" s="913"/>
      <c r="FLS56" s="913"/>
      <c r="FLT56" s="913"/>
      <c r="FLU56" s="913"/>
      <c r="FLV56" s="913"/>
      <c r="FLW56" s="913"/>
      <c r="FLX56" s="913"/>
      <c r="FLY56" s="913"/>
      <c r="FLZ56" s="913"/>
      <c r="FMA56" s="913"/>
      <c r="FMB56" s="913"/>
      <c r="FMC56" s="913"/>
      <c r="FMD56" s="913"/>
      <c r="FME56" s="913"/>
      <c r="FMF56" s="913"/>
      <c r="FMG56" s="913"/>
      <c r="FMH56" s="913"/>
      <c r="FMI56" s="913"/>
      <c r="FMJ56" s="913"/>
      <c r="FMK56" s="913"/>
      <c r="FML56" s="913"/>
      <c r="FMM56" s="913"/>
      <c r="FMN56" s="913"/>
      <c r="FMO56" s="913"/>
      <c r="FMP56" s="913"/>
      <c r="FMQ56" s="913"/>
      <c r="FMR56" s="913"/>
      <c r="FMS56" s="913"/>
      <c r="FMT56" s="913"/>
      <c r="FMU56" s="913"/>
      <c r="FMV56" s="913"/>
      <c r="FMW56" s="913"/>
      <c r="FMX56" s="913"/>
      <c r="FMY56" s="913"/>
      <c r="FMZ56" s="913"/>
      <c r="FNA56" s="913"/>
      <c r="FNB56" s="913"/>
      <c r="FNC56" s="913"/>
      <c r="FND56" s="913"/>
      <c r="FNE56" s="913"/>
      <c r="FNF56" s="913"/>
      <c r="FNG56" s="913"/>
      <c r="FNH56" s="913"/>
      <c r="FNI56" s="913"/>
      <c r="FNJ56" s="913"/>
      <c r="FNK56" s="913"/>
      <c r="FNL56" s="913"/>
      <c r="FNM56" s="913"/>
      <c r="FNN56" s="913"/>
      <c r="FNO56" s="913"/>
      <c r="FNP56" s="913"/>
      <c r="FNQ56" s="913"/>
      <c r="FNR56" s="913"/>
      <c r="FNS56" s="913"/>
      <c r="FNT56" s="913"/>
      <c r="FNU56" s="913"/>
      <c r="FNV56" s="913"/>
      <c r="FNW56" s="913"/>
      <c r="FNX56" s="913"/>
      <c r="FNY56" s="913"/>
      <c r="FNZ56" s="913"/>
      <c r="FOA56" s="913"/>
      <c r="FOB56" s="913"/>
      <c r="FOC56" s="913"/>
      <c r="FOD56" s="913"/>
      <c r="FOE56" s="913"/>
      <c r="FOF56" s="913"/>
      <c r="FOG56" s="913"/>
      <c r="FOH56" s="913"/>
      <c r="FOI56" s="913"/>
      <c r="FOJ56" s="913"/>
      <c r="FOK56" s="913"/>
      <c r="FOL56" s="913"/>
      <c r="FOM56" s="913"/>
      <c r="FON56" s="913"/>
      <c r="FOO56" s="913"/>
      <c r="FOP56" s="913"/>
      <c r="FOQ56" s="913"/>
      <c r="FOR56" s="913"/>
      <c r="FOS56" s="913"/>
      <c r="FOT56" s="913"/>
      <c r="FOU56" s="913"/>
      <c r="FOV56" s="913"/>
      <c r="FOW56" s="913"/>
      <c r="FOX56" s="913"/>
      <c r="FOY56" s="913"/>
      <c r="FOZ56" s="913"/>
      <c r="FPA56" s="913"/>
      <c r="FPB56" s="913"/>
      <c r="FPC56" s="913"/>
      <c r="FPD56" s="913"/>
      <c r="FPE56" s="913"/>
      <c r="FPF56" s="913"/>
      <c r="FPG56" s="913"/>
      <c r="FPH56" s="913"/>
      <c r="FPI56" s="913"/>
      <c r="FPJ56" s="913"/>
      <c r="FPK56" s="913"/>
      <c r="FPL56" s="913"/>
      <c r="FPM56" s="913"/>
      <c r="FPN56" s="913"/>
      <c r="FPO56" s="913"/>
      <c r="FPP56" s="913"/>
      <c r="FPQ56" s="913"/>
      <c r="FPR56" s="913"/>
      <c r="FPS56" s="913"/>
      <c r="FPT56" s="913"/>
      <c r="FPU56" s="913"/>
      <c r="FPV56" s="913"/>
      <c r="FPW56" s="913"/>
      <c r="FPX56" s="913"/>
      <c r="FPY56" s="913"/>
      <c r="FPZ56" s="913"/>
      <c r="FQA56" s="913"/>
      <c r="FQB56" s="913"/>
      <c r="FQC56" s="913"/>
      <c r="FQD56" s="913"/>
      <c r="FQE56" s="913"/>
      <c r="FQF56" s="913"/>
      <c r="FQG56" s="913"/>
      <c r="FQH56" s="913"/>
      <c r="FQI56" s="913"/>
      <c r="FQJ56" s="913"/>
      <c r="FQK56" s="913"/>
      <c r="FQL56" s="913"/>
      <c r="FQM56" s="913"/>
      <c r="FQN56" s="913"/>
      <c r="FQO56" s="913"/>
      <c r="FQP56" s="913"/>
      <c r="FQQ56" s="913"/>
      <c r="FQR56" s="913"/>
      <c r="FQS56" s="913"/>
      <c r="FQT56" s="913"/>
      <c r="FQU56" s="913"/>
      <c r="FQV56" s="913"/>
      <c r="FQW56" s="913"/>
      <c r="FQX56" s="913"/>
      <c r="FQY56" s="913"/>
      <c r="FQZ56" s="913"/>
      <c r="FRA56" s="913"/>
      <c r="FRB56" s="913"/>
      <c r="FRC56" s="913"/>
      <c r="FRD56" s="913"/>
      <c r="FRE56" s="913"/>
      <c r="FRF56" s="913"/>
      <c r="FRG56" s="913"/>
      <c r="FRH56" s="913"/>
      <c r="FRI56" s="913"/>
      <c r="FRJ56" s="913"/>
      <c r="FRK56" s="913"/>
      <c r="FRL56" s="913"/>
      <c r="FRM56" s="913"/>
      <c r="FRN56" s="913"/>
      <c r="FRO56" s="913"/>
      <c r="FRP56" s="913"/>
      <c r="FRQ56" s="913"/>
      <c r="FRR56" s="913"/>
      <c r="FRS56" s="913"/>
      <c r="FRT56" s="913"/>
      <c r="FRU56" s="913"/>
      <c r="FRV56" s="913"/>
      <c r="FRW56" s="913"/>
      <c r="FRX56" s="913"/>
      <c r="FRY56" s="913"/>
      <c r="FRZ56" s="913"/>
      <c r="FSA56" s="913"/>
      <c r="FSB56" s="913"/>
      <c r="FSC56" s="913"/>
      <c r="FSD56" s="913"/>
      <c r="FSE56" s="913"/>
      <c r="FSF56" s="913"/>
      <c r="FSG56" s="913"/>
      <c r="FSH56" s="913"/>
      <c r="FSI56" s="913"/>
      <c r="FSJ56" s="913"/>
      <c r="FSK56" s="913"/>
      <c r="FSL56" s="913"/>
      <c r="FSM56" s="913"/>
      <c r="FSN56" s="913"/>
      <c r="FSO56" s="913"/>
      <c r="FSP56" s="913"/>
      <c r="FSQ56" s="913"/>
      <c r="FSR56" s="913"/>
      <c r="FSS56" s="913"/>
      <c r="FST56" s="913"/>
      <c r="FSU56" s="913"/>
      <c r="FSV56" s="913"/>
      <c r="FSW56" s="913"/>
      <c r="FSX56" s="913"/>
      <c r="FSY56" s="913"/>
      <c r="FSZ56" s="913"/>
      <c r="FTA56" s="913"/>
      <c r="FTB56" s="913"/>
      <c r="FTC56" s="913"/>
      <c r="FTD56" s="913"/>
      <c r="FTE56" s="913"/>
      <c r="FTF56" s="913"/>
      <c r="FTG56" s="913"/>
      <c r="FTH56" s="913"/>
      <c r="FTI56" s="913"/>
      <c r="FTJ56" s="913"/>
      <c r="FTK56" s="913"/>
      <c r="FTL56" s="913"/>
      <c r="FTM56" s="913"/>
      <c r="FTN56" s="913"/>
      <c r="FTO56" s="913"/>
      <c r="FTP56" s="913"/>
      <c r="FTQ56" s="913"/>
      <c r="FTR56" s="913"/>
      <c r="FTS56" s="913"/>
      <c r="FTT56" s="913"/>
      <c r="FTU56" s="913"/>
      <c r="FTV56" s="913"/>
      <c r="FTW56" s="913"/>
      <c r="FTX56" s="913"/>
      <c r="FTY56" s="913"/>
      <c r="FTZ56" s="913"/>
      <c r="FUA56" s="913"/>
      <c r="FUB56" s="913"/>
      <c r="FUC56" s="913"/>
      <c r="FUD56" s="913"/>
      <c r="FUE56" s="913"/>
      <c r="FUF56" s="913"/>
      <c r="FUG56" s="913"/>
      <c r="FUH56" s="913"/>
      <c r="FUI56" s="913"/>
      <c r="FUJ56" s="913"/>
      <c r="FUK56" s="913"/>
      <c r="FUL56" s="913"/>
      <c r="FUM56" s="913"/>
      <c r="FUN56" s="913"/>
      <c r="FUO56" s="913"/>
      <c r="FUP56" s="913"/>
      <c r="FUQ56" s="913"/>
      <c r="FUR56" s="913"/>
      <c r="FUS56" s="913"/>
      <c r="FUT56" s="913"/>
      <c r="FUU56" s="913"/>
      <c r="FUV56" s="913"/>
      <c r="FUW56" s="913"/>
      <c r="FUX56" s="913"/>
      <c r="FUY56" s="913"/>
      <c r="FUZ56" s="913"/>
      <c r="FVA56" s="913"/>
      <c r="FVB56" s="913"/>
      <c r="FVC56" s="913"/>
      <c r="FVD56" s="913"/>
      <c r="FVE56" s="913"/>
      <c r="FVF56" s="913"/>
      <c r="FVG56" s="913"/>
      <c r="FVH56" s="913"/>
      <c r="FVI56" s="913"/>
      <c r="FVJ56" s="913"/>
      <c r="FVK56" s="913"/>
      <c r="FVL56" s="913"/>
      <c r="FVM56" s="913"/>
      <c r="FVN56" s="913"/>
      <c r="FVO56" s="913"/>
      <c r="FVP56" s="913"/>
      <c r="FVQ56" s="913"/>
      <c r="FVR56" s="913"/>
      <c r="FVS56" s="913"/>
      <c r="FVT56" s="913"/>
      <c r="FVU56" s="913"/>
      <c r="FVV56" s="913"/>
      <c r="FVW56" s="913"/>
      <c r="FVX56" s="913"/>
      <c r="FVY56" s="913"/>
      <c r="FVZ56" s="913"/>
      <c r="FWA56" s="913"/>
      <c r="FWB56" s="913"/>
      <c r="FWC56" s="913"/>
      <c r="FWD56" s="913"/>
      <c r="FWE56" s="913"/>
      <c r="FWF56" s="913"/>
      <c r="FWG56" s="913"/>
      <c r="FWH56" s="913"/>
      <c r="FWI56" s="913"/>
      <c r="FWJ56" s="913"/>
      <c r="FWK56" s="913"/>
      <c r="FWL56" s="913"/>
      <c r="FWM56" s="913"/>
      <c r="FWN56" s="913"/>
      <c r="FWO56" s="913"/>
      <c r="FWP56" s="913"/>
      <c r="FWQ56" s="913"/>
      <c r="FWR56" s="913"/>
      <c r="FWS56" s="913"/>
      <c r="FWT56" s="913"/>
      <c r="FWU56" s="913"/>
      <c r="FWV56" s="913"/>
      <c r="FWW56" s="913"/>
      <c r="FWX56" s="913"/>
      <c r="FWY56" s="913"/>
      <c r="FWZ56" s="913"/>
      <c r="FXA56" s="913"/>
      <c r="FXB56" s="913"/>
      <c r="FXC56" s="913"/>
      <c r="FXD56" s="913"/>
      <c r="FXE56" s="913"/>
      <c r="FXF56" s="913"/>
      <c r="FXG56" s="913"/>
      <c r="FXH56" s="913"/>
      <c r="FXI56" s="913"/>
      <c r="FXJ56" s="913"/>
      <c r="FXK56" s="913"/>
      <c r="FXL56" s="913"/>
      <c r="FXM56" s="913"/>
      <c r="FXN56" s="913"/>
      <c r="FXO56" s="913"/>
      <c r="FXP56" s="913"/>
      <c r="FXQ56" s="913"/>
      <c r="FXR56" s="913"/>
      <c r="FXS56" s="913"/>
      <c r="FXT56" s="913"/>
      <c r="FXU56" s="913"/>
      <c r="FXV56" s="913"/>
      <c r="FXW56" s="913"/>
      <c r="FXX56" s="913"/>
      <c r="FXY56" s="913"/>
      <c r="FXZ56" s="913"/>
      <c r="FYA56" s="913"/>
      <c r="FYB56" s="913"/>
      <c r="FYC56" s="913"/>
      <c r="FYD56" s="913"/>
      <c r="FYE56" s="913"/>
      <c r="FYF56" s="913"/>
      <c r="FYG56" s="913"/>
      <c r="FYH56" s="913"/>
      <c r="FYI56" s="913"/>
      <c r="FYJ56" s="913"/>
      <c r="FYK56" s="913"/>
      <c r="FYL56" s="913"/>
      <c r="FYM56" s="913"/>
      <c r="FYN56" s="913"/>
      <c r="FYO56" s="913"/>
      <c r="FYP56" s="913"/>
      <c r="FYQ56" s="913"/>
      <c r="FYR56" s="913"/>
      <c r="FYS56" s="913"/>
      <c r="FYT56" s="913"/>
      <c r="FYU56" s="913"/>
      <c r="FYV56" s="913"/>
      <c r="FYW56" s="913"/>
      <c r="FYX56" s="913"/>
      <c r="FYY56" s="913"/>
      <c r="FYZ56" s="913"/>
      <c r="FZA56" s="913"/>
      <c r="FZB56" s="913"/>
      <c r="FZC56" s="913"/>
      <c r="FZD56" s="913"/>
      <c r="FZE56" s="913"/>
      <c r="FZF56" s="913"/>
      <c r="FZG56" s="913"/>
      <c r="FZH56" s="913"/>
      <c r="FZI56" s="913"/>
      <c r="FZJ56" s="913"/>
      <c r="FZK56" s="913"/>
      <c r="FZL56" s="913"/>
      <c r="FZM56" s="913"/>
      <c r="FZN56" s="913"/>
      <c r="FZO56" s="913"/>
      <c r="FZP56" s="913"/>
      <c r="FZQ56" s="913"/>
      <c r="FZR56" s="913"/>
      <c r="FZS56" s="913"/>
      <c r="FZT56" s="913"/>
      <c r="FZU56" s="913"/>
      <c r="FZV56" s="913"/>
      <c r="FZW56" s="913"/>
      <c r="FZX56" s="913"/>
      <c r="FZY56" s="913"/>
      <c r="FZZ56" s="913"/>
      <c r="GAA56" s="913"/>
      <c r="GAB56" s="913"/>
      <c r="GAC56" s="913"/>
      <c r="GAD56" s="913"/>
      <c r="GAE56" s="913"/>
      <c r="GAF56" s="913"/>
      <c r="GAG56" s="913"/>
      <c r="GAH56" s="913"/>
      <c r="GAI56" s="913"/>
      <c r="GAJ56" s="913"/>
      <c r="GAK56" s="913"/>
      <c r="GAL56" s="913"/>
      <c r="GAM56" s="913"/>
      <c r="GAN56" s="913"/>
      <c r="GAO56" s="913"/>
      <c r="GAP56" s="913"/>
      <c r="GAQ56" s="913"/>
      <c r="GAR56" s="913"/>
      <c r="GAS56" s="913"/>
      <c r="GAT56" s="913"/>
      <c r="GAU56" s="913"/>
      <c r="GAV56" s="913"/>
      <c r="GAW56" s="913"/>
      <c r="GAX56" s="913"/>
      <c r="GAY56" s="913"/>
      <c r="GAZ56" s="913"/>
      <c r="GBA56" s="913"/>
      <c r="GBB56" s="913"/>
      <c r="GBC56" s="913"/>
      <c r="GBD56" s="913"/>
      <c r="GBE56" s="913"/>
      <c r="GBF56" s="913"/>
      <c r="GBG56" s="913"/>
      <c r="GBH56" s="913"/>
      <c r="GBI56" s="913"/>
      <c r="GBJ56" s="913"/>
      <c r="GBK56" s="913"/>
      <c r="GBL56" s="913"/>
      <c r="GBM56" s="913"/>
      <c r="GBN56" s="913"/>
      <c r="GBO56" s="913"/>
      <c r="GBP56" s="913"/>
      <c r="GBQ56" s="913"/>
      <c r="GBR56" s="913"/>
      <c r="GBS56" s="913"/>
      <c r="GBT56" s="913"/>
      <c r="GBU56" s="913"/>
      <c r="GBV56" s="913"/>
      <c r="GBW56" s="913"/>
      <c r="GBX56" s="913"/>
      <c r="GBY56" s="913"/>
      <c r="GBZ56" s="913"/>
      <c r="GCA56" s="913"/>
      <c r="GCB56" s="913"/>
      <c r="GCC56" s="913"/>
      <c r="GCD56" s="913"/>
      <c r="GCE56" s="913"/>
      <c r="GCF56" s="913"/>
      <c r="GCG56" s="913"/>
      <c r="GCH56" s="913"/>
      <c r="GCI56" s="913"/>
      <c r="GCJ56" s="913"/>
      <c r="GCK56" s="913"/>
      <c r="GCL56" s="913"/>
      <c r="GCM56" s="913"/>
      <c r="GCN56" s="913"/>
      <c r="GCO56" s="913"/>
      <c r="GCP56" s="913"/>
      <c r="GCQ56" s="913"/>
      <c r="GCR56" s="913"/>
      <c r="GCS56" s="913"/>
      <c r="GCT56" s="913"/>
      <c r="GCU56" s="913"/>
      <c r="GCV56" s="913"/>
      <c r="GCW56" s="913"/>
      <c r="GCX56" s="913"/>
      <c r="GCY56" s="913"/>
      <c r="GCZ56" s="913"/>
      <c r="GDA56" s="913"/>
      <c r="GDB56" s="913"/>
      <c r="GDC56" s="913"/>
      <c r="GDD56" s="913"/>
      <c r="GDE56" s="913"/>
      <c r="GDF56" s="913"/>
      <c r="GDG56" s="913"/>
      <c r="GDH56" s="913"/>
      <c r="GDI56" s="913"/>
      <c r="GDJ56" s="913"/>
      <c r="GDK56" s="913"/>
      <c r="GDL56" s="913"/>
      <c r="GDM56" s="913"/>
      <c r="GDN56" s="913"/>
      <c r="GDO56" s="913"/>
      <c r="GDP56" s="913"/>
      <c r="GDQ56" s="913"/>
      <c r="GDR56" s="913"/>
      <c r="GDS56" s="913"/>
      <c r="GDT56" s="913"/>
      <c r="GDU56" s="913"/>
      <c r="GDV56" s="913"/>
      <c r="GDW56" s="913"/>
      <c r="GDX56" s="913"/>
      <c r="GDY56" s="913"/>
      <c r="GDZ56" s="913"/>
      <c r="GEA56" s="913"/>
      <c r="GEB56" s="913"/>
      <c r="GEC56" s="913"/>
      <c r="GED56" s="913"/>
      <c r="GEE56" s="913"/>
      <c r="GEF56" s="913"/>
      <c r="GEG56" s="913"/>
      <c r="GEH56" s="913"/>
      <c r="GEI56" s="913"/>
      <c r="GEJ56" s="913"/>
      <c r="GEK56" s="913"/>
      <c r="GEL56" s="913"/>
      <c r="GEM56" s="913"/>
      <c r="GEN56" s="913"/>
      <c r="GEO56" s="913"/>
      <c r="GEP56" s="913"/>
      <c r="GEQ56" s="913"/>
      <c r="GER56" s="913"/>
      <c r="GES56" s="913"/>
      <c r="GET56" s="913"/>
      <c r="GEU56" s="913"/>
      <c r="GEV56" s="913"/>
      <c r="GEW56" s="913"/>
      <c r="GEX56" s="913"/>
      <c r="GEY56" s="913"/>
      <c r="GEZ56" s="913"/>
      <c r="GFA56" s="913"/>
      <c r="GFB56" s="913"/>
      <c r="GFC56" s="913"/>
      <c r="GFD56" s="913"/>
      <c r="GFE56" s="913"/>
      <c r="GFF56" s="913"/>
      <c r="GFG56" s="913"/>
      <c r="GFH56" s="913"/>
      <c r="GFI56" s="913"/>
      <c r="GFJ56" s="913"/>
      <c r="GFK56" s="913"/>
      <c r="GFL56" s="913"/>
      <c r="GFM56" s="913"/>
      <c r="GFN56" s="913"/>
      <c r="GFO56" s="913"/>
      <c r="GFP56" s="913"/>
      <c r="GFQ56" s="913"/>
      <c r="GFR56" s="913"/>
      <c r="GFS56" s="913"/>
      <c r="GFT56" s="913"/>
      <c r="GFU56" s="913"/>
      <c r="GFV56" s="913"/>
      <c r="GFW56" s="913"/>
      <c r="GFX56" s="913"/>
      <c r="GFY56" s="913"/>
      <c r="GFZ56" s="913"/>
      <c r="GGA56" s="913"/>
      <c r="GGB56" s="913"/>
      <c r="GGC56" s="913"/>
      <c r="GGD56" s="913"/>
      <c r="GGE56" s="913"/>
      <c r="GGF56" s="913"/>
      <c r="GGG56" s="913"/>
      <c r="GGH56" s="913"/>
      <c r="GGI56" s="913"/>
      <c r="GGJ56" s="913"/>
      <c r="GGK56" s="913"/>
      <c r="GGL56" s="913"/>
      <c r="GGM56" s="913"/>
      <c r="GGN56" s="913"/>
      <c r="GGO56" s="913"/>
      <c r="GGP56" s="913"/>
      <c r="GGQ56" s="913"/>
      <c r="GGR56" s="913"/>
      <c r="GGS56" s="913"/>
      <c r="GGT56" s="913"/>
      <c r="GGU56" s="913"/>
      <c r="GGV56" s="913"/>
      <c r="GGW56" s="913"/>
      <c r="GGX56" s="913"/>
      <c r="GGY56" s="913"/>
      <c r="GGZ56" s="913"/>
      <c r="GHA56" s="913"/>
      <c r="GHB56" s="913"/>
      <c r="GHC56" s="913"/>
      <c r="GHD56" s="913"/>
      <c r="GHE56" s="913"/>
      <c r="GHF56" s="913"/>
      <c r="GHG56" s="913"/>
      <c r="GHH56" s="913"/>
      <c r="GHI56" s="913"/>
      <c r="GHJ56" s="913"/>
      <c r="GHK56" s="913"/>
      <c r="GHL56" s="913"/>
      <c r="GHM56" s="913"/>
      <c r="GHN56" s="913"/>
      <c r="GHO56" s="913"/>
      <c r="GHP56" s="913"/>
      <c r="GHQ56" s="913"/>
      <c r="GHR56" s="913"/>
      <c r="GHS56" s="913"/>
      <c r="GHT56" s="913"/>
      <c r="GHU56" s="913"/>
      <c r="GHV56" s="913"/>
      <c r="GHW56" s="913"/>
      <c r="GHX56" s="913"/>
      <c r="GHY56" s="913"/>
      <c r="GHZ56" s="913"/>
      <c r="GIA56" s="913"/>
      <c r="GIB56" s="913"/>
      <c r="GIC56" s="913"/>
      <c r="GID56" s="913"/>
      <c r="GIE56" s="913"/>
      <c r="GIF56" s="913"/>
      <c r="GIG56" s="913"/>
      <c r="GIH56" s="913"/>
      <c r="GII56" s="913"/>
      <c r="GIJ56" s="913"/>
      <c r="GIK56" s="913"/>
      <c r="GIL56" s="913"/>
      <c r="GIM56" s="913"/>
      <c r="GIN56" s="913"/>
      <c r="GIO56" s="913"/>
      <c r="GIP56" s="913"/>
      <c r="GIQ56" s="913"/>
      <c r="GIR56" s="913"/>
      <c r="GIS56" s="913"/>
      <c r="GIT56" s="913"/>
      <c r="GIU56" s="913"/>
      <c r="GIV56" s="913"/>
      <c r="GIW56" s="913"/>
      <c r="GIX56" s="913"/>
      <c r="GIY56" s="913"/>
      <c r="GIZ56" s="913"/>
      <c r="GJA56" s="913"/>
      <c r="GJB56" s="913"/>
      <c r="GJC56" s="913"/>
      <c r="GJD56" s="913"/>
      <c r="GJE56" s="913"/>
      <c r="GJF56" s="913"/>
      <c r="GJG56" s="913"/>
      <c r="GJH56" s="913"/>
      <c r="GJI56" s="913"/>
      <c r="GJJ56" s="913"/>
      <c r="GJK56" s="913"/>
      <c r="GJL56" s="913"/>
      <c r="GJM56" s="913"/>
      <c r="GJN56" s="913"/>
      <c r="GJO56" s="913"/>
      <c r="GJP56" s="913"/>
      <c r="GJQ56" s="913"/>
      <c r="GJR56" s="913"/>
      <c r="GJS56" s="913"/>
      <c r="GJT56" s="913"/>
      <c r="GJU56" s="913"/>
      <c r="GJV56" s="913"/>
      <c r="GJW56" s="913"/>
      <c r="GJX56" s="913"/>
      <c r="GJY56" s="913"/>
      <c r="GJZ56" s="913"/>
      <c r="GKA56" s="913"/>
      <c r="GKB56" s="913"/>
      <c r="GKC56" s="913"/>
      <c r="GKD56" s="913"/>
      <c r="GKE56" s="913"/>
      <c r="GKF56" s="913"/>
      <c r="GKG56" s="913"/>
      <c r="GKH56" s="913"/>
      <c r="GKI56" s="913"/>
      <c r="GKJ56" s="913"/>
      <c r="GKK56" s="913"/>
      <c r="GKL56" s="913"/>
      <c r="GKM56" s="913"/>
      <c r="GKN56" s="913"/>
      <c r="GKO56" s="913"/>
      <c r="GKP56" s="913"/>
      <c r="GKQ56" s="913"/>
      <c r="GKR56" s="913"/>
      <c r="GKS56" s="913"/>
      <c r="GKT56" s="913"/>
      <c r="GKU56" s="913"/>
      <c r="GKV56" s="913"/>
      <c r="GKW56" s="913"/>
      <c r="GKX56" s="913"/>
      <c r="GKY56" s="913"/>
      <c r="GKZ56" s="913"/>
      <c r="GLA56" s="913"/>
      <c r="GLB56" s="913"/>
      <c r="GLC56" s="913"/>
      <c r="GLD56" s="913"/>
      <c r="GLE56" s="913"/>
      <c r="GLF56" s="913"/>
      <c r="GLG56" s="913"/>
      <c r="GLH56" s="913"/>
      <c r="GLI56" s="913"/>
      <c r="GLJ56" s="913"/>
      <c r="GLK56" s="913"/>
      <c r="GLL56" s="913"/>
      <c r="GLM56" s="913"/>
      <c r="GLN56" s="913"/>
      <c r="GLO56" s="913"/>
      <c r="GLP56" s="913"/>
      <c r="GLQ56" s="913"/>
      <c r="GLR56" s="913"/>
      <c r="GLS56" s="913"/>
      <c r="GLT56" s="913"/>
      <c r="GLU56" s="913"/>
      <c r="GLV56" s="913"/>
      <c r="GLW56" s="913"/>
      <c r="GLX56" s="913"/>
      <c r="GLY56" s="913"/>
      <c r="GLZ56" s="913"/>
      <c r="GMA56" s="913"/>
      <c r="GMB56" s="913"/>
      <c r="GMC56" s="913"/>
      <c r="GMD56" s="913"/>
      <c r="GME56" s="913"/>
      <c r="GMF56" s="913"/>
      <c r="GMG56" s="913"/>
      <c r="GMH56" s="913"/>
      <c r="GMI56" s="913"/>
      <c r="GMJ56" s="913"/>
      <c r="GMK56" s="913"/>
      <c r="GML56" s="913"/>
      <c r="GMM56" s="913"/>
      <c r="GMN56" s="913"/>
      <c r="GMO56" s="913"/>
      <c r="GMP56" s="913"/>
      <c r="GMQ56" s="913"/>
      <c r="GMR56" s="913"/>
      <c r="GMS56" s="913"/>
      <c r="GMT56" s="913"/>
      <c r="GMU56" s="913"/>
      <c r="GMV56" s="913"/>
      <c r="GMW56" s="913"/>
      <c r="GMX56" s="913"/>
      <c r="GMY56" s="913"/>
      <c r="GMZ56" s="913"/>
      <c r="GNA56" s="913"/>
      <c r="GNB56" s="913"/>
      <c r="GNC56" s="913"/>
      <c r="GND56" s="913"/>
      <c r="GNE56" s="913"/>
      <c r="GNF56" s="913"/>
      <c r="GNG56" s="913"/>
      <c r="GNH56" s="913"/>
      <c r="GNI56" s="913"/>
      <c r="GNJ56" s="913"/>
      <c r="GNK56" s="913"/>
      <c r="GNL56" s="913"/>
      <c r="GNM56" s="913"/>
      <c r="GNN56" s="913"/>
      <c r="GNO56" s="913"/>
      <c r="GNP56" s="913"/>
      <c r="GNQ56" s="913"/>
      <c r="GNR56" s="913"/>
      <c r="GNS56" s="913"/>
      <c r="GNT56" s="913"/>
      <c r="GNU56" s="913"/>
      <c r="GNV56" s="913"/>
      <c r="GNW56" s="913"/>
      <c r="GNX56" s="913"/>
      <c r="GNY56" s="913"/>
      <c r="GNZ56" s="913"/>
      <c r="GOA56" s="913"/>
      <c r="GOB56" s="913"/>
      <c r="GOC56" s="913"/>
      <c r="GOD56" s="913"/>
      <c r="GOE56" s="913"/>
      <c r="GOF56" s="913"/>
      <c r="GOG56" s="913"/>
      <c r="GOH56" s="913"/>
      <c r="GOI56" s="913"/>
      <c r="GOJ56" s="913"/>
      <c r="GOK56" s="913"/>
      <c r="GOL56" s="913"/>
      <c r="GOM56" s="913"/>
      <c r="GON56" s="913"/>
      <c r="GOO56" s="913"/>
      <c r="GOP56" s="913"/>
      <c r="GOQ56" s="913"/>
      <c r="GOR56" s="913"/>
      <c r="GOS56" s="913"/>
      <c r="GOT56" s="913"/>
      <c r="GOU56" s="913"/>
      <c r="GOV56" s="913"/>
      <c r="GOW56" s="913"/>
      <c r="GOX56" s="913"/>
      <c r="GOY56" s="913"/>
      <c r="GOZ56" s="913"/>
      <c r="GPA56" s="913"/>
      <c r="GPB56" s="913"/>
      <c r="GPC56" s="913"/>
      <c r="GPD56" s="913"/>
      <c r="GPE56" s="913"/>
      <c r="GPF56" s="913"/>
      <c r="GPG56" s="913"/>
      <c r="GPH56" s="913"/>
      <c r="GPI56" s="913"/>
      <c r="GPJ56" s="913"/>
      <c r="GPK56" s="913"/>
      <c r="GPL56" s="913"/>
      <c r="GPM56" s="913"/>
      <c r="GPN56" s="913"/>
      <c r="GPO56" s="913"/>
      <c r="GPP56" s="913"/>
      <c r="GPQ56" s="913"/>
      <c r="GPR56" s="913"/>
      <c r="GPS56" s="913"/>
      <c r="GPT56" s="913"/>
      <c r="GPU56" s="913"/>
      <c r="GPV56" s="913"/>
      <c r="GPW56" s="913"/>
      <c r="GPX56" s="913"/>
      <c r="GPY56" s="913"/>
      <c r="GPZ56" s="913"/>
      <c r="GQA56" s="913"/>
      <c r="GQB56" s="913"/>
      <c r="GQC56" s="913"/>
      <c r="GQD56" s="913"/>
      <c r="GQE56" s="913"/>
      <c r="GQF56" s="913"/>
      <c r="GQG56" s="913"/>
      <c r="GQH56" s="913"/>
      <c r="GQI56" s="913"/>
      <c r="GQJ56" s="913"/>
      <c r="GQK56" s="913"/>
      <c r="GQL56" s="913"/>
      <c r="GQM56" s="913"/>
      <c r="GQN56" s="913"/>
      <c r="GQO56" s="913"/>
      <c r="GQP56" s="913"/>
      <c r="GQQ56" s="913"/>
      <c r="GQR56" s="913"/>
      <c r="GQS56" s="913"/>
      <c r="GQT56" s="913"/>
      <c r="GQU56" s="913"/>
      <c r="GQV56" s="913"/>
      <c r="GQW56" s="913"/>
      <c r="GQX56" s="913"/>
      <c r="GQY56" s="913"/>
      <c r="GQZ56" s="913"/>
      <c r="GRA56" s="913"/>
      <c r="GRB56" s="913"/>
      <c r="GRC56" s="913"/>
      <c r="GRD56" s="913"/>
      <c r="GRE56" s="913"/>
      <c r="GRF56" s="913"/>
      <c r="GRG56" s="913"/>
      <c r="GRH56" s="913"/>
      <c r="GRI56" s="913"/>
      <c r="GRJ56" s="913"/>
      <c r="GRK56" s="913"/>
      <c r="GRL56" s="913"/>
      <c r="GRM56" s="913"/>
      <c r="GRN56" s="913"/>
      <c r="GRO56" s="913"/>
      <c r="GRP56" s="913"/>
      <c r="GRQ56" s="913"/>
      <c r="GRR56" s="913"/>
      <c r="GRS56" s="913"/>
      <c r="GRT56" s="913"/>
      <c r="GRU56" s="913"/>
      <c r="GRV56" s="913"/>
      <c r="GRW56" s="913"/>
      <c r="GRX56" s="913"/>
      <c r="GRY56" s="913"/>
      <c r="GRZ56" s="913"/>
      <c r="GSA56" s="913"/>
      <c r="GSB56" s="913"/>
      <c r="GSC56" s="913"/>
      <c r="GSD56" s="913"/>
      <c r="GSE56" s="913"/>
      <c r="GSF56" s="913"/>
      <c r="GSG56" s="913"/>
      <c r="GSH56" s="913"/>
      <c r="GSI56" s="913"/>
      <c r="GSJ56" s="913"/>
      <c r="GSK56" s="913"/>
      <c r="GSL56" s="913"/>
      <c r="GSM56" s="913"/>
      <c r="GSN56" s="913"/>
      <c r="GSO56" s="913"/>
      <c r="GSP56" s="913"/>
      <c r="GSQ56" s="913"/>
      <c r="GSR56" s="913"/>
      <c r="GSS56" s="913"/>
      <c r="GST56" s="913"/>
      <c r="GSU56" s="913"/>
      <c r="GSV56" s="913"/>
      <c r="GSW56" s="913"/>
      <c r="GSX56" s="913"/>
      <c r="GSY56" s="913"/>
      <c r="GSZ56" s="913"/>
      <c r="GTA56" s="913"/>
      <c r="GTB56" s="913"/>
      <c r="GTC56" s="913"/>
      <c r="GTD56" s="913"/>
      <c r="GTE56" s="913"/>
      <c r="GTF56" s="913"/>
      <c r="GTG56" s="913"/>
      <c r="GTH56" s="913"/>
      <c r="GTI56" s="913"/>
      <c r="GTJ56" s="913"/>
      <c r="GTK56" s="913"/>
      <c r="GTL56" s="913"/>
      <c r="GTM56" s="913"/>
      <c r="GTN56" s="913"/>
      <c r="GTO56" s="913"/>
      <c r="GTP56" s="913"/>
      <c r="GTQ56" s="913"/>
      <c r="GTR56" s="913"/>
      <c r="GTS56" s="913"/>
      <c r="GTT56" s="913"/>
      <c r="GTU56" s="913"/>
      <c r="GTV56" s="913"/>
      <c r="GTW56" s="913"/>
      <c r="GTX56" s="913"/>
      <c r="GTY56" s="913"/>
      <c r="GTZ56" s="913"/>
      <c r="GUA56" s="913"/>
      <c r="GUB56" s="913"/>
      <c r="GUC56" s="913"/>
      <c r="GUD56" s="913"/>
      <c r="GUE56" s="913"/>
      <c r="GUF56" s="913"/>
      <c r="GUG56" s="913"/>
      <c r="GUH56" s="913"/>
      <c r="GUI56" s="913"/>
      <c r="GUJ56" s="913"/>
      <c r="GUK56" s="913"/>
      <c r="GUL56" s="913"/>
      <c r="GUM56" s="913"/>
      <c r="GUN56" s="913"/>
      <c r="GUO56" s="913"/>
      <c r="GUP56" s="913"/>
      <c r="GUQ56" s="913"/>
      <c r="GUR56" s="913"/>
      <c r="GUS56" s="913"/>
      <c r="GUT56" s="913"/>
      <c r="GUU56" s="913"/>
      <c r="GUV56" s="913"/>
      <c r="GUW56" s="913"/>
      <c r="GUX56" s="913"/>
      <c r="GUY56" s="913"/>
      <c r="GUZ56" s="913"/>
      <c r="GVA56" s="913"/>
      <c r="GVB56" s="913"/>
      <c r="GVC56" s="913"/>
      <c r="GVD56" s="913"/>
      <c r="GVE56" s="913"/>
      <c r="GVF56" s="913"/>
      <c r="GVG56" s="913"/>
      <c r="GVH56" s="913"/>
      <c r="GVI56" s="913"/>
      <c r="GVJ56" s="913"/>
      <c r="GVK56" s="913"/>
      <c r="GVL56" s="913"/>
      <c r="GVM56" s="913"/>
      <c r="GVN56" s="913"/>
      <c r="GVO56" s="913"/>
      <c r="GVP56" s="913"/>
      <c r="GVQ56" s="913"/>
      <c r="GVR56" s="913"/>
      <c r="GVS56" s="913"/>
      <c r="GVT56" s="913"/>
      <c r="GVU56" s="913"/>
      <c r="GVV56" s="913"/>
      <c r="GVW56" s="913"/>
      <c r="GVX56" s="913"/>
      <c r="GVY56" s="913"/>
      <c r="GVZ56" s="913"/>
      <c r="GWA56" s="913"/>
      <c r="GWB56" s="913"/>
      <c r="GWC56" s="913"/>
      <c r="GWD56" s="913"/>
      <c r="GWE56" s="913"/>
      <c r="GWF56" s="913"/>
      <c r="GWG56" s="913"/>
      <c r="GWH56" s="913"/>
      <c r="GWI56" s="913"/>
      <c r="GWJ56" s="913"/>
      <c r="GWK56" s="913"/>
      <c r="GWL56" s="913"/>
      <c r="GWM56" s="913"/>
      <c r="GWN56" s="913"/>
      <c r="GWO56" s="913"/>
      <c r="GWP56" s="913"/>
      <c r="GWQ56" s="913"/>
      <c r="GWR56" s="913"/>
      <c r="GWS56" s="913"/>
      <c r="GWT56" s="913"/>
      <c r="GWU56" s="913"/>
      <c r="GWV56" s="913"/>
      <c r="GWW56" s="913"/>
      <c r="GWX56" s="913"/>
      <c r="GWY56" s="913"/>
      <c r="GWZ56" s="913"/>
      <c r="GXA56" s="913"/>
      <c r="GXB56" s="913"/>
      <c r="GXC56" s="913"/>
      <c r="GXD56" s="913"/>
      <c r="GXE56" s="913"/>
      <c r="GXF56" s="913"/>
      <c r="GXG56" s="913"/>
      <c r="GXH56" s="913"/>
      <c r="GXI56" s="913"/>
      <c r="GXJ56" s="913"/>
      <c r="GXK56" s="913"/>
      <c r="GXL56" s="913"/>
      <c r="GXM56" s="913"/>
      <c r="GXN56" s="913"/>
      <c r="GXO56" s="913"/>
      <c r="GXP56" s="913"/>
      <c r="GXQ56" s="913"/>
      <c r="GXR56" s="913"/>
      <c r="GXS56" s="913"/>
      <c r="GXT56" s="913"/>
      <c r="GXU56" s="913"/>
      <c r="GXV56" s="913"/>
      <c r="GXW56" s="913"/>
      <c r="GXX56" s="913"/>
      <c r="GXY56" s="913"/>
      <c r="GXZ56" s="913"/>
      <c r="GYA56" s="913"/>
      <c r="GYB56" s="913"/>
      <c r="GYC56" s="913"/>
      <c r="GYD56" s="913"/>
      <c r="GYE56" s="913"/>
      <c r="GYF56" s="913"/>
      <c r="GYG56" s="913"/>
      <c r="GYH56" s="913"/>
      <c r="GYI56" s="913"/>
      <c r="GYJ56" s="913"/>
      <c r="GYK56" s="913"/>
      <c r="GYL56" s="913"/>
      <c r="GYM56" s="913"/>
      <c r="GYN56" s="913"/>
      <c r="GYO56" s="913"/>
      <c r="GYP56" s="913"/>
      <c r="GYQ56" s="913"/>
      <c r="GYR56" s="913"/>
      <c r="GYS56" s="913"/>
      <c r="GYT56" s="913"/>
      <c r="GYU56" s="913"/>
      <c r="GYV56" s="913"/>
      <c r="GYW56" s="913"/>
      <c r="GYX56" s="913"/>
      <c r="GYY56" s="913"/>
      <c r="GYZ56" s="913"/>
      <c r="GZA56" s="913"/>
      <c r="GZB56" s="913"/>
      <c r="GZC56" s="913"/>
      <c r="GZD56" s="913"/>
      <c r="GZE56" s="913"/>
      <c r="GZF56" s="913"/>
      <c r="GZG56" s="913"/>
      <c r="GZH56" s="913"/>
      <c r="GZI56" s="913"/>
      <c r="GZJ56" s="913"/>
      <c r="GZK56" s="913"/>
      <c r="GZL56" s="913"/>
      <c r="GZM56" s="913"/>
      <c r="GZN56" s="913"/>
      <c r="GZO56" s="913"/>
      <c r="GZP56" s="913"/>
      <c r="GZQ56" s="913"/>
      <c r="GZR56" s="913"/>
      <c r="GZS56" s="913"/>
      <c r="GZT56" s="913"/>
      <c r="GZU56" s="913"/>
      <c r="GZV56" s="913"/>
      <c r="GZW56" s="913"/>
      <c r="GZX56" s="913"/>
      <c r="GZY56" s="913"/>
      <c r="GZZ56" s="913"/>
      <c r="HAA56" s="913"/>
      <c r="HAB56" s="913"/>
      <c r="HAC56" s="913"/>
      <c r="HAD56" s="913"/>
      <c r="HAE56" s="913"/>
      <c r="HAF56" s="913"/>
      <c r="HAG56" s="913"/>
      <c r="HAH56" s="913"/>
      <c r="HAI56" s="913"/>
      <c r="HAJ56" s="913"/>
      <c r="HAK56" s="913"/>
      <c r="HAL56" s="913"/>
      <c r="HAM56" s="913"/>
      <c r="HAN56" s="913"/>
      <c r="HAO56" s="913"/>
      <c r="HAP56" s="913"/>
      <c r="HAQ56" s="913"/>
      <c r="HAR56" s="913"/>
      <c r="HAS56" s="913"/>
      <c r="HAT56" s="913"/>
      <c r="HAU56" s="913"/>
      <c r="HAV56" s="913"/>
      <c r="HAW56" s="913"/>
      <c r="HAX56" s="913"/>
      <c r="HAY56" s="913"/>
      <c r="HAZ56" s="913"/>
      <c r="HBA56" s="913"/>
      <c r="HBB56" s="913"/>
      <c r="HBC56" s="913"/>
      <c r="HBD56" s="913"/>
      <c r="HBE56" s="913"/>
      <c r="HBF56" s="913"/>
      <c r="HBG56" s="913"/>
      <c r="HBH56" s="913"/>
      <c r="HBI56" s="913"/>
      <c r="HBJ56" s="913"/>
      <c r="HBK56" s="913"/>
      <c r="HBL56" s="913"/>
      <c r="HBM56" s="913"/>
      <c r="HBN56" s="913"/>
      <c r="HBO56" s="913"/>
      <c r="HBP56" s="913"/>
      <c r="HBQ56" s="913"/>
      <c r="HBR56" s="913"/>
      <c r="HBS56" s="913"/>
      <c r="HBT56" s="913"/>
      <c r="HBU56" s="913"/>
      <c r="HBV56" s="913"/>
      <c r="HBW56" s="913"/>
      <c r="HBX56" s="913"/>
      <c r="HBY56" s="913"/>
      <c r="HBZ56" s="913"/>
      <c r="HCA56" s="913"/>
      <c r="HCB56" s="913"/>
      <c r="HCC56" s="913"/>
      <c r="HCD56" s="913"/>
      <c r="HCE56" s="913"/>
      <c r="HCF56" s="913"/>
      <c r="HCG56" s="913"/>
      <c r="HCH56" s="913"/>
      <c r="HCI56" s="913"/>
      <c r="HCJ56" s="913"/>
      <c r="HCK56" s="913"/>
      <c r="HCL56" s="913"/>
      <c r="HCM56" s="913"/>
      <c r="HCN56" s="913"/>
      <c r="HCO56" s="913"/>
      <c r="HCP56" s="913"/>
      <c r="HCQ56" s="913"/>
      <c r="HCR56" s="913"/>
      <c r="HCS56" s="913"/>
      <c r="HCT56" s="913"/>
      <c r="HCU56" s="913"/>
      <c r="HCV56" s="913"/>
      <c r="HCW56" s="913"/>
      <c r="HCX56" s="913"/>
      <c r="HCY56" s="913"/>
      <c r="HCZ56" s="913"/>
      <c r="HDA56" s="913"/>
      <c r="HDB56" s="913"/>
      <c r="HDC56" s="913"/>
      <c r="HDD56" s="913"/>
      <c r="HDE56" s="913"/>
      <c r="HDF56" s="913"/>
      <c r="HDG56" s="913"/>
      <c r="HDH56" s="913"/>
      <c r="HDI56" s="913"/>
      <c r="HDJ56" s="913"/>
      <c r="HDK56" s="913"/>
      <c r="HDL56" s="913"/>
      <c r="HDM56" s="913"/>
      <c r="HDN56" s="913"/>
      <c r="HDO56" s="913"/>
      <c r="HDP56" s="913"/>
      <c r="HDQ56" s="913"/>
      <c r="HDR56" s="913"/>
      <c r="HDS56" s="913"/>
      <c r="HDT56" s="913"/>
      <c r="HDU56" s="913"/>
      <c r="HDV56" s="913"/>
      <c r="HDW56" s="913"/>
      <c r="HDX56" s="913"/>
      <c r="HDY56" s="913"/>
      <c r="HDZ56" s="913"/>
      <c r="HEA56" s="913"/>
      <c r="HEB56" s="913"/>
      <c r="HEC56" s="913"/>
      <c r="HED56" s="913"/>
      <c r="HEE56" s="913"/>
      <c r="HEF56" s="913"/>
      <c r="HEG56" s="913"/>
      <c r="HEH56" s="913"/>
      <c r="HEI56" s="913"/>
      <c r="HEJ56" s="913"/>
      <c r="HEK56" s="913"/>
      <c r="HEL56" s="913"/>
      <c r="HEM56" s="913"/>
      <c r="HEN56" s="913"/>
      <c r="HEO56" s="913"/>
      <c r="HEP56" s="913"/>
      <c r="HEQ56" s="913"/>
      <c r="HER56" s="913"/>
      <c r="HES56" s="913"/>
      <c r="HET56" s="913"/>
      <c r="HEU56" s="913"/>
      <c r="HEV56" s="913"/>
      <c r="HEW56" s="913"/>
      <c r="HEX56" s="913"/>
      <c r="HEY56" s="913"/>
      <c r="HEZ56" s="913"/>
      <c r="HFA56" s="913"/>
      <c r="HFB56" s="913"/>
      <c r="HFC56" s="913"/>
      <c r="HFD56" s="913"/>
      <c r="HFE56" s="913"/>
      <c r="HFF56" s="913"/>
      <c r="HFG56" s="913"/>
      <c r="HFH56" s="913"/>
      <c r="HFI56" s="913"/>
      <c r="HFJ56" s="913"/>
      <c r="HFK56" s="913"/>
      <c r="HFL56" s="913"/>
      <c r="HFM56" s="913"/>
      <c r="HFN56" s="913"/>
      <c r="HFO56" s="913"/>
      <c r="HFP56" s="913"/>
      <c r="HFQ56" s="913"/>
      <c r="HFR56" s="913"/>
      <c r="HFS56" s="913"/>
      <c r="HFT56" s="913"/>
      <c r="HFU56" s="913"/>
      <c r="HFV56" s="913"/>
      <c r="HFW56" s="913"/>
      <c r="HFX56" s="913"/>
      <c r="HFY56" s="913"/>
      <c r="HFZ56" s="913"/>
      <c r="HGA56" s="913"/>
      <c r="HGB56" s="913"/>
      <c r="HGC56" s="913"/>
      <c r="HGD56" s="913"/>
      <c r="HGE56" s="913"/>
      <c r="HGF56" s="913"/>
      <c r="HGG56" s="913"/>
      <c r="HGH56" s="913"/>
      <c r="HGI56" s="913"/>
      <c r="HGJ56" s="913"/>
      <c r="HGK56" s="913"/>
      <c r="HGL56" s="913"/>
      <c r="HGM56" s="913"/>
      <c r="HGN56" s="913"/>
      <c r="HGO56" s="913"/>
      <c r="HGP56" s="913"/>
      <c r="HGQ56" s="913"/>
      <c r="HGR56" s="913"/>
      <c r="HGS56" s="913"/>
      <c r="HGT56" s="913"/>
      <c r="HGU56" s="913"/>
      <c r="HGV56" s="913"/>
      <c r="HGW56" s="913"/>
      <c r="HGX56" s="913"/>
      <c r="HGY56" s="913"/>
      <c r="HGZ56" s="913"/>
      <c r="HHA56" s="913"/>
      <c r="HHB56" s="913"/>
      <c r="HHC56" s="913"/>
      <c r="HHD56" s="913"/>
      <c r="HHE56" s="913"/>
      <c r="HHF56" s="913"/>
      <c r="HHG56" s="913"/>
      <c r="HHH56" s="913"/>
      <c r="HHI56" s="913"/>
      <c r="HHJ56" s="913"/>
      <c r="HHK56" s="913"/>
      <c r="HHL56" s="913"/>
      <c r="HHM56" s="913"/>
      <c r="HHN56" s="913"/>
      <c r="HHO56" s="913"/>
      <c r="HHP56" s="913"/>
      <c r="HHQ56" s="913"/>
      <c r="HHR56" s="913"/>
      <c r="HHS56" s="913"/>
      <c r="HHT56" s="913"/>
      <c r="HHU56" s="913"/>
      <c r="HHV56" s="913"/>
      <c r="HHW56" s="913"/>
      <c r="HHX56" s="913"/>
      <c r="HHY56" s="913"/>
      <c r="HHZ56" s="913"/>
      <c r="HIA56" s="913"/>
      <c r="HIB56" s="913"/>
      <c r="HIC56" s="913"/>
      <c r="HID56" s="913"/>
      <c r="HIE56" s="913"/>
      <c r="HIF56" s="913"/>
      <c r="HIG56" s="913"/>
      <c r="HIH56" s="913"/>
      <c r="HII56" s="913"/>
      <c r="HIJ56" s="913"/>
      <c r="HIK56" s="913"/>
      <c r="HIL56" s="913"/>
      <c r="HIM56" s="913"/>
      <c r="HIN56" s="913"/>
      <c r="HIO56" s="913"/>
      <c r="HIP56" s="913"/>
      <c r="HIQ56" s="913"/>
      <c r="HIR56" s="913"/>
      <c r="HIS56" s="913"/>
      <c r="HIT56" s="913"/>
      <c r="HIU56" s="913"/>
      <c r="HIV56" s="913"/>
      <c r="HIW56" s="913"/>
      <c r="HIX56" s="913"/>
      <c r="HIY56" s="913"/>
      <c r="HIZ56" s="913"/>
      <c r="HJA56" s="913"/>
      <c r="HJB56" s="913"/>
      <c r="HJC56" s="913"/>
      <c r="HJD56" s="913"/>
      <c r="HJE56" s="913"/>
      <c r="HJF56" s="913"/>
      <c r="HJG56" s="913"/>
      <c r="HJH56" s="913"/>
      <c r="HJI56" s="913"/>
      <c r="HJJ56" s="913"/>
      <c r="HJK56" s="913"/>
      <c r="HJL56" s="913"/>
      <c r="HJM56" s="913"/>
      <c r="HJN56" s="913"/>
      <c r="HJO56" s="913"/>
      <c r="HJP56" s="913"/>
      <c r="HJQ56" s="913"/>
      <c r="HJR56" s="913"/>
      <c r="HJS56" s="913"/>
      <c r="HJT56" s="913"/>
      <c r="HJU56" s="913"/>
      <c r="HJV56" s="913"/>
      <c r="HJW56" s="913"/>
      <c r="HJX56" s="913"/>
      <c r="HJY56" s="913"/>
      <c r="HJZ56" s="913"/>
      <c r="HKA56" s="913"/>
      <c r="HKB56" s="913"/>
      <c r="HKC56" s="913"/>
      <c r="HKD56" s="913"/>
      <c r="HKE56" s="913"/>
      <c r="HKF56" s="913"/>
      <c r="HKG56" s="913"/>
      <c r="HKH56" s="913"/>
      <c r="HKI56" s="913"/>
      <c r="HKJ56" s="913"/>
      <c r="HKK56" s="913"/>
      <c r="HKL56" s="913"/>
      <c r="HKM56" s="913"/>
      <c r="HKN56" s="913"/>
      <c r="HKO56" s="913"/>
      <c r="HKP56" s="913"/>
      <c r="HKQ56" s="913"/>
      <c r="HKR56" s="913"/>
      <c r="HKS56" s="913"/>
      <c r="HKT56" s="913"/>
      <c r="HKU56" s="913"/>
      <c r="HKV56" s="913"/>
      <c r="HKW56" s="913"/>
      <c r="HKX56" s="913"/>
      <c r="HKY56" s="913"/>
      <c r="HKZ56" s="913"/>
      <c r="HLA56" s="913"/>
      <c r="HLB56" s="913"/>
      <c r="HLC56" s="913"/>
      <c r="HLD56" s="913"/>
      <c r="HLE56" s="913"/>
      <c r="HLF56" s="913"/>
      <c r="HLG56" s="913"/>
      <c r="HLH56" s="913"/>
      <c r="HLI56" s="913"/>
      <c r="HLJ56" s="913"/>
      <c r="HLK56" s="913"/>
      <c r="HLL56" s="913"/>
      <c r="HLM56" s="913"/>
      <c r="HLN56" s="913"/>
      <c r="HLO56" s="913"/>
      <c r="HLP56" s="913"/>
      <c r="HLQ56" s="913"/>
      <c r="HLR56" s="913"/>
      <c r="HLS56" s="913"/>
      <c r="HLT56" s="913"/>
      <c r="HLU56" s="913"/>
      <c r="HLV56" s="913"/>
      <c r="HLW56" s="913"/>
      <c r="HLX56" s="913"/>
      <c r="HLY56" s="913"/>
      <c r="HLZ56" s="913"/>
      <c r="HMA56" s="913"/>
      <c r="HMB56" s="913"/>
      <c r="HMC56" s="913"/>
      <c r="HMD56" s="913"/>
      <c r="HME56" s="913"/>
      <c r="HMF56" s="913"/>
      <c r="HMG56" s="913"/>
      <c r="HMH56" s="913"/>
      <c r="HMI56" s="913"/>
      <c r="HMJ56" s="913"/>
      <c r="HMK56" s="913"/>
      <c r="HML56" s="913"/>
      <c r="HMM56" s="913"/>
      <c r="HMN56" s="913"/>
      <c r="HMO56" s="913"/>
      <c r="HMP56" s="913"/>
      <c r="HMQ56" s="913"/>
      <c r="HMR56" s="913"/>
      <c r="HMS56" s="913"/>
      <c r="HMT56" s="913"/>
      <c r="HMU56" s="913"/>
      <c r="HMV56" s="913"/>
      <c r="HMW56" s="913"/>
      <c r="HMX56" s="913"/>
      <c r="HMY56" s="913"/>
      <c r="HMZ56" s="913"/>
      <c r="HNA56" s="913"/>
      <c r="HNB56" s="913"/>
      <c r="HNC56" s="913"/>
      <c r="HND56" s="913"/>
      <c r="HNE56" s="913"/>
      <c r="HNF56" s="913"/>
      <c r="HNG56" s="913"/>
      <c r="HNH56" s="913"/>
      <c r="HNI56" s="913"/>
      <c r="HNJ56" s="913"/>
      <c r="HNK56" s="913"/>
      <c r="HNL56" s="913"/>
      <c r="HNM56" s="913"/>
      <c r="HNN56" s="913"/>
      <c r="HNO56" s="913"/>
      <c r="HNP56" s="913"/>
      <c r="HNQ56" s="913"/>
      <c r="HNR56" s="913"/>
      <c r="HNS56" s="913"/>
      <c r="HNT56" s="913"/>
      <c r="HNU56" s="913"/>
      <c r="HNV56" s="913"/>
      <c r="HNW56" s="913"/>
      <c r="HNX56" s="913"/>
      <c r="HNY56" s="913"/>
      <c r="HNZ56" s="913"/>
      <c r="HOA56" s="913"/>
      <c r="HOB56" s="913"/>
      <c r="HOC56" s="913"/>
      <c r="HOD56" s="913"/>
      <c r="HOE56" s="913"/>
      <c r="HOF56" s="913"/>
      <c r="HOG56" s="913"/>
      <c r="HOH56" s="913"/>
      <c r="HOI56" s="913"/>
      <c r="HOJ56" s="913"/>
      <c r="HOK56" s="913"/>
      <c r="HOL56" s="913"/>
      <c r="HOM56" s="913"/>
      <c r="HON56" s="913"/>
      <c r="HOO56" s="913"/>
      <c r="HOP56" s="913"/>
      <c r="HOQ56" s="913"/>
      <c r="HOR56" s="913"/>
      <c r="HOS56" s="913"/>
      <c r="HOT56" s="913"/>
      <c r="HOU56" s="913"/>
      <c r="HOV56" s="913"/>
      <c r="HOW56" s="913"/>
      <c r="HOX56" s="913"/>
      <c r="HOY56" s="913"/>
      <c r="HOZ56" s="913"/>
      <c r="HPA56" s="913"/>
      <c r="HPB56" s="913"/>
      <c r="HPC56" s="913"/>
      <c r="HPD56" s="913"/>
      <c r="HPE56" s="913"/>
      <c r="HPF56" s="913"/>
      <c r="HPG56" s="913"/>
      <c r="HPH56" s="913"/>
      <c r="HPI56" s="913"/>
      <c r="HPJ56" s="913"/>
      <c r="HPK56" s="913"/>
      <c r="HPL56" s="913"/>
      <c r="HPM56" s="913"/>
      <c r="HPN56" s="913"/>
      <c r="HPO56" s="913"/>
      <c r="HPP56" s="913"/>
      <c r="HPQ56" s="913"/>
      <c r="HPR56" s="913"/>
      <c r="HPS56" s="913"/>
      <c r="HPT56" s="913"/>
      <c r="HPU56" s="913"/>
      <c r="HPV56" s="913"/>
      <c r="HPW56" s="913"/>
      <c r="HPX56" s="913"/>
      <c r="HPY56" s="913"/>
      <c r="HPZ56" s="913"/>
      <c r="HQA56" s="913"/>
      <c r="HQB56" s="913"/>
      <c r="HQC56" s="913"/>
      <c r="HQD56" s="913"/>
      <c r="HQE56" s="913"/>
      <c r="HQF56" s="913"/>
      <c r="HQG56" s="913"/>
      <c r="HQH56" s="913"/>
      <c r="HQI56" s="913"/>
      <c r="HQJ56" s="913"/>
      <c r="HQK56" s="913"/>
      <c r="HQL56" s="913"/>
      <c r="HQM56" s="913"/>
      <c r="HQN56" s="913"/>
      <c r="HQO56" s="913"/>
      <c r="HQP56" s="913"/>
      <c r="HQQ56" s="913"/>
      <c r="HQR56" s="913"/>
      <c r="HQS56" s="913"/>
      <c r="HQT56" s="913"/>
      <c r="HQU56" s="913"/>
      <c r="HQV56" s="913"/>
      <c r="HQW56" s="913"/>
      <c r="HQX56" s="913"/>
      <c r="HQY56" s="913"/>
      <c r="HQZ56" s="913"/>
      <c r="HRA56" s="913"/>
      <c r="HRB56" s="913"/>
      <c r="HRC56" s="913"/>
      <c r="HRD56" s="913"/>
      <c r="HRE56" s="913"/>
      <c r="HRF56" s="913"/>
      <c r="HRG56" s="913"/>
      <c r="HRH56" s="913"/>
      <c r="HRI56" s="913"/>
      <c r="HRJ56" s="913"/>
      <c r="HRK56" s="913"/>
      <c r="HRL56" s="913"/>
      <c r="HRM56" s="913"/>
      <c r="HRN56" s="913"/>
      <c r="HRO56" s="913"/>
      <c r="HRP56" s="913"/>
      <c r="HRQ56" s="913"/>
      <c r="HRR56" s="913"/>
      <c r="HRS56" s="913"/>
      <c r="HRT56" s="913"/>
      <c r="HRU56" s="913"/>
      <c r="HRV56" s="913"/>
      <c r="HRW56" s="913"/>
      <c r="HRX56" s="913"/>
      <c r="HRY56" s="913"/>
      <c r="HRZ56" s="913"/>
      <c r="HSA56" s="913"/>
      <c r="HSB56" s="913"/>
      <c r="HSC56" s="913"/>
      <c r="HSD56" s="913"/>
      <c r="HSE56" s="913"/>
      <c r="HSF56" s="913"/>
      <c r="HSG56" s="913"/>
      <c r="HSH56" s="913"/>
      <c r="HSI56" s="913"/>
      <c r="HSJ56" s="913"/>
      <c r="HSK56" s="913"/>
      <c r="HSL56" s="913"/>
      <c r="HSM56" s="913"/>
      <c r="HSN56" s="913"/>
      <c r="HSO56" s="913"/>
      <c r="HSP56" s="913"/>
      <c r="HSQ56" s="913"/>
      <c r="HSR56" s="913"/>
      <c r="HSS56" s="913"/>
      <c r="HST56" s="913"/>
      <c r="HSU56" s="913"/>
      <c r="HSV56" s="913"/>
      <c r="HSW56" s="913"/>
      <c r="HSX56" s="913"/>
      <c r="HSY56" s="913"/>
      <c r="HSZ56" s="913"/>
      <c r="HTA56" s="913"/>
      <c r="HTB56" s="913"/>
      <c r="HTC56" s="913"/>
      <c r="HTD56" s="913"/>
      <c r="HTE56" s="913"/>
      <c r="HTF56" s="913"/>
      <c r="HTG56" s="913"/>
      <c r="HTH56" s="913"/>
      <c r="HTI56" s="913"/>
      <c r="HTJ56" s="913"/>
      <c r="HTK56" s="913"/>
      <c r="HTL56" s="913"/>
      <c r="HTM56" s="913"/>
      <c r="HTN56" s="913"/>
      <c r="HTO56" s="913"/>
      <c r="HTP56" s="913"/>
      <c r="HTQ56" s="913"/>
      <c r="HTR56" s="913"/>
      <c r="HTS56" s="913"/>
      <c r="HTT56" s="913"/>
      <c r="HTU56" s="913"/>
      <c r="HTV56" s="913"/>
      <c r="HTW56" s="913"/>
      <c r="HTX56" s="913"/>
      <c r="HTY56" s="913"/>
      <c r="HTZ56" s="913"/>
      <c r="HUA56" s="913"/>
      <c r="HUB56" s="913"/>
      <c r="HUC56" s="913"/>
      <c r="HUD56" s="913"/>
      <c r="HUE56" s="913"/>
      <c r="HUF56" s="913"/>
      <c r="HUG56" s="913"/>
      <c r="HUH56" s="913"/>
      <c r="HUI56" s="913"/>
      <c r="HUJ56" s="913"/>
      <c r="HUK56" s="913"/>
      <c r="HUL56" s="913"/>
      <c r="HUM56" s="913"/>
      <c r="HUN56" s="913"/>
      <c r="HUO56" s="913"/>
      <c r="HUP56" s="913"/>
      <c r="HUQ56" s="913"/>
      <c r="HUR56" s="913"/>
      <c r="HUS56" s="913"/>
      <c r="HUT56" s="913"/>
      <c r="HUU56" s="913"/>
      <c r="HUV56" s="913"/>
      <c r="HUW56" s="913"/>
      <c r="HUX56" s="913"/>
      <c r="HUY56" s="913"/>
      <c r="HUZ56" s="913"/>
      <c r="HVA56" s="913"/>
      <c r="HVB56" s="913"/>
      <c r="HVC56" s="913"/>
      <c r="HVD56" s="913"/>
      <c r="HVE56" s="913"/>
      <c r="HVF56" s="913"/>
      <c r="HVG56" s="913"/>
      <c r="HVH56" s="913"/>
      <c r="HVI56" s="913"/>
      <c r="HVJ56" s="913"/>
      <c r="HVK56" s="913"/>
      <c r="HVL56" s="913"/>
      <c r="HVM56" s="913"/>
      <c r="HVN56" s="913"/>
      <c r="HVO56" s="913"/>
      <c r="HVP56" s="913"/>
      <c r="HVQ56" s="913"/>
      <c r="HVR56" s="913"/>
      <c r="HVS56" s="913"/>
      <c r="HVT56" s="913"/>
      <c r="HVU56" s="913"/>
      <c r="HVV56" s="913"/>
      <c r="HVW56" s="913"/>
      <c r="HVX56" s="913"/>
      <c r="HVY56" s="913"/>
      <c r="HVZ56" s="913"/>
      <c r="HWA56" s="913"/>
      <c r="HWB56" s="913"/>
      <c r="HWC56" s="913"/>
      <c r="HWD56" s="913"/>
      <c r="HWE56" s="913"/>
      <c r="HWF56" s="913"/>
      <c r="HWG56" s="913"/>
      <c r="HWH56" s="913"/>
      <c r="HWI56" s="913"/>
      <c r="HWJ56" s="913"/>
      <c r="HWK56" s="913"/>
      <c r="HWL56" s="913"/>
      <c r="HWM56" s="913"/>
      <c r="HWN56" s="913"/>
      <c r="HWO56" s="913"/>
      <c r="HWP56" s="913"/>
      <c r="HWQ56" s="913"/>
      <c r="HWR56" s="913"/>
      <c r="HWS56" s="913"/>
      <c r="HWT56" s="913"/>
      <c r="HWU56" s="913"/>
      <c r="HWV56" s="913"/>
      <c r="HWW56" s="913"/>
      <c r="HWX56" s="913"/>
      <c r="HWY56" s="913"/>
      <c r="HWZ56" s="913"/>
      <c r="HXA56" s="913"/>
      <c r="HXB56" s="913"/>
      <c r="HXC56" s="913"/>
      <c r="HXD56" s="913"/>
      <c r="HXE56" s="913"/>
      <c r="HXF56" s="913"/>
      <c r="HXG56" s="913"/>
      <c r="HXH56" s="913"/>
      <c r="HXI56" s="913"/>
      <c r="HXJ56" s="913"/>
      <c r="HXK56" s="913"/>
      <c r="HXL56" s="913"/>
      <c r="HXM56" s="913"/>
      <c r="HXN56" s="913"/>
      <c r="HXO56" s="913"/>
      <c r="HXP56" s="913"/>
      <c r="HXQ56" s="913"/>
      <c r="HXR56" s="913"/>
      <c r="HXS56" s="913"/>
      <c r="HXT56" s="913"/>
      <c r="HXU56" s="913"/>
      <c r="HXV56" s="913"/>
      <c r="HXW56" s="913"/>
      <c r="HXX56" s="913"/>
      <c r="HXY56" s="913"/>
      <c r="HXZ56" s="913"/>
      <c r="HYA56" s="913"/>
      <c r="HYB56" s="913"/>
      <c r="HYC56" s="913"/>
      <c r="HYD56" s="913"/>
      <c r="HYE56" s="913"/>
      <c r="HYF56" s="913"/>
      <c r="HYG56" s="913"/>
      <c r="HYH56" s="913"/>
      <c r="HYI56" s="913"/>
      <c r="HYJ56" s="913"/>
      <c r="HYK56" s="913"/>
      <c r="HYL56" s="913"/>
      <c r="HYM56" s="913"/>
      <c r="HYN56" s="913"/>
      <c r="HYO56" s="913"/>
      <c r="HYP56" s="913"/>
      <c r="HYQ56" s="913"/>
      <c r="HYR56" s="913"/>
      <c r="HYS56" s="913"/>
      <c r="HYT56" s="913"/>
      <c r="HYU56" s="913"/>
      <c r="HYV56" s="913"/>
      <c r="HYW56" s="913"/>
      <c r="HYX56" s="913"/>
      <c r="HYY56" s="913"/>
      <c r="HYZ56" s="913"/>
      <c r="HZA56" s="913"/>
      <c r="HZB56" s="913"/>
      <c r="HZC56" s="913"/>
      <c r="HZD56" s="913"/>
      <c r="HZE56" s="913"/>
      <c r="HZF56" s="913"/>
      <c r="HZG56" s="913"/>
      <c r="HZH56" s="913"/>
      <c r="HZI56" s="913"/>
      <c r="HZJ56" s="913"/>
      <c r="HZK56" s="913"/>
      <c r="HZL56" s="913"/>
      <c r="HZM56" s="913"/>
      <c r="HZN56" s="913"/>
      <c r="HZO56" s="913"/>
      <c r="HZP56" s="913"/>
      <c r="HZQ56" s="913"/>
      <c r="HZR56" s="913"/>
      <c r="HZS56" s="913"/>
      <c r="HZT56" s="913"/>
      <c r="HZU56" s="913"/>
      <c r="HZV56" s="913"/>
      <c r="HZW56" s="913"/>
      <c r="HZX56" s="913"/>
      <c r="HZY56" s="913"/>
      <c r="HZZ56" s="913"/>
      <c r="IAA56" s="913"/>
      <c r="IAB56" s="913"/>
      <c r="IAC56" s="913"/>
      <c r="IAD56" s="913"/>
      <c r="IAE56" s="913"/>
      <c r="IAF56" s="913"/>
      <c r="IAG56" s="913"/>
      <c r="IAH56" s="913"/>
      <c r="IAI56" s="913"/>
      <c r="IAJ56" s="913"/>
      <c r="IAK56" s="913"/>
      <c r="IAL56" s="913"/>
      <c r="IAM56" s="913"/>
      <c r="IAN56" s="913"/>
      <c r="IAO56" s="913"/>
      <c r="IAP56" s="913"/>
      <c r="IAQ56" s="913"/>
      <c r="IAR56" s="913"/>
      <c r="IAS56" s="913"/>
      <c r="IAT56" s="913"/>
      <c r="IAU56" s="913"/>
      <c r="IAV56" s="913"/>
      <c r="IAW56" s="913"/>
      <c r="IAX56" s="913"/>
      <c r="IAY56" s="913"/>
      <c r="IAZ56" s="913"/>
      <c r="IBA56" s="913"/>
      <c r="IBB56" s="913"/>
      <c r="IBC56" s="913"/>
      <c r="IBD56" s="913"/>
      <c r="IBE56" s="913"/>
      <c r="IBF56" s="913"/>
      <c r="IBG56" s="913"/>
      <c r="IBH56" s="913"/>
      <c r="IBI56" s="913"/>
      <c r="IBJ56" s="913"/>
      <c r="IBK56" s="913"/>
      <c r="IBL56" s="913"/>
      <c r="IBM56" s="913"/>
      <c r="IBN56" s="913"/>
      <c r="IBO56" s="913"/>
      <c r="IBP56" s="913"/>
      <c r="IBQ56" s="913"/>
      <c r="IBR56" s="913"/>
      <c r="IBS56" s="913"/>
      <c r="IBT56" s="913"/>
      <c r="IBU56" s="913"/>
      <c r="IBV56" s="913"/>
      <c r="IBW56" s="913"/>
      <c r="IBX56" s="913"/>
      <c r="IBY56" s="913"/>
      <c r="IBZ56" s="913"/>
      <c r="ICA56" s="913"/>
      <c r="ICB56" s="913"/>
      <c r="ICC56" s="913"/>
      <c r="ICD56" s="913"/>
      <c r="ICE56" s="913"/>
      <c r="ICF56" s="913"/>
      <c r="ICG56" s="913"/>
      <c r="ICH56" s="913"/>
      <c r="ICI56" s="913"/>
      <c r="ICJ56" s="913"/>
      <c r="ICK56" s="913"/>
      <c r="ICL56" s="913"/>
      <c r="ICM56" s="913"/>
      <c r="ICN56" s="913"/>
      <c r="ICO56" s="913"/>
      <c r="ICP56" s="913"/>
      <c r="ICQ56" s="913"/>
      <c r="ICR56" s="913"/>
      <c r="ICS56" s="913"/>
      <c r="ICT56" s="913"/>
      <c r="ICU56" s="913"/>
      <c r="ICV56" s="913"/>
      <c r="ICW56" s="913"/>
      <c r="ICX56" s="913"/>
      <c r="ICY56" s="913"/>
      <c r="ICZ56" s="913"/>
      <c r="IDA56" s="913"/>
      <c r="IDB56" s="913"/>
      <c r="IDC56" s="913"/>
      <c r="IDD56" s="913"/>
      <c r="IDE56" s="913"/>
      <c r="IDF56" s="913"/>
      <c r="IDG56" s="913"/>
      <c r="IDH56" s="913"/>
      <c r="IDI56" s="913"/>
      <c r="IDJ56" s="913"/>
      <c r="IDK56" s="913"/>
      <c r="IDL56" s="913"/>
      <c r="IDM56" s="913"/>
      <c r="IDN56" s="913"/>
      <c r="IDO56" s="913"/>
      <c r="IDP56" s="913"/>
      <c r="IDQ56" s="913"/>
      <c r="IDR56" s="913"/>
      <c r="IDS56" s="913"/>
      <c r="IDT56" s="913"/>
      <c r="IDU56" s="913"/>
      <c r="IDV56" s="913"/>
      <c r="IDW56" s="913"/>
      <c r="IDX56" s="913"/>
      <c r="IDY56" s="913"/>
      <c r="IDZ56" s="913"/>
      <c r="IEA56" s="913"/>
      <c r="IEB56" s="913"/>
      <c r="IEC56" s="913"/>
      <c r="IED56" s="913"/>
      <c r="IEE56" s="913"/>
      <c r="IEF56" s="913"/>
      <c r="IEG56" s="913"/>
      <c r="IEH56" s="913"/>
      <c r="IEI56" s="913"/>
      <c r="IEJ56" s="913"/>
      <c r="IEK56" s="913"/>
      <c r="IEL56" s="913"/>
      <c r="IEM56" s="913"/>
      <c r="IEN56" s="913"/>
      <c r="IEO56" s="913"/>
      <c r="IEP56" s="913"/>
      <c r="IEQ56" s="913"/>
      <c r="IER56" s="913"/>
      <c r="IES56" s="913"/>
      <c r="IET56" s="913"/>
      <c r="IEU56" s="913"/>
      <c r="IEV56" s="913"/>
      <c r="IEW56" s="913"/>
      <c r="IEX56" s="913"/>
      <c r="IEY56" s="913"/>
      <c r="IEZ56" s="913"/>
      <c r="IFA56" s="913"/>
      <c r="IFB56" s="913"/>
      <c r="IFC56" s="913"/>
      <c r="IFD56" s="913"/>
      <c r="IFE56" s="913"/>
      <c r="IFF56" s="913"/>
      <c r="IFG56" s="913"/>
      <c r="IFH56" s="913"/>
      <c r="IFI56" s="913"/>
      <c r="IFJ56" s="913"/>
      <c r="IFK56" s="913"/>
      <c r="IFL56" s="913"/>
      <c r="IFM56" s="913"/>
      <c r="IFN56" s="913"/>
      <c r="IFO56" s="913"/>
      <c r="IFP56" s="913"/>
      <c r="IFQ56" s="913"/>
      <c r="IFR56" s="913"/>
      <c r="IFS56" s="913"/>
      <c r="IFT56" s="913"/>
      <c r="IFU56" s="913"/>
      <c r="IFV56" s="913"/>
      <c r="IFW56" s="913"/>
      <c r="IFX56" s="913"/>
      <c r="IFY56" s="913"/>
      <c r="IFZ56" s="913"/>
      <c r="IGA56" s="913"/>
      <c r="IGB56" s="913"/>
      <c r="IGC56" s="913"/>
      <c r="IGD56" s="913"/>
      <c r="IGE56" s="913"/>
      <c r="IGF56" s="913"/>
      <c r="IGG56" s="913"/>
      <c r="IGH56" s="913"/>
      <c r="IGI56" s="913"/>
      <c r="IGJ56" s="913"/>
      <c r="IGK56" s="913"/>
      <c r="IGL56" s="913"/>
      <c r="IGM56" s="913"/>
      <c r="IGN56" s="913"/>
      <c r="IGO56" s="913"/>
      <c r="IGP56" s="913"/>
      <c r="IGQ56" s="913"/>
      <c r="IGR56" s="913"/>
      <c r="IGS56" s="913"/>
      <c r="IGT56" s="913"/>
      <c r="IGU56" s="913"/>
      <c r="IGV56" s="913"/>
      <c r="IGW56" s="913"/>
      <c r="IGX56" s="913"/>
      <c r="IGY56" s="913"/>
      <c r="IGZ56" s="913"/>
      <c r="IHA56" s="913"/>
      <c r="IHB56" s="913"/>
      <c r="IHC56" s="913"/>
      <c r="IHD56" s="913"/>
      <c r="IHE56" s="913"/>
      <c r="IHF56" s="913"/>
      <c r="IHG56" s="913"/>
      <c r="IHH56" s="913"/>
      <c r="IHI56" s="913"/>
      <c r="IHJ56" s="913"/>
      <c r="IHK56" s="913"/>
      <c r="IHL56" s="913"/>
      <c r="IHM56" s="913"/>
      <c r="IHN56" s="913"/>
      <c r="IHO56" s="913"/>
      <c r="IHP56" s="913"/>
      <c r="IHQ56" s="913"/>
      <c r="IHR56" s="913"/>
      <c r="IHS56" s="913"/>
      <c r="IHT56" s="913"/>
      <c r="IHU56" s="913"/>
      <c r="IHV56" s="913"/>
      <c r="IHW56" s="913"/>
      <c r="IHX56" s="913"/>
      <c r="IHY56" s="913"/>
      <c r="IHZ56" s="913"/>
      <c r="IIA56" s="913"/>
      <c r="IIB56" s="913"/>
      <c r="IIC56" s="913"/>
      <c r="IID56" s="913"/>
      <c r="IIE56" s="913"/>
      <c r="IIF56" s="913"/>
      <c r="IIG56" s="913"/>
      <c r="IIH56" s="913"/>
      <c r="III56" s="913"/>
      <c r="IIJ56" s="913"/>
      <c r="IIK56" s="913"/>
      <c r="IIL56" s="913"/>
      <c r="IIM56" s="913"/>
      <c r="IIN56" s="913"/>
      <c r="IIO56" s="913"/>
      <c r="IIP56" s="913"/>
      <c r="IIQ56" s="913"/>
      <c r="IIR56" s="913"/>
      <c r="IIS56" s="913"/>
      <c r="IIT56" s="913"/>
      <c r="IIU56" s="913"/>
      <c r="IIV56" s="913"/>
      <c r="IIW56" s="913"/>
      <c r="IIX56" s="913"/>
      <c r="IIY56" s="913"/>
      <c r="IIZ56" s="913"/>
      <c r="IJA56" s="913"/>
      <c r="IJB56" s="913"/>
      <c r="IJC56" s="913"/>
      <c r="IJD56" s="913"/>
      <c r="IJE56" s="913"/>
      <c r="IJF56" s="913"/>
      <c r="IJG56" s="913"/>
      <c r="IJH56" s="913"/>
      <c r="IJI56" s="913"/>
      <c r="IJJ56" s="913"/>
      <c r="IJK56" s="913"/>
      <c r="IJL56" s="913"/>
      <c r="IJM56" s="913"/>
      <c r="IJN56" s="913"/>
      <c r="IJO56" s="913"/>
      <c r="IJP56" s="913"/>
      <c r="IJQ56" s="913"/>
      <c r="IJR56" s="913"/>
      <c r="IJS56" s="913"/>
      <c r="IJT56" s="913"/>
      <c r="IJU56" s="913"/>
      <c r="IJV56" s="913"/>
      <c r="IJW56" s="913"/>
      <c r="IJX56" s="913"/>
      <c r="IJY56" s="913"/>
      <c r="IJZ56" s="913"/>
      <c r="IKA56" s="913"/>
      <c r="IKB56" s="913"/>
      <c r="IKC56" s="913"/>
      <c r="IKD56" s="913"/>
      <c r="IKE56" s="913"/>
      <c r="IKF56" s="913"/>
      <c r="IKG56" s="913"/>
      <c r="IKH56" s="913"/>
      <c r="IKI56" s="913"/>
      <c r="IKJ56" s="913"/>
      <c r="IKK56" s="913"/>
      <c r="IKL56" s="913"/>
      <c r="IKM56" s="913"/>
      <c r="IKN56" s="913"/>
      <c r="IKO56" s="913"/>
      <c r="IKP56" s="913"/>
      <c r="IKQ56" s="913"/>
      <c r="IKR56" s="913"/>
      <c r="IKS56" s="913"/>
      <c r="IKT56" s="913"/>
      <c r="IKU56" s="913"/>
      <c r="IKV56" s="913"/>
      <c r="IKW56" s="913"/>
      <c r="IKX56" s="913"/>
      <c r="IKY56" s="913"/>
      <c r="IKZ56" s="913"/>
      <c r="ILA56" s="913"/>
      <c r="ILB56" s="913"/>
      <c r="ILC56" s="913"/>
      <c r="ILD56" s="913"/>
      <c r="ILE56" s="913"/>
      <c r="ILF56" s="913"/>
      <c r="ILG56" s="913"/>
      <c r="ILH56" s="913"/>
      <c r="ILI56" s="913"/>
      <c r="ILJ56" s="913"/>
      <c r="ILK56" s="913"/>
      <c r="ILL56" s="913"/>
      <c r="ILM56" s="913"/>
      <c r="ILN56" s="913"/>
      <c r="ILO56" s="913"/>
      <c r="ILP56" s="913"/>
      <c r="ILQ56" s="913"/>
      <c r="ILR56" s="913"/>
      <c r="ILS56" s="913"/>
      <c r="ILT56" s="913"/>
      <c r="ILU56" s="913"/>
      <c r="ILV56" s="913"/>
      <c r="ILW56" s="913"/>
      <c r="ILX56" s="913"/>
      <c r="ILY56" s="913"/>
      <c r="ILZ56" s="913"/>
      <c r="IMA56" s="913"/>
      <c r="IMB56" s="913"/>
      <c r="IMC56" s="913"/>
      <c r="IMD56" s="913"/>
      <c r="IME56" s="913"/>
      <c r="IMF56" s="913"/>
      <c r="IMG56" s="913"/>
      <c r="IMH56" s="913"/>
      <c r="IMI56" s="913"/>
      <c r="IMJ56" s="913"/>
      <c r="IMK56" s="913"/>
      <c r="IML56" s="913"/>
      <c r="IMM56" s="913"/>
      <c r="IMN56" s="913"/>
      <c r="IMO56" s="913"/>
      <c r="IMP56" s="913"/>
      <c r="IMQ56" s="913"/>
      <c r="IMR56" s="913"/>
      <c r="IMS56" s="913"/>
      <c r="IMT56" s="913"/>
      <c r="IMU56" s="913"/>
      <c r="IMV56" s="913"/>
      <c r="IMW56" s="913"/>
      <c r="IMX56" s="913"/>
      <c r="IMY56" s="913"/>
      <c r="IMZ56" s="913"/>
      <c r="INA56" s="913"/>
      <c r="INB56" s="913"/>
      <c r="INC56" s="913"/>
      <c r="IND56" s="913"/>
      <c r="INE56" s="913"/>
      <c r="INF56" s="913"/>
      <c r="ING56" s="913"/>
      <c r="INH56" s="913"/>
      <c r="INI56" s="913"/>
      <c r="INJ56" s="913"/>
      <c r="INK56" s="913"/>
      <c r="INL56" s="913"/>
      <c r="INM56" s="913"/>
      <c r="INN56" s="913"/>
      <c r="INO56" s="913"/>
      <c r="INP56" s="913"/>
      <c r="INQ56" s="913"/>
      <c r="INR56" s="913"/>
      <c r="INS56" s="913"/>
      <c r="INT56" s="913"/>
      <c r="INU56" s="913"/>
      <c r="INV56" s="913"/>
      <c r="INW56" s="913"/>
      <c r="INX56" s="913"/>
      <c r="INY56" s="913"/>
      <c r="INZ56" s="913"/>
      <c r="IOA56" s="913"/>
      <c r="IOB56" s="913"/>
      <c r="IOC56" s="913"/>
      <c r="IOD56" s="913"/>
      <c r="IOE56" s="913"/>
      <c r="IOF56" s="913"/>
      <c r="IOG56" s="913"/>
      <c r="IOH56" s="913"/>
      <c r="IOI56" s="913"/>
      <c r="IOJ56" s="913"/>
      <c r="IOK56" s="913"/>
      <c r="IOL56" s="913"/>
      <c r="IOM56" s="913"/>
      <c r="ION56" s="913"/>
      <c r="IOO56" s="913"/>
      <c r="IOP56" s="913"/>
      <c r="IOQ56" s="913"/>
      <c r="IOR56" s="913"/>
      <c r="IOS56" s="913"/>
      <c r="IOT56" s="913"/>
      <c r="IOU56" s="913"/>
      <c r="IOV56" s="913"/>
      <c r="IOW56" s="913"/>
      <c r="IOX56" s="913"/>
      <c r="IOY56" s="913"/>
      <c r="IOZ56" s="913"/>
      <c r="IPA56" s="913"/>
      <c r="IPB56" s="913"/>
      <c r="IPC56" s="913"/>
      <c r="IPD56" s="913"/>
      <c r="IPE56" s="913"/>
      <c r="IPF56" s="913"/>
      <c r="IPG56" s="913"/>
      <c r="IPH56" s="913"/>
      <c r="IPI56" s="913"/>
      <c r="IPJ56" s="913"/>
      <c r="IPK56" s="913"/>
      <c r="IPL56" s="913"/>
      <c r="IPM56" s="913"/>
      <c r="IPN56" s="913"/>
      <c r="IPO56" s="913"/>
      <c r="IPP56" s="913"/>
      <c r="IPQ56" s="913"/>
      <c r="IPR56" s="913"/>
      <c r="IPS56" s="913"/>
      <c r="IPT56" s="913"/>
      <c r="IPU56" s="913"/>
      <c r="IPV56" s="913"/>
      <c r="IPW56" s="913"/>
      <c r="IPX56" s="913"/>
      <c r="IPY56" s="913"/>
      <c r="IPZ56" s="913"/>
      <c r="IQA56" s="913"/>
      <c r="IQB56" s="913"/>
      <c r="IQC56" s="913"/>
      <c r="IQD56" s="913"/>
      <c r="IQE56" s="913"/>
      <c r="IQF56" s="913"/>
      <c r="IQG56" s="913"/>
      <c r="IQH56" s="913"/>
      <c r="IQI56" s="913"/>
      <c r="IQJ56" s="913"/>
      <c r="IQK56" s="913"/>
      <c r="IQL56" s="913"/>
      <c r="IQM56" s="913"/>
      <c r="IQN56" s="913"/>
      <c r="IQO56" s="913"/>
      <c r="IQP56" s="913"/>
      <c r="IQQ56" s="913"/>
      <c r="IQR56" s="913"/>
      <c r="IQS56" s="913"/>
      <c r="IQT56" s="913"/>
      <c r="IQU56" s="913"/>
      <c r="IQV56" s="913"/>
      <c r="IQW56" s="913"/>
      <c r="IQX56" s="913"/>
      <c r="IQY56" s="913"/>
      <c r="IQZ56" s="913"/>
      <c r="IRA56" s="913"/>
      <c r="IRB56" s="913"/>
      <c r="IRC56" s="913"/>
      <c r="IRD56" s="913"/>
      <c r="IRE56" s="913"/>
      <c r="IRF56" s="913"/>
      <c r="IRG56" s="913"/>
      <c r="IRH56" s="913"/>
      <c r="IRI56" s="913"/>
      <c r="IRJ56" s="913"/>
      <c r="IRK56" s="913"/>
      <c r="IRL56" s="913"/>
      <c r="IRM56" s="913"/>
      <c r="IRN56" s="913"/>
      <c r="IRO56" s="913"/>
      <c r="IRP56" s="913"/>
      <c r="IRQ56" s="913"/>
      <c r="IRR56" s="913"/>
      <c r="IRS56" s="913"/>
      <c r="IRT56" s="913"/>
      <c r="IRU56" s="913"/>
      <c r="IRV56" s="913"/>
      <c r="IRW56" s="913"/>
      <c r="IRX56" s="913"/>
      <c r="IRY56" s="913"/>
      <c r="IRZ56" s="913"/>
      <c r="ISA56" s="913"/>
      <c r="ISB56" s="913"/>
      <c r="ISC56" s="913"/>
      <c r="ISD56" s="913"/>
      <c r="ISE56" s="913"/>
      <c r="ISF56" s="913"/>
      <c r="ISG56" s="913"/>
      <c r="ISH56" s="913"/>
      <c r="ISI56" s="913"/>
      <c r="ISJ56" s="913"/>
      <c r="ISK56" s="913"/>
      <c r="ISL56" s="913"/>
      <c r="ISM56" s="913"/>
      <c r="ISN56" s="913"/>
      <c r="ISO56" s="913"/>
      <c r="ISP56" s="913"/>
      <c r="ISQ56" s="913"/>
      <c r="ISR56" s="913"/>
      <c r="ISS56" s="913"/>
      <c r="IST56" s="913"/>
      <c r="ISU56" s="913"/>
      <c r="ISV56" s="913"/>
      <c r="ISW56" s="913"/>
      <c r="ISX56" s="913"/>
      <c r="ISY56" s="913"/>
      <c r="ISZ56" s="913"/>
      <c r="ITA56" s="913"/>
      <c r="ITB56" s="913"/>
      <c r="ITC56" s="913"/>
      <c r="ITD56" s="913"/>
      <c r="ITE56" s="913"/>
      <c r="ITF56" s="913"/>
      <c r="ITG56" s="913"/>
      <c r="ITH56" s="913"/>
      <c r="ITI56" s="913"/>
      <c r="ITJ56" s="913"/>
      <c r="ITK56" s="913"/>
      <c r="ITL56" s="913"/>
      <c r="ITM56" s="913"/>
      <c r="ITN56" s="913"/>
      <c r="ITO56" s="913"/>
      <c r="ITP56" s="913"/>
      <c r="ITQ56" s="913"/>
      <c r="ITR56" s="913"/>
      <c r="ITS56" s="913"/>
      <c r="ITT56" s="913"/>
      <c r="ITU56" s="913"/>
      <c r="ITV56" s="913"/>
      <c r="ITW56" s="913"/>
      <c r="ITX56" s="913"/>
      <c r="ITY56" s="913"/>
      <c r="ITZ56" s="913"/>
      <c r="IUA56" s="913"/>
      <c r="IUB56" s="913"/>
      <c r="IUC56" s="913"/>
      <c r="IUD56" s="913"/>
      <c r="IUE56" s="913"/>
      <c r="IUF56" s="913"/>
      <c r="IUG56" s="913"/>
      <c r="IUH56" s="913"/>
      <c r="IUI56" s="913"/>
      <c r="IUJ56" s="913"/>
      <c r="IUK56" s="913"/>
      <c r="IUL56" s="913"/>
      <c r="IUM56" s="913"/>
      <c r="IUN56" s="913"/>
      <c r="IUO56" s="913"/>
      <c r="IUP56" s="913"/>
      <c r="IUQ56" s="913"/>
      <c r="IUR56" s="913"/>
      <c r="IUS56" s="913"/>
      <c r="IUT56" s="913"/>
      <c r="IUU56" s="913"/>
      <c r="IUV56" s="913"/>
      <c r="IUW56" s="913"/>
      <c r="IUX56" s="913"/>
      <c r="IUY56" s="913"/>
      <c r="IUZ56" s="913"/>
      <c r="IVA56" s="913"/>
      <c r="IVB56" s="913"/>
      <c r="IVC56" s="913"/>
      <c r="IVD56" s="913"/>
      <c r="IVE56" s="913"/>
      <c r="IVF56" s="913"/>
      <c r="IVG56" s="913"/>
      <c r="IVH56" s="913"/>
      <c r="IVI56" s="913"/>
      <c r="IVJ56" s="913"/>
      <c r="IVK56" s="913"/>
      <c r="IVL56" s="913"/>
      <c r="IVM56" s="913"/>
      <c r="IVN56" s="913"/>
      <c r="IVO56" s="913"/>
      <c r="IVP56" s="913"/>
      <c r="IVQ56" s="913"/>
      <c r="IVR56" s="913"/>
      <c r="IVS56" s="913"/>
      <c r="IVT56" s="913"/>
      <c r="IVU56" s="913"/>
      <c r="IVV56" s="913"/>
      <c r="IVW56" s="913"/>
      <c r="IVX56" s="913"/>
      <c r="IVY56" s="913"/>
      <c r="IVZ56" s="913"/>
      <c r="IWA56" s="913"/>
      <c r="IWB56" s="913"/>
      <c r="IWC56" s="913"/>
      <c r="IWD56" s="913"/>
      <c r="IWE56" s="913"/>
      <c r="IWF56" s="913"/>
      <c r="IWG56" s="913"/>
      <c r="IWH56" s="913"/>
      <c r="IWI56" s="913"/>
      <c r="IWJ56" s="913"/>
      <c r="IWK56" s="913"/>
      <c r="IWL56" s="913"/>
      <c r="IWM56" s="913"/>
      <c r="IWN56" s="913"/>
      <c r="IWO56" s="913"/>
      <c r="IWP56" s="913"/>
      <c r="IWQ56" s="913"/>
      <c r="IWR56" s="913"/>
      <c r="IWS56" s="913"/>
      <c r="IWT56" s="913"/>
      <c r="IWU56" s="913"/>
      <c r="IWV56" s="913"/>
      <c r="IWW56" s="913"/>
      <c r="IWX56" s="913"/>
      <c r="IWY56" s="913"/>
      <c r="IWZ56" s="913"/>
      <c r="IXA56" s="913"/>
      <c r="IXB56" s="913"/>
      <c r="IXC56" s="913"/>
      <c r="IXD56" s="913"/>
      <c r="IXE56" s="913"/>
      <c r="IXF56" s="913"/>
      <c r="IXG56" s="913"/>
      <c r="IXH56" s="913"/>
      <c r="IXI56" s="913"/>
      <c r="IXJ56" s="913"/>
      <c r="IXK56" s="913"/>
      <c r="IXL56" s="913"/>
      <c r="IXM56" s="913"/>
      <c r="IXN56" s="913"/>
      <c r="IXO56" s="913"/>
      <c r="IXP56" s="913"/>
      <c r="IXQ56" s="913"/>
      <c r="IXR56" s="913"/>
      <c r="IXS56" s="913"/>
      <c r="IXT56" s="913"/>
      <c r="IXU56" s="913"/>
      <c r="IXV56" s="913"/>
      <c r="IXW56" s="913"/>
      <c r="IXX56" s="913"/>
      <c r="IXY56" s="913"/>
      <c r="IXZ56" s="913"/>
      <c r="IYA56" s="913"/>
      <c r="IYB56" s="913"/>
      <c r="IYC56" s="913"/>
      <c r="IYD56" s="913"/>
      <c r="IYE56" s="913"/>
      <c r="IYF56" s="913"/>
      <c r="IYG56" s="913"/>
      <c r="IYH56" s="913"/>
      <c r="IYI56" s="913"/>
      <c r="IYJ56" s="913"/>
      <c r="IYK56" s="913"/>
      <c r="IYL56" s="913"/>
      <c r="IYM56" s="913"/>
      <c r="IYN56" s="913"/>
      <c r="IYO56" s="913"/>
      <c r="IYP56" s="913"/>
      <c r="IYQ56" s="913"/>
      <c r="IYR56" s="913"/>
      <c r="IYS56" s="913"/>
      <c r="IYT56" s="913"/>
      <c r="IYU56" s="913"/>
      <c r="IYV56" s="913"/>
      <c r="IYW56" s="913"/>
      <c r="IYX56" s="913"/>
      <c r="IYY56" s="913"/>
      <c r="IYZ56" s="913"/>
      <c r="IZA56" s="913"/>
      <c r="IZB56" s="913"/>
      <c r="IZC56" s="913"/>
      <c r="IZD56" s="913"/>
      <c r="IZE56" s="913"/>
      <c r="IZF56" s="913"/>
      <c r="IZG56" s="913"/>
      <c r="IZH56" s="913"/>
      <c r="IZI56" s="913"/>
      <c r="IZJ56" s="913"/>
      <c r="IZK56" s="913"/>
      <c r="IZL56" s="913"/>
      <c r="IZM56" s="913"/>
      <c r="IZN56" s="913"/>
      <c r="IZO56" s="913"/>
      <c r="IZP56" s="913"/>
      <c r="IZQ56" s="913"/>
      <c r="IZR56" s="913"/>
      <c r="IZS56" s="913"/>
      <c r="IZT56" s="913"/>
      <c r="IZU56" s="913"/>
      <c r="IZV56" s="913"/>
      <c r="IZW56" s="913"/>
      <c r="IZX56" s="913"/>
      <c r="IZY56" s="913"/>
      <c r="IZZ56" s="913"/>
      <c r="JAA56" s="913"/>
      <c r="JAB56" s="913"/>
      <c r="JAC56" s="913"/>
      <c r="JAD56" s="913"/>
      <c r="JAE56" s="913"/>
      <c r="JAF56" s="913"/>
      <c r="JAG56" s="913"/>
      <c r="JAH56" s="913"/>
      <c r="JAI56" s="913"/>
      <c r="JAJ56" s="913"/>
      <c r="JAK56" s="913"/>
      <c r="JAL56" s="913"/>
      <c r="JAM56" s="913"/>
      <c r="JAN56" s="913"/>
      <c r="JAO56" s="913"/>
      <c r="JAP56" s="913"/>
      <c r="JAQ56" s="913"/>
      <c r="JAR56" s="913"/>
      <c r="JAS56" s="913"/>
      <c r="JAT56" s="913"/>
      <c r="JAU56" s="913"/>
      <c r="JAV56" s="913"/>
      <c r="JAW56" s="913"/>
      <c r="JAX56" s="913"/>
      <c r="JAY56" s="913"/>
      <c r="JAZ56" s="913"/>
      <c r="JBA56" s="913"/>
      <c r="JBB56" s="913"/>
      <c r="JBC56" s="913"/>
      <c r="JBD56" s="913"/>
      <c r="JBE56" s="913"/>
      <c r="JBF56" s="913"/>
      <c r="JBG56" s="913"/>
      <c r="JBH56" s="913"/>
      <c r="JBI56" s="913"/>
      <c r="JBJ56" s="913"/>
      <c r="JBK56" s="913"/>
      <c r="JBL56" s="913"/>
      <c r="JBM56" s="913"/>
      <c r="JBN56" s="913"/>
      <c r="JBO56" s="913"/>
      <c r="JBP56" s="913"/>
      <c r="JBQ56" s="913"/>
      <c r="JBR56" s="913"/>
      <c r="JBS56" s="913"/>
      <c r="JBT56" s="913"/>
      <c r="JBU56" s="913"/>
      <c r="JBV56" s="913"/>
      <c r="JBW56" s="913"/>
      <c r="JBX56" s="913"/>
      <c r="JBY56" s="913"/>
      <c r="JBZ56" s="913"/>
      <c r="JCA56" s="913"/>
      <c r="JCB56" s="913"/>
      <c r="JCC56" s="913"/>
      <c r="JCD56" s="913"/>
      <c r="JCE56" s="913"/>
      <c r="JCF56" s="913"/>
      <c r="JCG56" s="913"/>
      <c r="JCH56" s="913"/>
      <c r="JCI56" s="913"/>
      <c r="JCJ56" s="913"/>
      <c r="JCK56" s="913"/>
      <c r="JCL56" s="913"/>
      <c r="JCM56" s="913"/>
      <c r="JCN56" s="913"/>
      <c r="JCO56" s="913"/>
      <c r="JCP56" s="913"/>
      <c r="JCQ56" s="913"/>
      <c r="JCR56" s="913"/>
      <c r="JCS56" s="913"/>
      <c r="JCT56" s="913"/>
      <c r="JCU56" s="913"/>
      <c r="JCV56" s="913"/>
      <c r="JCW56" s="913"/>
      <c r="JCX56" s="913"/>
      <c r="JCY56" s="913"/>
      <c r="JCZ56" s="913"/>
      <c r="JDA56" s="913"/>
      <c r="JDB56" s="913"/>
      <c r="JDC56" s="913"/>
      <c r="JDD56" s="913"/>
      <c r="JDE56" s="913"/>
      <c r="JDF56" s="913"/>
      <c r="JDG56" s="913"/>
      <c r="JDH56" s="913"/>
      <c r="JDI56" s="913"/>
      <c r="JDJ56" s="913"/>
      <c r="JDK56" s="913"/>
      <c r="JDL56" s="913"/>
      <c r="JDM56" s="913"/>
      <c r="JDN56" s="913"/>
      <c r="JDO56" s="913"/>
      <c r="JDP56" s="913"/>
      <c r="JDQ56" s="913"/>
      <c r="JDR56" s="913"/>
      <c r="JDS56" s="913"/>
      <c r="JDT56" s="913"/>
      <c r="JDU56" s="913"/>
      <c r="JDV56" s="913"/>
      <c r="JDW56" s="913"/>
      <c r="JDX56" s="913"/>
      <c r="JDY56" s="913"/>
      <c r="JDZ56" s="913"/>
      <c r="JEA56" s="913"/>
      <c r="JEB56" s="913"/>
      <c r="JEC56" s="913"/>
      <c r="JED56" s="913"/>
      <c r="JEE56" s="913"/>
      <c r="JEF56" s="913"/>
      <c r="JEG56" s="913"/>
      <c r="JEH56" s="913"/>
      <c r="JEI56" s="913"/>
      <c r="JEJ56" s="913"/>
      <c r="JEK56" s="913"/>
      <c r="JEL56" s="913"/>
      <c r="JEM56" s="913"/>
      <c r="JEN56" s="913"/>
      <c r="JEO56" s="913"/>
      <c r="JEP56" s="913"/>
      <c r="JEQ56" s="913"/>
      <c r="JER56" s="913"/>
      <c r="JES56" s="913"/>
      <c r="JET56" s="913"/>
      <c r="JEU56" s="913"/>
      <c r="JEV56" s="913"/>
      <c r="JEW56" s="913"/>
      <c r="JEX56" s="913"/>
      <c r="JEY56" s="913"/>
      <c r="JEZ56" s="913"/>
      <c r="JFA56" s="913"/>
      <c r="JFB56" s="913"/>
      <c r="JFC56" s="913"/>
      <c r="JFD56" s="913"/>
      <c r="JFE56" s="913"/>
      <c r="JFF56" s="913"/>
      <c r="JFG56" s="913"/>
      <c r="JFH56" s="913"/>
      <c r="JFI56" s="913"/>
      <c r="JFJ56" s="913"/>
      <c r="JFK56" s="913"/>
      <c r="JFL56" s="913"/>
      <c r="JFM56" s="913"/>
      <c r="JFN56" s="913"/>
      <c r="JFO56" s="913"/>
      <c r="JFP56" s="913"/>
      <c r="JFQ56" s="913"/>
      <c r="JFR56" s="913"/>
      <c r="JFS56" s="913"/>
      <c r="JFT56" s="913"/>
      <c r="JFU56" s="913"/>
      <c r="JFV56" s="913"/>
      <c r="JFW56" s="913"/>
      <c r="JFX56" s="913"/>
      <c r="JFY56" s="913"/>
      <c r="JFZ56" s="913"/>
      <c r="JGA56" s="913"/>
      <c r="JGB56" s="913"/>
      <c r="JGC56" s="913"/>
      <c r="JGD56" s="913"/>
      <c r="JGE56" s="913"/>
      <c r="JGF56" s="913"/>
      <c r="JGG56" s="913"/>
      <c r="JGH56" s="913"/>
      <c r="JGI56" s="913"/>
      <c r="JGJ56" s="913"/>
      <c r="JGK56" s="913"/>
      <c r="JGL56" s="913"/>
      <c r="JGM56" s="913"/>
      <c r="JGN56" s="913"/>
      <c r="JGO56" s="913"/>
      <c r="JGP56" s="913"/>
      <c r="JGQ56" s="913"/>
      <c r="JGR56" s="913"/>
      <c r="JGS56" s="913"/>
      <c r="JGT56" s="913"/>
      <c r="JGU56" s="913"/>
      <c r="JGV56" s="913"/>
      <c r="JGW56" s="913"/>
      <c r="JGX56" s="913"/>
      <c r="JGY56" s="913"/>
      <c r="JGZ56" s="913"/>
      <c r="JHA56" s="913"/>
      <c r="JHB56" s="913"/>
      <c r="JHC56" s="913"/>
      <c r="JHD56" s="913"/>
      <c r="JHE56" s="913"/>
      <c r="JHF56" s="913"/>
      <c r="JHG56" s="913"/>
      <c r="JHH56" s="913"/>
      <c r="JHI56" s="913"/>
      <c r="JHJ56" s="913"/>
      <c r="JHK56" s="913"/>
      <c r="JHL56" s="913"/>
      <c r="JHM56" s="913"/>
      <c r="JHN56" s="913"/>
      <c r="JHO56" s="913"/>
      <c r="JHP56" s="913"/>
      <c r="JHQ56" s="913"/>
      <c r="JHR56" s="913"/>
      <c r="JHS56" s="913"/>
      <c r="JHT56" s="913"/>
      <c r="JHU56" s="913"/>
      <c r="JHV56" s="913"/>
      <c r="JHW56" s="913"/>
      <c r="JHX56" s="913"/>
      <c r="JHY56" s="913"/>
      <c r="JHZ56" s="913"/>
      <c r="JIA56" s="913"/>
      <c r="JIB56" s="913"/>
      <c r="JIC56" s="913"/>
      <c r="JID56" s="913"/>
      <c r="JIE56" s="913"/>
      <c r="JIF56" s="913"/>
      <c r="JIG56" s="913"/>
      <c r="JIH56" s="913"/>
      <c r="JII56" s="913"/>
      <c r="JIJ56" s="913"/>
      <c r="JIK56" s="913"/>
      <c r="JIL56" s="913"/>
      <c r="JIM56" s="913"/>
      <c r="JIN56" s="913"/>
      <c r="JIO56" s="913"/>
      <c r="JIP56" s="913"/>
      <c r="JIQ56" s="913"/>
      <c r="JIR56" s="913"/>
      <c r="JIS56" s="913"/>
      <c r="JIT56" s="913"/>
      <c r="JIU56" s="913"/>
      <c r="JIV56" s="913"/>
      <c r="JIW56" s="913"/>
      <c r="JIX56" s="913"/>
      <c r="JIY56" s="913"/>
      <c r="JIZ56" s="913"/>
      <c r="JJA56" s="913"/>
      <c r="JJB56" s="913"/>
      <c r="JJC56" s="913"/>
      <c r="JJD56" s="913"/>
      <c r="JJE56" s="913"/>
      <c r="JJF56" s="913"/>
      <c r="JJG56" s="913"/>
      <c r="JJH56" s="913"/>
      <c r="JJI56" s="913"/>
      <c r="JJJ56" s="913"/>
      <c r="JJK56" s="913"/>
      <c r="JJL56" s="913"/>
      <c r="JJM56" s="913"/>
      <c r="JJN56" s="913"/>
      <c r="JJO56" s="913"/>
      <c r="JJP56" s="913"/>
      <c r="JJQ56" s="913"/>
      <c r="JJR56" s="913"/>
      <c r="JJS56" s="913"/>
      <c r="JJT56" s="913"/>
      <c r="JJU56" s="913"/>
      <c r="JJV56" s="913"/>
      <c r="JJW56" s="913"/>
      <c r="JJX56" s="913"/>
      <c r="JJY56" s="913"/>
      <c r="JJZ56" s="913"/>
      <c r="JKA56" s="913"/>
      <c r="JKB56" s="913"/>
      <c r="JKC56" s="913"/>
      <c r="JKD56" s="913"/>
      <c r="JKE56" s="913"/>
      <c r="JKF56" s="913"/>
      <c r="JKG56" s="913"/>
      <c r="JKH56" s="913"/>
      <c r="JKI56" s="913"/>
      <c r="JKJ56" s="913"/>
      <c r="JKK56" s="913"/>
      <c r="JKL56" s="913"/>
      <c r="JKM56" s="913"/>
      <c r="JKN56" s="913"/>
      <c r="JKO56" s="913"/>
      <c r="JKP56" s="913"/>
      <c r="JKQ56" s="913"/>
      <c r="JKR56" s="913"/>
      <c r="JKS56" s="913"/>
      <c r="JKT56" s="913"/>
      <c r="JKU56" s="913"/>
      <c r="JKV56" s="913"/>
      <c r="JKW56" s="913"/>
      <c r="JKX56" s="913"/>
      <c r="JKY56" s="913"/>
      <c r="JKZ56" s="913"/>
      <c r="JLA56" s="913"/>
      <c r="JLB56" s="913"/>
      <c r="JLC56" s="913"/>
      <c r="JLD56" s="913"/>
      <c r="JLE56" s="913"/>
      <c r="JLF56" s="913"/>
      <c r="JLG56" s="913"/>
      <c r="JLH56" s="913"/>
      <c r="JLI56" s="913"/>
      <c r="JLJ56" s="913"/>
      <c r="JLK56" s="913"/>
      <c r="JLL56" s="913"/>
      <c r="JLM56" s="913"/>
      <c r="JLN56" s="913"/>
      <c r="JLO56" s="913"/>
      <c r="JLP56" s="913"/>
      <c r="JLQ56" s="913"/>
      <c r="JLR56" s="913"/>
      <c r="JLS56" s="913"/>
      <c r="JLT56" s="913"/>
      <c r="JLU56" s="913"/>
      <c r="JLV56" s="913"/>
      <c r="JLW56" s="913"/>
      <c r="JLX56" s="913"/>
      <c r="JLY56" s="913"/>
      <c r="JLZ56" s="913"/>
      <c r="JMA56" s="913"/>
      <c r="JMB56" s="913"/>
      <c r="JMC56" s="913"/>
      <c r="JMD56" s="913"/>
      <c r="JME56" s="913"/>
      <c r="JMF56" s="913"/>
      <c r="JMG56" s="913"/>
      <c r="JMH56" s="913"/>
      <c r="JMI56" s="913"/>
      <c r="JMJ56" s="913"/>
      <c r="JMK56" s="913"/>
      <c r="JML56" s="913"/>
      <c r="JMM56" s="913"/>
      <c r="JMN56" s="913"/>
      <c r="JMO56" s="913"/>
      <c r="JMP56" s="913"/>
      <c r="JMQ56" s="913"/>
      <c r="JMR56" s="913"/>
      <c r="JMS56" s="913"/>
      <c r="JMT56" s="913"/>
      <c r="JMU56" s="913"/>
      <c r="JMV56" s="913"/>
      <c r="JMW56" s="913"/>
      <c r="JMX56" s="913"/>
      <c r="JMY56" s="913"/>
      <c r="JMZ56" s="913"/>
      <c r="JNA56" s="913"/>
      <c r="JNB56" s="913"/>
      <c r="JNC56" s="913"/>
      <c r="JND56" s="913"/>
      <c r="JNE56" s="913"/>
      <c r="JNF56" s="913"/>
      <c r="JNG56" s="913"/>
      <c r="JNH56" s="913"/>
      <c r="JNI56" s="913"/>
      <c r="JNJ56" s="913"/>
      <c r="JNK56" s="913"/>
      <c r="JNL56" s="913"/>
      <c r="JNM56" s="913"/>
      <c r="JNN56" s="913"/>
      <c r="JNO56" s="913"/>
      <c r="JNP56" s="913"/>
      <c r="JNQ56" s="913"/>
      <c r="JNR56" s="913"/>
      <c r="JNS56" s="913"/>
      <c r="JNT56" s="913"/>
      <c r="JNU56" s="913"/>
      <c r="JNV56" s="913"/>
      <c r="JNW56" s="913"/>
      <c r="JNX56" s="913"/>
      <c r="JNY56" s="913"/>
      <c r="JNZ56" s="913"/>
      <c r="JOA56" s="913"/>
      <c r="JOB56" s="913"/>
      <c r="JOC56" s="913"/>
      <c r="JOD56" s="913"/>
      <c r="JOE56" s="913"/>
      <c r="JOF56" s="913"/>
      <c r="JOG56" s="913"/>
      <c r="JOH56" s="913"/>
      <c r="JOI56" s="913"/>
      <c r="JOJ56" s="913"/>
      <c r="JOK56" s="913"/>
      <c r="JOL56" s="913"/>
      <c r="JOM56" s="913"/>
      <c r="JON56" s="913"/>
      <c r="JOO56" s="913"/>
      <c r="JOP56" s="913"/>
      <c r="JOQ56" s="913"/>
      <c r="JOR56" s="913"/>
      <c r="JOS56" s="913"/>
      <c r="JOT56" s="913"/>
      <c r="JOU56" s="913"/>
      <c r="JOV56" s="913"/>
      <c r="JOW56" s="913"/>
      <c r="JOX56" s="913"/>
      <c r="JOY56" s="913"/>
      <c r="JOZ56" s="913"/>
      <c r="JPA56" s="913"/>
      <c r="JPB56" s="913"/>
      <c r="JPC56" s="913"/>
      <c r="JPD56" s="913"/>
      <c r="JPE56" s="913"/>
      <c r="JPF56" s="913"/>
      <c r="JPG56" s="913"/>
      <c r="JPH56" s="913"/>
      <c r="JPI56" s="913"/>
      <c r="JPJ56" s="913"/>
      <c r="JPK56" s="913"/>
      <c r="JPL56" s="913"/>
      <c r="JPM56" s="913"/>
      <c r="JPN56" s="913"/>
      <c r="JPO56" s="913"/>
      <c r="JPP56" s="913"/>
      <c r="JPQ56" s="913"/>
      <c r="JPR56" s="913"/>
      <c r="JPS56" s="913"/>
      <c r="JPT56" s="913"/>
      <c r="JPU56" s="913"/>
      <c r="JPV56" s="913"/>
      <c r="JPW56" s="913"/>
      <c r="JPX56" s="913"/>
      <c r="JPY56" s="913"/>
      <c r="JPZ56" s="913"/>
      <c r="JQA56" s="913"/>
      <c r="JQB56" s="913"/>
      <c r="JQC56" s="913"/>
      <c r="JQD56" s="913"/>
      <c r="JQE56" s="913"/>
      <c r="JQF56" s="913"/>
      <c r="JQG56" s="913"/>
      <c r="JQH56" s="913"/>
      <c r="JQI56" s="913"/>
      <c r="JQJ56" s="913"/>
      <c r="JQK56" s="913"/>
      <c r="JQL56" s="913"/>
      <c r="JQM56" s="913"/>
      <c r="JQN56" s="913"/>
      <c r="JQO56" s="913"/>
      <c r="JQP56" s="913"/>
      <c r="JQQ56" s="913"/>
      <c r="JQR56" s="913"/>
      <c r="JQS56" s="913"/>
      <c r="JQT56" s="913"/>
      <c r="JQU56" s="913"/>
      <c r="JQV56" s="913"/>
      <c r="JQW56" s="913"/>
      <c r="JQX56" s="913"/>
      <c r="JQY56" s="913"/>
      <c r="JQZ56" s="913"/>
      <c r="JRA56" s="913"/>
      <c r="JRB56" s="913"/>
      <c r="JRC56" s="913"/>
      <c r="JRD56" s="913"/>
      <c r="JRE56" s="913"/>
      <c r="JRF56" s="913"/>
      <c r="JRG56" s="913"/>
      <c r="JRH56" s="913"/>
      <c r="JRI56" s="913"/>
      <c r="JRJ56" s="913"/>
      <c r="JRK56" s="913"/>
      <c r="JRL56" s="913"/>
      <c r="JRM56" s="913"/>
      <c r="JRN56" s="913"/>
      <c r="JRO56" s="913"/>
      <c r="JRP56" s="913"/>
      <c r="JRQ56" s="913"/>
      <c r="JRR56" s="913"/>
      <c r="JRS56" s="913"/>
      <c r="JRT56" s="913"/>
      <c r="JRU56" s="913"/>
      <c r="JRV56" s="913"/>
      <c r="JRW56" s="913"/>
      <c r="JRX56" s="913"/>
      <c r="JRY56" s="913"/>
      <c r="JRZ56" s="913"/>
      <c r="JSA56" s="913"/>
      <c r="JSB56" s="913"/>
      <c r="JSC56" s="913"/>
      <c r="JSD56" s="913"/>
      <c r="JSE56" s="913"/>
      <c r="JSF56" s="913"/>
      <c r="JSG56" s="913"/>
      <c r="JSH56" s="913"/>
      <c r="JSI56" s="913"/>
      <c r="JSJ56" s="913"/>
      <c r="JSK56" s="913"/>
      <c r="JSL56" s="913"/>
      <c r="JSM56" s="913"/>
      <c r="JSN56" s="913"/>
      <c r="JSO56" s="913"/>
      <c r="JSP56" s="913"/>
      <c r="JSQ56" s="913"/>
      <c r="JSR56" s="913"/>
      <c r="JSS56" s="913"/>
      <c r="JST56" s="913"/>
      <c r="JSU56" s="913"/>
      <c r="JSV56" s="913"/>
      <c r="JSW56" s="913"/>
      <c r="JSX56" s="913"/>
      <c r="JSY56" s="913"/>
      <c r="JSZ56" s="913"/>
      <c r="JTA56" s="913"/>
      <c r="JTB56" s="913"/>
      <c r="JTC56" s="913"/>
      <c r="JTD56" s="913"/>
      <c r="JTE56" s="913"/>
      <c r="JTF56" s="913"/>
      <c r="JTG56" s="913"/>
      <c r="JTH56" s="913"/>
      <c r="JTI56" s="913"/>
      <c r="JTJ56" s="913"/>
      <c r="JTK56" s="913"/>
      <c r="JTL56" s="913"/>
      <c r="JTM56" s="913"/>
      <c r="JTN56" s="913"/>
      <c r="JTO56" s="913"/>
      <c r="JTP56" s="913"/>
      <c r="JTQ56" s="913"/>
      <c r="JTR56" s="913"/>
      <c r="JTS56" s="913"/>
      <c r="JTT56" s="913"/>
      <c r="JTU56" s="913"/>
      <c r="JTV56" s="913"/>
      <c r="JTW56" s="913"/>
      <c r="JTX56" s="913"/>
      <c r="JTY56" s="913"/>
      <c r="JTZ56" s="913"/>
      <c r="JUA56" s="913"/>
      <c r="JUB56" s="913"/>
      <c r="JUC56" s="913"/>
      <c r="JUD56" s="913"/>
      <c r="JUE56" s="913"/>
      <c r="JUF56" s="913"/>
      <c r="JUG56" s="913"/>
      <c r="JUH56" s="913"/>
      <c r="JUI56" s="913"/>
      <c r="JUJ56" s="913"/>
      <c r="JUK56" s="913"/>
      <c r="JUL56" s="913"/>
      <c r="JUM56" s="913"/>
      <c r="JUN56" s="913"/>
      <c r="JUO56" s="913"/>
      <c r="JUP56" s="913"/>
      <c r="JUQ56" s="913"/>
      <c r="JUR56" s="913"/>
      <c r="JUS56" s="913"/>
      <c r="JUT56" s="913"/>
      <c r="JUU56" s="913"/>
      <c r="JUV56" s="913"/>
      <c r="JUW56" s="913"/>
      <c r="JUX56" s="913"/>
      <c r="JUY56" s="913"/>
      <c r="JUZ56" s="913"/>
      <c r="JVA56" s="913"/>
      <c r="JVB56" s="913"/>
      <c r="JVC56" s="913"/>
      <c r="JVD56" s="913"/>
      <c r="JVE56" s="913"/>
      <c r="JVF56" s="913"/>
      <c r="JVG56" s="913"/>
      <c r="JVH56" s="913"/>
      <c r="JVI56" s="913"/>
      <c r="JVJ56" s="913"/>
      <c r="JVK56" s="913"/>
      <c r="JVL56" s="913"/>
      <c r="JVM56" s="913"/>
      <c r="JVN56" s="913"/>
      <c r="JVO56" s="913"/>
      <c r="JVP56" s="913"/>
      <c r="JVQ56" s="913"/>
      <c r="JVR56" s="913"/>
      <c r="JVS56" s="913"/>
      <c r="JVT56" s="913"/>
      <c r="JVU56" s="913"/>
      <c r="JVV56" s="913"/>
      <c r="JVW56" s="913"/>
      <c r="JVX56" s="913"/>
      <c r="JVY56" s="913"/>
      <c r="JVZ56" s="913"/>
      <c r="JWA56" s="913"/>
      <c r="JWB56" s="913"/>
      <c r="JWC56" s="913"/>
      <c r="JWD56" s="913"/>
      <c r="JWE56" s="913"/>
      <c r="JWF56" s="913"/>
      <c r="JWG56" s="913"/>
      <c r="JWH56" s="913"/>
      <c r="JWI56" s="913"/>
      <c r="JWJ56" s="913"/>
      <c r="JWK56" s="913"/>
      <c r="JWL56" s="913"/>
      <c r="JWM56" s="913"/>
      <c r="JWN56" s="913"/>
      <c r="JWO56" s="913"/>
      <c r="JWP56" s="913"/>
      <c r="JWQ56" s="913"/>
      <c r="JWR56" s="913"/>
      <c r="JWS56" s="913"/>
      <c r="JWT56" s="913"/>
      <c r="JWU56" s="913"/>
      <c r="JWV56" s="913"/>
      <c r="JWW56" s="913"/>
      <c r="JWX56" s="913"/>
      <c r="JWY56" s="913"/>
      <c r="JWZ56" s="913"/>
      <c r="JXA56" s="913"/>
      <c r="JXB56" s="913"/>
      <c r="JXC56" s="913"/>
      <c r="JXD56" s="913"/>
      <c r="JXE56" s="913"/>
      <c r="JXF56" s="913"/>
      <c r="JXG56" s="913"/>
      <c r="JXH56" s="913"/>
      <c r="JXI56" s="913"/>
      <c r="JXJ56" s="913"/>
      <c r="JXK56" s="913"/>
      <c r="JXL56" s="913"/>
      <c r="JXM56" s="913"/>
      <c r="JXN56" s="913"/>
      <c r="JXO56" s="913"/>
      <c r="JXP56" s="913"/>
      <c r="JXQ56" s="913"/>
      <c r="JXR56" s="913"/>
      <c r="JXS56" s="913"/>
      <c r="JXT56" s="913"/>
      <c r="JXU56" s="913"/>
      <c r="JXV56" s="913"/>
      <c r="JXW56" s="913"/>
      <c r="JXX56" s="913"/>
      <c r="JXY56" s="913"/>
      <c r="JXZ56" s="913"/>
      <c r="JYA56" s="913"/>
      <c r="JYB56" s="913"/>
      <c r="JYC56" s="913"/>
      <c r="JYD56" s="913"/>
      <c r="JYE56" s="913"/>
      <c r="JYF56" s="913"/>
      <c r="JYG56" s="913"/>
      <c r="JYH56" s="913"/>
      <c r="JYI56" s="913"/>
      <c r="JYJ56" s="913"/>
      <c r="JYK56" s="913"/>
      <c r="JYL56" s="913"/>
      <c r="JYM56" s="913"/>
      <c r="JYN56" s="913"/>
      <c r="JYO56" s="913"/>
      <c r="JYP56" s="913"/>
      <c r="JYQ56" s="913"/>
      <c r="JYR56" s="913"/>
      <c r="JYS56" s="913"/>
      <c r="JYT56" s="913"/>
      <c r="JYU56" s="913"/>
      <c r="JYV56" s="913"/>
      <c r="JYW56" s="913"/>
      <c r="JYX56" s="913"/>
      <c r="JYY56" s="913"/>
      <c r="JYZ56" s="913"/>
      <c r="JZA56" s="913"/>
      <c r="JZB56" s="913"/>
      <c r="JZC56" s="913"/>
      <c r="JZD56" s="913"/>
      <c r="JZE56" s="913"/>
      <c r="JZF56" s="913"/>
      <c r="JZG56" s="913"/>
      <c r="JZH56" s="913"/>
      <c r="JZI56" s="913"/>
      <c r="JZJ56" s="913"/>
      <c r="JZK56" s="913"/>
      <c r="JZL56" s="913"/>
      <c r="JZM56" s="913"/>
      <c r="JZN56" s="913"/>
      <c r="JZO56" s="913"/>
      <c r="JZP56" s="913"/>
      <c r="JZQ56" s="913"/>
      <c r="JZR56" s="913"/>
      <c r="JZS56" s="913"/>
      <c r="JZT56" s="913"/>
      <c r="JZU56" s="913"/>
      <c r="JZV56" s="913"/>
      <c r="JZW56" s="913"/>
      <c r="JZX56" s="913"/>
      <c r="JZY56" s="913"/>
      <c r="JZZ56" s="913"/>
      <c r="KAA56" s="913"/>
      <c r="KAB56" s="913"/>
      <c r="KAC56" s="913"/>
      <c r="KAD56" s="913"/>
      <c r="KAE56" s="913"/>
      <c r="KAF56" s="913"/>
      <c r="KAG56" s="913"/>
      <c r="KAH56" s="913"/>
      <c r="KAI56" s="913"/>
      <c r="KAJ56" s="913"/>
      <c r="KAK56" s="913"/>
      <c r="KAL56" s="913"/>
      <c r="KAM56" s="913"/>
      <c r="KAN56" s="913"/>
      <c r="KAO56" s="913"/>
      <c r="KAP56" s="913"/>
      <c r="KAQ56" s="913"/>
      <c r="KAR56" s="913"/>
      <c r="KAS56" s="913"/>
      <c r="KAT56" s="913"/>
      <c r="KAU56" s="913"/>
      <c r="KAV56" s="913"/>
      <c r="KAW56" s="913"/>
      <c r="KAX56" s="913"/>
      <c r="KAY56" s="913"/>
      <c r="KAZ56" s="913"/>
      <c r="KBA56" s="913"/>
      <c r="KBB56" s="913"/>
      <c r="KBC56" s="913"/>
      <c r="KBD56" s="913"/>
      <c r="KBE56" s="913"/>
      <c r="KBF56" s="913"/>
      <c r="KBG56" s="913"/>
      <c r="KBH56" s="913"/>
      <c r="KBI56" s="913"/>
      <c r="KBJ56" s="913"/>
      <c r="KBK56" s="913"/>
      <c r="KBL56" s="913"/>
      <c r="KBM56" s="913"/>
      <c r="KBN56" s="913"/>
      <c r="KBO56" s="913"/>
      <c r="KBP56" s="913"/>
      <c r="KBQ56" s="913"/>
      <c r="KBR56" s="913"/>
      <c r="KBS56" s="913"/>
      <c r="KBT56" s="913"/>
      <c r="KBU56" s="913"/>
      <c r="KBV56" s="913"/>
      <c r="KBW56" s="913"/>
      <c r="KBX56" s="913"/>
      <c r="KBY56" s="913"/>
      <c r="KBZ56" s="913"/>
      <c r="KCA56" s="913"/>
      <c r="KCB56" s="913"/>
      <c r="KCC56" s="913"/>
      <c r="KCD56" s="913"/>
      <c r="KCE56" s="913"/>
      <c r="KCF56" s="913"/>
      <c r="KCG56" s="913"/>
      <c r="KCH56" s="913"/>
      <c r="KCI56" s="913"/>
      <c r="KCJ56" s="913"/>
      <c r="KCK56" s="913"/>
      <c r="KCL56" s="913"/>
      <c r="KCM56" s="913"/>
      <c r="KCN56" s="913"/>
      <c r="KCO56" s="913"/>
      <c r="KCP56" s="913"/>
      <c r="KCQ56" s="913"/>
      <c r="KCR56" s="913"/>
      <c r="KCS56" s="913"/>
      <c r="KCT56" s="913"/>
      <c r="KCU56" s="913"/>
      <c r="KCV56" s="913"/>
      <c r="KCW56" s="913"/>
      <c r="KCX56" s="913"/>
      <c r="KCY56" s="913"/>
      <c r="KCZ56" s="913"/>
      <c r="KDA56" s="913"/>
      <c r="KDB56" s="913"/>
      <c r="KDC56" s="913"/>
      <c r="KDD56" s="913"/>
      <c r="KDE56" s="913"/>
      <c r="KDF56" s="913"/>
      <c r="KDG56" s="913"/>
      <c r="KDH56" s="913"/>
      <c r="KDI56" s="913"/>
      <c r="KDJ56" s="913"/>
      <c r="KDK56" s="913"/>
      <c r="KDL56" s="913"/>
      <c r="KDM56" s="913"/>
      <c r="KDN56" s="913"/>
      <c r="KDO56" s="913"/>
      <c r="KDP56" s="913"/>
      <c r="KDQ56" s="913"/>
      <c r="KDR56" s="913"/>
      <c r="KDS56" s="913"/>
      <c r="KDT56" s="913"/>
      <c r="KDU56" s="913"/>
      <c r="KDV56" s="913"/>
      <c r="KDW56" s="913"/>
      <c r="KDX56" s="913"/>
      <c r="KDY56" s="913"/>
      <c r="KDZ56" s="913"/>
      <c r="KEA56" s="913"/>
      <c r="KEB56" s="913"/>
      <c r="KEC56" s="913"/>
      <c r="KED56" s="913"/>
      <c r="KEE56" s="913"/>
      <c r="KEF56" s="913"/>
      <c r="KEG56" s="913"/>
      <c r="KEH56" s="913"/>
      <c r="KEI56" s="913"/>
      <c r="KEJ56" s="913"/>
      <c r="KEK56" s="913"/>
      <c r="KEL56" s="913"/>
      <c r="KEM56" s="913"/>
      <c r="KEN56" s="913"/>
      <c r="KEO56" s="913"/>
      <c r="KEP56" s="913"/>
      <c r="KEQ56" s="913"/>
      <c r="KER56" s="913"/>
      <c r="KES56" s="913"/>
      <c r="KET56" s="913"/>
      <c r="KEU56" s="913"/>
      <c r="KEV56" s="913"/>
      <c r="KEW56" s="913"/>
      <c r="KEX56" s="913"/>
      <c r="KEY56" s="913"/>
      <c r="KEZ56" s="913"/>
      <c r="KFA56" s="913"/>
      <c r="KFB56" s="913"/>
      <c r="KFC56" s="913"/>
      <c r="KFD56" s="913"/>
      <c r="KFE56" s="913"/>
      <c r="KFF56" s="913"/>
      <c r="KFG56" s="913"/>
      <c r="KFH56" s="913"/>
      <c r="KFI56" s="913"/>
      <c r="KFJ56" s="913"/>
      <c r="KFK56" s="913"/>
      <c r="KFL56" s="913"/>
      <c r="KFM56" s="913"/>
      <c r="KFN56" s="913"/>
      <c r="KFO56" s="913"/>
      <c r="KFP56" s="913"/>
      <c r="KFQ56" s="913"/>
      <c r="KFR56" s="913"/>
      <c r="KFS56" s="913"/>
      <c r="KFT56" s="913"/>
      <c r="KFU56" s="913"/>
      <c r="KFV56" s="913"/>
      <c r="KFW56" s="913"/>
      <c r="KFX56" s="913"/>
      <c r="KFY56" s="913"/>
      <c r="KFZ56" s="913"/>
      <c r="KGA56" s="913"/>
      <c r="KGB56" s="913"/>
      <c r="KGC56" s="913"/>
      <c r="KGD56" s="913"/>
      <c r="KGE56" s="913"/>
      <c r="KGF56" s="913"/>
      <c r="KGG56" s="913"/>
      <c r="KGH56" s="913"/>
      <c r="KGI56" s="913"/>
      <c r="KGJ56" s="913"/>
      <c r="KGK56" s="913"/>
      <c r="KGL56" s="913"/>
      <c r="KGM56" s="913"/>
      <c r="KGN56" s="913"/>
      <c r="KGO56" s="913"/>
      <c r="KGP56" s="913"/>
      <c r="KGQ56" s="913"/>
      <c r="KGR56" s="913"/>
      <c r="KGS56" s="913"/>
      <c r="KGT56" s="913"/>
      <c r="KGU56" s="913"/>
      <c r="KGV56" s="913"/>
      <c r="KGW56" s="913"/>
      <c r="KGX56" s="913"/>
      <c r="KGY56" s="913"/>
      <c r="KGZ56" s="913"/>
      <c r="KHA56" s="913"/>
      <c r="KHB56" s="913"/>
      <c r="KHC56" s="913"/>
      <c r="KHD56" s="913"/>
      <c r="KHE56" s="913"/>
      <c r="KHF56" s="913"/>
      <c r="KHG56" s="913"/>
      <c r="KHH56" s="913"/>
      <c r="KHI56" s="913"/>
      <c r="KHJ56" s="913"/>
      <c r="KHK56" s="913"/>
      <c r="KHL56" s="913"/>
      <c r="KHM56" s="913"/>
      <c r="KHN56" s="913"/>
      <c r="KHO56" s="913"/>
      <c r="KHP56" s="913"/>
      <c r="KHQ56" s="913"/>
      <c r="KHR56" s="913"/>
      <c r="KHS56" s="913"/>
      <c r="KHT56" s="913"/>
      <c r="KHU56" s="913"/>
      <c r="KHV56" s="913"/>
      <c r="KHW56" s="913"/>
      <c r="KHX56" s="913"/>
      <c r="KHY56" s="913"/>
      <c r="KHZ56" s="913"/>
      <c r="KIA56" s="913"/>
      <c r="KIB56" s="913"/>
      <c r="KIC56" s="913"/>
      <c r="KID56" s="913"/>
      <c r="KIE56" s="913"/>
      <c r="KIF56" s="913"/>
      <c r="KIG56" s="913"/>
      <c r="KIH56" s="913"/>
      <c r="KII56" s="913"/>
      <c r="KIJ56" s="913"/>
      <c r="KIK56" s="913"/>
      <c r="KIL56" s="913"/>
      <c r="KIM56" s="913"/>
      <c r="KIN56" s="913"/>
      <c r="KIO56" s="913"/>
      <c r="KIP56" s="913"/>
      <c r="KIQ56" s="913"/>
      <c r="KIR56" s="913"/>
      <c r="KIS56" s="913"/>
      <c r="KIT56" s="913"/>
      <c r="KIU56" s="913"/>
      <c r="KIV56" s="913"/>
      <c r="KIW56" s="913"/>
      <c r="KIX56" s="913"/>
      <c r="KIY56" s="913"/>
      <c r="KIZ56" s="913"/>
      <c r="KJA56" s="913"/>
      <c r="KJB56" s="913"/>
      <c r="KJC56" s="913"/>
      <c r="KJD56" s="913"/>
      <c r="KJE56" s="913"/>
      <c r="KJF56" s="913"/>
      <c r="KJG56" s="913"/>
      <c r="KJH56" s="913"/>
      <c r="KJI56" s="913"/>
      <c r="KJJ56" s="913"/>
      <c r="KJK56" s="913"/>
      <c r="KJL56" s="913"/>
      <c r="KJM56" s="913"/>
      <c r="KJN56" s="913"/>
      <c r="KJO56" s="913"/>
      <c r="KJP56" s="913"/>
      <c r="KJQ56" s="913"/>
      <c r="KJR56" s="913"/>
      <c r="KJS56" s="913"/>
      <c r="KJT56" s="913"/>
      <c r="KJU56" s="913"/>
      <c r="KJV56" s="913"/>
      <c r="KJW56" s="913"/>
      <c r="KJX56" s="913"/>
      <c r="KJY56" s="913"/>
      <c r="KJZ56" s="913"/>
      <c r="KKA56" s="913"/>
      <c r="KKB56" s="913"/>
      <c r="KKC56" s="913"/>
      <c r="KKD56" s="913"/>
      <c r="KKE56" s="913"/>
      <c r="KKF56" s="913"/>
      <c r="KKG56" s="913"/>
      <c r="KKH56" s="913"/>
      <c r="KKI56" s="913"/>
      <c r="KKJ56" s="913"/>
      <c r="KKK56" s="913"/>
      <c r="KKL56" s="913"/>
      <c r="KKM56" s="913"/>
      <c r="KKN56" s="913"/>
      <c r="KKO56" s="913"/>
      <c r="KKP56" s="913"/>
      <c r="KKQ56" s="913"/>
      <c r="KKR56" s="913"/>
      <c r="KKS56" s="913"/>
      <c r="KKT56" s="913"/>
      <c r="KKU56" s="913"/>
      <c r="KKV56" s="913"/>
      <c r="KKW56" s="913"/>
      <c r="KKX56" s="913"/>
      <c r="KKY56" s="913"/>
      <c r="KKZ56" s="913"/>
      <c r="KLA56" s="913"/>
      <c r="KLB56" s="913"/>
      <c r="KLC56" s="913"/>
      <c r="KLD56" s="913"/>
      <c r="KLE56" s="913"/>
      <c r="KLF56" s="913"/>
      <c r="KLG56" s="913"/>
      <c r="KLH56" s="913"/>
      <c r="KLI56" s="913"/>
      <c r="KLJ56" s="913"/>
      <c r="KLK56" s="913"/>
      <c r="KLL56" s="913"/>
      <c r="KLM56" s="913"/>
      <c r="KLN56" s="913"/>
      <c r="KLO56" s="913"/>
      <c r="KLP56" s="913"/>
      <c r="KLQ56" s="913"/>
      <c r="KLR56" s="913"/>
      <c r="KLS56" s="913"/>
      <c r="KLT56" s="913"/>
      <c r="KLU56" s="913"/>
      <c r="KLV56" s="913"/>
      <c r="KLW56" s="913"/>
      <c r="KLX56" s="913"/>
      <c r="KLY56" s="913"/>
      <c r="KLZ56" s="913"/>
      <c r="KMA56" s="913"/>
      <c r="KMB56" s="913"/>
      <c r="KMC56" s="913"/>
      <c r="KMD56" s="913"/>
      <c r="KME56" s="913"/>
      <c r="KMF56" s="913"/>
      <c r="KMG56" s="913"/>
      <c r="KMH56" s="913"/>
      <c r="KMI56" s="913"/>
      <c r="KMJ56" s="913"/>
      <c r="KMK56" s="913"/>
      <c r="KML56" s="913"/>
      <c r="KMM56" s="913"/>
      <c r="KMN56" s="913"/>
      <c r="KMO56" s="913"/>
      <c r="KMP56" s="913"/>
      <c r="KMQ56" s="913"/>
      <c r="KMR56" s="913"/>
      <c r="KMS56" s="913"/>
      <c r="KMT56" s="913"/>
      <c r="KMU56" s="913"/>
      <c r="KMV56" s="913"/>
      <c r="KMW56" s="913"/>
      <c r="KMX56" s="913"/>
      <c r="KMY56" s="913"/>
      <c r="KMZ56" s="913"/>
      <c r="KNA56" s="913"/>
      <c r="KNB56" s="913"/>
      <c r="KNC56" s="913"/>
      <c r="KND56" s="913"/>
      <c r="KNE56" s="913"/>
      <c r="KNF56" s="913"/>
      <c r="KNG56" s="913"/>
      <c r="KNH56" s="913"/>
      <c r="KNI56" s="913"/>
      <c r="KNJ56" s="913"/>
      <c r="KNK56" s="913"/>
      <c r="KNL56" s="913"/>
      <c r="KNM56" s="913"/>
      <c r="KNN56" s="913"/>
      <c r="KNO56" s="913"/>
      <c r="KNP56" s="913"/>
      <c r="KNQ56" s="913"/>
      <c r="KNR56" s="913"/>
      <c r="KNS56" s="913"/>
      <c r="KNT56" s="913"/>
      <c r="KNU56" s="913"/>
      <c r="KNV56" s="913"/>
      <c r="KNW56" s="913"/>
      <c r="KNX56" s="913"/>
      <c r="KNY56" s="913"/>
      <c r="KNZ56" s="913"/>
      <c r="KOA56" s="913"/>
      <c r="KOB56" s="913"/>
      <c r="KOC56" s="913"/>
      <c r="KOD56" s="913"/>
      <c r="KOE56" s="913"/>
      <c r="KOF56" s="913"/>
      <c r="KOG56" s="913"/>
      <c r="KOH56" s="913"/>
      <c r="KOI56" s="913"/>
      <c r="KOJ56" s="913"/>
      <c r="KOK56" s="913"/>
      <c r="KOL56" s="913"/>
      <c r="KOM56" s="913"/>
      <c r="KON56" s="913"/>
      <c r="KOO56" s="913"/>
      <c r="KOP56" s="913"/>
      <c r="KOQ56" s="913"/>
      <c r="KOR56" s="913"/>
      <c r="KOS56" s="913"/>
      <c r="KOT56" s="913"/>
      <c r="KOU56" s="913"/>
      <c r="KOV56" s="913"/>
      <c r="KOW56" s="913"/>
      <c r="KOX56" s="913"/>
      <c r="KOY56" s="913"/>
      <c r="KOZ56" s="913"/>
      <c r="KPA56" s="913"/>
      <c r="KPB56" s="913"/>
      <c r="KPC56" s="913"/>
      <c r="KPD56" s="913"/>
      <c r="KPE56" s="913"/>
      <c r="KPF56" s="913"/>
      <c r="KPG56" s="913"/>
      <c r="KPH56" s="913"/>
      <c r="KPI56" s="913"/>
      <c r="KPJ56" s="913"/>
      <c r="KPK56" s="913"/>
      <c r="KPL56" s="913"/>
      <c r="KPM56" s="913"/>
      <c r="KPN56" s="913"/>
      <c r="KPO56" s="913"/>
      <c r="KPP56" s="913"/>
      <c r="KPQ56" s="913"/>
      <c r="KPR56" s="913"/>
      <c r="KPS56" s="913"/>
      <c r="KPT56" s="913"/>
      <c r="KPU56" s="913"/>
      <c r="KPV56" s="913"/>
      <c r="KPW56" s="913"/>
      <c r="KPX56" s="913"/>
      <c r="KPY56" s="913"/>
      <c r="KPZ56" s="913"/>
      <c r="KQA56" s="913"/>
      <c r="KQB56" s="913"/>
      <c r="KQC56" s="913"/>
      <c r="KQD56" s="913"/>
      <c r="KQE56" s="913"/>
      <c r="KQF56" s="913"/>
      <c r="KQG56" s="913"/>
      <c r="KQH56" s="913"/>
      <c r="KQI56" s="913"/>
      <c r="KQJ56" s="913"/>
      <c r="KQK56" s="913"/>
      <c r="KQL56" s="913"/>
      <c r="KQM56" s="913"/>
      <c r="KQN56" s="913"/>
      <c r="KQO56" s="913"/>
      <c r="KQP56" s="913"/>
      <c r="KQQ56" s="913"/>
      <c r="KQR56" s="913"/>
      <c r="KQS56" s="913"/>
      <c r="KQT56" s="913"/>
      <c r="KQU56" s="913"/>
      <c r="KQV56" s="913"/>
      <c r="KQW56" s="913"/>
      <c r="KQX56" s="913"/>
      <c r="KQY56" s="913"/>
      <c r="KQZ56" s="913"/>
      <c r="KRA56" s="913"/>
      <c r="KRB56" s="913"/>
      <c r="KRC56" s="913"/>
      <c r="KRD56" s="913"/>
      <c r="KRE56" s="913"/>
      <c r="KRF56" s="913"/>
      <c r="KRG56" s="913"/>
      <c r="KRH56" s="913"/>
      <c r="KRI56" s="913"/>
      <c r="KRJ56" s="913"/>
      <c r="KRK56" s="913"/>
      <c r="KRL56" s="913"/>
      <c r="KRM56" s="913"/>
      <c r="KRN56" s="913"/>
      <c r="KRO56" s="913"/>
      <c r="KRP56" s="913"/>
      <c r="KRQ56" s="913"/>
      <c r="KRR56" s="913"/>
      <c r="KRS56" s="913"/>
      <c r="KRT56" s="913"/>
      <c r="KRU56" s="913"/>
      <c r="KRV56" s="913"/>
      <c r="KRW56" s="913"/>
      <c r="KRX56" s="913"/>
      <c r="KRY56" s="913"/>
      <c r="KRZ56" s="913"/>
      <c r="KSA56" s="913"/>
      <c r="KSB56" s="913"/>
      <c r="KSC56" s="913"/>
      <c r="KSD56" s="913"/>
      <c r="KSE56" s="913"/>
      <c r="KSF56" s="913"/>
      <c r="KSG56" s="913"/>
      <c r="KSH56" s="913"/>
      <c r="KSI56" s="913"/>
      <c r="KSJ56" s="913"/>
      <c r="KSK56" s="913"/>
      <c r="KSL56" s="913"/>
      <c r="KSM56" s="913"/>
      <c r="KSN56" s="913"/>
      <c r="KSO56" s="913"/>
      <c r="KSP56" s="913"/>
      <c r="KSQ56" s="913"/>
      <c r="KSR56" s="913"/>
      <c r="KSS56" s="913"/>
      <c r="KST56" s="913"/>
      <c r="KSU56" s="913"/>
      <c r="KSV56" s="913"/>
      <c r="KSW56" s="913"/>
      <c r="KSX56" s="913"/>
      <c r="KSY56" s="913"/>
      <c r="KSZ56" s="913"/>
      <c r="KTA56" s="913"/>
      <c r="KTB56" s="913"/>
      <c r="KTC56" s="913"/>
      <c r="KTD56" s="913"/>
      <c r="KTE56" s="913"/>
      <c r="KTF56" s="913"/>
      <c r="KTG56" s="913"/>
      <c r="KTH56" s="913"/>
      <c r="KTI56" s="913"/>
      <c r="KTJ56" s="913"/>
      <c r="KTK56" s="913"/>
      <c r="KTL56" s="913"/>
      <c r="KTM56" s="913"/>
      <c r="KTN56" s="913"/>
      <c r="KTO56" s="913"/>
      <c r="KTP56" s="913"/>
      <c r="KTQ56" s="913"/>
      <c r="KTR56" s="913"/>
      <c r="KTS56" s="913"/>
      <c r="KTT56" s="913"/>
      <c r="KTU56" s="913"/>
      <c r="KTV56" s="913"/>
      <c r="KTW56" s="913"/>
      <c r="KTX56" s="913"/>
      <c r="KTY56" s="913"/>
      <c r="KTZ56" s="913"/>
      <c r="KUA56" s="913"/>
      <c r="KUB56" s="913"/>
      <c r="KUC56" s="913"/>
      <c r="KUD56" s="913"/>
      <c r="KUE56" s="913"/>
      <c r="KUF56" s="913"/>
      <c r="KUG56" s="913"/>
      <c r="KUH56" s="913"/>
      <c r="KUI56" s="913"/>
      <c r="KUJ56" s="913"/>
      <c r="KUK56" s="913"/>
      <c r="KUL56" s="913"/>
      <c r="KUM56" s="913"/>
      <c r="KUN56" s="913"/>
      <c r="KUO56" s="913"/>
      <c r="KUP56" s="913"/>
      <c r="KUQ56" s="913"/>
      <c r="KUR56" s="913"/>
      <c r="KUS56" s="913"/>
      <c r="KUT56" s="913"/>
      <c r="KUU56" s="913"/>
      <c r="KUV56" s="913"/>
      <c r="KUW56" s="913"/>
      <c r="KUX56" s="913"/>
      <c r="KUY56" s="913"/>
      <c r="KUZ56" s="913"/>
      <c r="KVA56" s="913"/>
      <c r="KVB56" s="913"/>
      <c r="KVC56" s="913"/>
      <c r="KVD56" s="913"/>
      <c r="KVE56" s="913"/>
      <c r="KVF56" s="913"/>
      <c r="KVG56" s="913"/>
      <c r="KVH56" s="913"/>
      <c r="KVI56" s="913"/>
      <c r="KVJ56" s="913"/>
      <c r="KVK56" s="913"/>
      <c r="KVL56" s="913"/>
      <c r="KVM56" s="913"/>
      <c r="KVN56" s="913"/>
      <c r="KVO56" s="913"/>
      <c r="KVP56" s="913"/>
      <c r="KVQ56" s="913"/>
      <c r="KVR56" s="913"/>
      <c r="KVS56" s="913"/>
      <c r="KVT56" s="913"/>
      <c r="KVU56" s="913"/>
      <c r="KVV56" s="913"/>
      <c r="KVW56" s="913"/>
      <c r="KVX56" s="913"/>
      <c r="KVY56" s="913"/>
      <c r="KVZ56" s="913"/>
      <c r="KWA56" s="913"/>
      <c r="KWB56" s="913"/>
      <c r="KWC56" s="913"/>
      <c r="KWD56" s="913"/>
      <c r="KWE56" s="913"/>
      <c r="KWF56" s="913"/>
      <c r="KWG56" s="913"/>
      <c r="KWH56" s="913"/>
      <c r="KWI56" s="913"/>
      <c r="KWJ56" s="913"/>
      <c r="KWK56" s="913"/>
      <c r="KWL56" s="913"/>
      <c r="KWM56" s="913"/>
      <c r="KWN56" s="913"/>
      <c r="KWO56" s="913"/>
      <c r="KWP56" s="913"/>
      <c r="KWQ56" s="913"/>
      <c r="KWR56" s="913"/>
      <c r="KWS56" s="913"/>
      <c r="KWT56" s="913"/>
      <c r="KWU56" s="913"/>
      <c r="KWV56" s="913"/>
      <c r="KWW56" s="913"/>
      <c r="KWX56" s="913"/>
      <c r="KWY56" s="913"/>
      <c r="KWZ56" s="913"/>
      <c r="KXA56" s="913"/>
      <c r="KXB56" s="913"/>
      <c r="KXC56" s="913"/>
      <c r="KXD56" s="913"/>
      <c r="KXE56" s="913"/>
      <c r="KXF56" s="913"/>
      <c r="KXG56" s="913"/>
      <c r="KXH56" s="913"/>
      <c r="KXI56" s="913"/>
      <c r="KXJ56" s="913"/>
      <c r="KXK56" s="913"/>
      <c r="KXL56" s="913"/>
      <c r="KXM56" s="913"/>
      <c r="KXN56" s="913"/>
      <c r="KXO56" s="913"/>
      <c r="KXP56" s="913"/>
      <c r="KXQ56" s="913"/>
      <c r="KXR56" s="913"/>
      <c r="KXS56" s="913"/>
      <c r="KXT56" s="913"/>
      <c r="KXU56" s="913"/>
      <c r="KXV56" s="913"/>
      <c r="KXW56" s="913"/>
      <c r="KXX56" s="913"/>
      <c r="KXY56" s="913"/>
      <c r="KXZ56" s="913"/>
      <c r="KYA56" s="913"/>
      <c r="KYB56" s="913"/>
      <c r="KYC56" s="913"/>
      <c r="KYD56" s="913"/>
      <c r="KYE56" s="913"/>
      <c r="KYF56" s="913"/>
      <c r="KYG56" s="913"/>
      <c r="KYH56" s="913"/>
      <c r="KYI56" s="913"/>
      <c r="KYJ56" s="913"/>
      <c r="KYK56" s="913"/>
      <c r="KYL56" s="913"/>
      <c r="KYM56" s="913"/>
      <c r="KYN56" s="913"/>
      <c r="KYO56" s="913"/>
      <c r="KYP56" s="913"/>
      <c r="KYQ56" s="913"/>
      <c r="KYR56" s="913"/>
      <c r="KYS56" s="913"/>
      <c r="KYT56" s="913"/>
      <c r="KYU56" s="913"/>
      <c r="KYV56" s="913"/>
      <c r="KYW56" s="913"/>
      <c r="KYX56" s="913"/>
      <c r="KYY56" s="913"/>
      <c r="KYZ56" s="913"/>
      <c r="KZA56" s="913"/>
      <c r="KZB56" s="913"/>
      <c r="KZC56" s="913"/>
      <c r="KZD56" s="913"/>
      <c r="KZE56" s="913"/>
      <c r="KZF56" s="913"/>
      <c r="KZG56" s="913"/>
      <c r="KZH56" s="913"/>
      <c r="KZI56" s="913"/>
      <c r="KZJ56" s="913"/>
      <c r="KZK56" s="913"/>
      <c r="KZL56" s="913"/>
      <c r="KZM56" s="913"/>
      <c r="KZN56" s="913"/>
      <c r="KZO56" s="913"/>
      <c r="KZP56" s="913"/>
      <c r="KZQ56" s="913"/>
      <c r="KZR56" s="913"/>
      <c r="KZS56" s="913"/>
      <c r="KZT56" s="913"/>
      <c r="KZU56" s="913"/>
      <c r="KZV56" s="913"/>
      <c r="KZW56" s="913"/>
      <c r="KZX56" s="913"/>
      <c r="KZY56" s="913"/>
      <c r="KZZ56" s="913"/>
      <c r="LAA56" s="913"/>
      <c r="LAB56" s="913"/>
      <c r="LAC56" s="913"/>
      <c r="LAD56" s="913"/>
      <c r="LAE56" s="913"/>
      <c r="LAF56" s="913"/>
      <c r="LAG56" s="913"/>
      <c r="LAH56" s="913"/>
      <c r="LAI56" s="913"/>
      <c r="LAJ56" s="913"/>
      <c r="LAK56" s="913"/>
      <c r="LAL56" s="913"/>
      <c r="LAM56" s="913"/>
      <c r="LAN56" s="913"/>
      <c r="LAO56" s="913"/>
      <c r="LAP56" s="913"/>
      <c r="LAQ56" s="913"/>
      <c r="LAR56" s="913"/>
      <c r="LAS56" s="913"/>
      <c r="LAT56" s="913"/>
      <c r="LAU56" s="913"/>
      <c r="LAV56" s="913"/>
      <c r="LAW56" s="913"/>
      <c r="LAX56" s="913"/>
      <c r="LAY56" s="913"/>
      <c r="LAZ56" s="913"/>
      <c r="LBA56" s="913"/>
      <c r="LBB56" s="913"/>
      <c r="LBC56" s="913"/>
      <c r="LBD56" s="913"/>
      <c r="LBE56" s="913"/>
      <c r="LBF56" s="913"/>
      <c r="LBG56" s="913"/>
      <c r="LBH56" s="913"/>
      <c r="LBI56" s="913"/>
      <c r="LBJ56" s="913"/>
      <c r="LBK56" s="913"/>
      <c r="LBL56" s="913"/>
      <c r="LBM56" s="913"/>
      <c r="LBN56" s="913"/>
      <c r="LBO56" s="913"/>
      <c r="LBP56" s="913"/>
      <c r="LBQ56" s="913"/>
      <c r="LBR56" s="913"/>
      <c r="LBS56" s="913"/>
      <c r="LBT56" s="913"/>
      <c r="LBU56" s="913"/>
      <c r="LBV56" s="913"/>
      <c r="LBW56" s="913"/>
      <c r="LBX56" s="913"/>
      <c r="LBY56" s="913"/>
      <c r="LBZ56" s="913"/>
      <c r="LCA56" s="913"/>
      <c r="LCB56" s="913"/>
      <c r="LCC56" s="913"/>
      <c r="LCD56" s="913"/>
      <c r="LCE56" s="913"/>
      <c r="LCF56" s="913"/>
      <c r="LCG56" s="913"/>
      <c r="LCH56" s="913"/>
      <c r="LCI56" s="913"/>
      <c r="LCJ56" s="913"/>
      <c r="LCK56" s="913"/>
      <c r="LCL56" s="913"/>
      <c r="LCM56" s="913"/>
      <c r="LCN56" s="913"/>
      <c r="LCO56" s="913"/>
      <c r="LCP56" s="913"/>
      <c r="LCQ56" s="913"/>
      <c r="LCR56" s="913"/>
      <c r="LCS56" s="913"/>
      <c r="LCT56" s="913"/>
      <c r="LCU56" s="913"/>
      <c r="LCV56" s="913"/>
      <c r="LCW56" s="913"/>
      <c r="LCX56" s="913"/>
      <c r="LCY56" s="913"/>
      <c r="LCZ56" s="913"/>
      <c r="LDA56" s="913"/>
      <c r="LDB56" s="913"/>
      <c r="LDC56" s="913"/>
      <c r="LDD56" s="913"/>
      <c r="LDE56" s="913"/>
      <c r="LDF56" s="913"/>
      <c r="LDG56" s="913"/>
      <c r="LDH56" s="913"/>
      <c r="LDI56" s="913"/>
      <c r="LDJ56" s="913"/>
      <c r="LDK56" s="913"/>
      <c r="LDL56" s="913"/>
      <c r="LDM56" s="913"/>
      <c r="LDN56" s="913"/>
      <c r="LDO56" s="913"/>
      <c r="LDP56" s="913"/>
      <c r="LDQ56" s="913"/>
      <c r="LDR56" s="913"/>
      <c r="LDS56" s="913"/>
      <c r="LDT56" s="913"/>
      <c r="LDU56" s="913"/>
      <c r="LDV56" s="913"/>
      <c r="LDW56" s="913"/>
      <c r="LDX56" s="913"/>
      <c r="LDY56" s="913"/>
      <c r="LDZ56" s="913"/>
      <c r="LEA56" s="913"/>
      <c r="LEB56" s="913"/>
      <c r="LEC56" s="913"/>
      <c r="LED56" s="913"/>
      <c r="LEE56" s="913"/>
      <c r="LEF56" s="913"/>
      <c r="LEG56" s="913"/>
      <c r="LEH56" s="913"/>
      <c r="LEI56" s="913"/>
      <c r="LEJ56" s="913"/>
      <c r="LEK56" s="913"/>
      <c r="LEL56" s="913"/>
      <c r="LEM56" s="913"/>
      <c r="LEN56" s="913"/>
      <c r="LEO56" s="913"/>
      <c r="LEP56" s="913"/>
      <c r="LEQ56" s="913"/>
      <c r="LER56" s="913"/>
      <c r="LES56" s="913"/>
      <c r="LET56" s="913"/>
      <c r="LEU56" s="913"/>
      <c r="LEV56" s="913"/>
      <c r="LEW56" s="913"/>
      <c r="LEX56" s="913"/>
      <c r="LEY56" s="913"/>
      <c r="LEZ56" s="913"/>
      <c r="LFA56" s="913"/>
      <c r="LFB56" s="913"/>
      <c r="LFC56" s="913"/>
      <c r="LFD56" s="913"/>
      <c r="LFE56" s="913"/>
      <c r="LFF56" s="913"/>
      <c r="LFG56" s="913"/>
      <c r="LFH56" s="913"/>
      <c r="LFI56" s="913"/>
      <c r="LFJ56" s="913"/>
      <c r="LFK56" s="913"/>
      <c r="LFL56" s="913"/>
      <c r="LFM56" s="913"/>
      <c r="LFN56" s="913"/>
      <c r="LFO56" s="913"/>
      <c r="LFP56" s="913"/>
      <c r="LFQ56" s="913"/>
      <c r="LFR56" s="913"/>
      <c r="LFS56" s="913"/>
      <c r="LFT56" s="913"/>
      <c r="LFU56" s="913"/>
      <c r="LFV56" s="913"/>
      <c r="LFW56" s="913"/>
      <c r="LFX56" s="913"/>
      <c r="LFY56" s="913"/>
      <c r="LFZ56" s="913"/>
      <c r="LGA56" s="913"/>
      <c r="LGB56" s="913"/>
      <c r="LGC56" s="913"/>
      <c r="LGD56" s="913"/>
      <c r="LGE56" s="913"/>
      <c r="LGF56" s="913"/>
      <c r="LGG56" s="913"/>
      <c r="LGH56" s="913"/>
      <c r="LGI56" s="913"/>
      <c r="LGJ56" s="913"/>
      <c r="LGK56" s="913"/>
      <c r="LGL56" s="913"/>
      <c r="LGM56" s="913"/>
      <c r="LGN56" s="913"/>
      <c r="LGO56" s="913"/>
      <c r="LGP56" s="913"/>
      <c r="LGQ56" s="913"/>
      <c r="LGR56" s="913"/>
      <c r="LGS56" s="913"/>
      <c r="LGT56" s="913"/>
      <c r="LGU56" s="913"/>
      <c r="LGV56" s="913"/>
      <c r="LGW56" s="913"/>
      <c r="LGX56" s="913"/>
      <c r="LGY56" s="913"/>
      <c r="LGZ56" s="913"/>
      <c r="LHA56" s="913"/>
      <c r="LHB56" s="913"/>
      <c r="LHC56" s="913"/>
      <c r="LHD56" s="913"/>
      <c r="LHE56" s="913"/>
      <c r="LHF56" s="913"/>
      <c r="LHG56" s="913"/>
      <c r="LHH56" s="913"/>
      <c r="LHI56" s="913"/>
      <c r="LHJ56" s="913"/>
      <c r="LHK56" s="913"/>
      <c r="LHL56" s="913"/>
      <c r="LHM56" s="913"/>
      <c r="LHN56" s="913"/>
      <c r="LHO56" s="913"/>
      <c r="LHP56" s="913"/>
      <c r="LHQ56" s="913"/>
      <c r="LHR56" s="913"/>
      <c r="LHS56" s="913"/>
      <c r="LHT56" s="913"/>
      <c r="LHU56" s="913"/>
      <c r="LHV56" s="913"/>
      <c r="LHW56" s="913"/>
      <c r="LHX56" s="913"/>
      <c r="LHY56" s="913"/>
      <c r="LHZ56" s="913"/>
      <c r="LIA56" s="913"/>
      <c r="LIB56" s="913"/>
      <c r="LIC56" s="913"/>
      <c r="LID56" s="913"/>
      <c r="LIE56" s="913"/>
      <c r="LIF56" s="913"/>
      <c r="LIG56" s="913"/>
      <c r="LIH56" s="913"/>
      <c r="LII56" s="913"/>
      <c r="LIJ56" s="913"/>
      <c r="LIK56" s="913"/>
      <c r="LIL56" s="913"/>
      <c r="LIM56" s="913"/>
      <c r="LIN56" s="913"/>
      <c r="LIO56" s="913"/>
      <c r="LIP56" s="913"/>
      <c r="LIQ56" s="913"/>
      <c r="LIR56" s="913"/>
      <c r="LIS56" s="913"/>
      <c r="LIT56" s="913"/>
      <c r="LIU56" s="913"/>
      <c r="LIV56" s="913"/>
      <c r="LIW56" s="913"/>
      <c r="LIX56" s="913"/>
      <c r="LIY56" s="913"/>
      <c r="LIZ56" s="913"/>
      <c r="LJA56" s="913"/>
      <c r="LJB56" s="913"/>
      <c r="LJC56" s="913"/>
      <c r="LJD56" s="913"/>
      <c r="LJE56" s="913"/>
      <c r="LJF56" s="913"/>
      <c r="LJG56" s="913"/>
      <c r="LJH56" s="913"/>
      <c r="LJI56" s="913"/>
      <c r="LJJ56" s="913"/>
      <c r="LJK56" s="913"/>
      <c r="LJL56" s="913"/>
      <c r="LJM56" s="913"/>
      <c r="LJN56" s="913"/>
      <c r="LJO56" s="913"/>
      <c r="LJP56" s="913"/>
      <c r="LJQ56" s="913"/>
      <c r="LJR56" s="913"/>
      <c r="LJS56" s="913"/>
      <c r="LJT56" s="913"/>
      <c r="LJU56" s="913"/>
      <c r="LJV56" s="913"/>
      <c r="LJW56" s="913"/>
      <c r="LJX56" s="913"/>
      <c r="LJY56" s="913"/>
      <c r="LJZ56" s="913"/>
      <c r="LKA56" s="913"/>
      <c r="LKB56" s="913"/>
      <c r="LKC56" s="913"/>
      <c r="LKD56" s="913"/>
      <c r="LKE56" s="913"/>
      <c r="LKF56" s="913"/>
      <c r="LKG56" s="913"/>
      <c r="LKH56" s="913"/>
      <c r="LKI56" s="913"/>
      <c r="LKJ56" s="913"/>
      <c r="LKK56" s="913"/>
      <c r="LKL56" s="913"/>
      <c r="LKM56" s="913"/>
      <c r="LKN56" s="913"/>
      <c r="LKO56" s="913"/>
      <c r="LKP56" s="913"/>
      <c r="LKQ56" s="913"/>
      <c r="LKR56" s="913"/>
      <c r="LKS56" s="913"/>
      <c r="LKT56" s="913"/>
      <c r="LKU56" s="913"/>
      <c r="LKV56" s="913"/>
      <c r="LKW56" s="913"/>
      <c r="LKX56" s="913"/>
      <c r="LKY56" s="913"/>
      <c r="LKZ56" s="913"/>
      <c r="LLA56" s="913"/>
      <c r="LLB56" s="913"/>
      <c r="LLC56" s="913"/>
      <c r="LLD56" s="913"/>
      <c r="LLE56" s="913"/>
      <c r="LLF56" s="913"/>
      <c r="LLG56" s="913"/>
      <c r="LLH56" s="913"/>
      <c r="LLI56" s="913"/>
      <c r="LLJ56" s="913"/>
      <c r="LLK56" s="913"/>
      <c r="LLL56" s="913"/>
      <c r="LLM56" s="913"/>
      <c r="LLN56" s="913"/>
      <c r="LLO56" s="913"/>
      <c r="LLP56" s="913"/>
      <c r="LLQ56" s="913"/>
      <c r="LLR56" s="913"/>
      <c r="LLS56" s="913"/>
      <c r="LLT56" s="913"/>
      <c r="LLU56" s="913"/>
      <c r="LLV56" s="913"/>
      <c r="LLW56" s="913"/>
      <c r="LLX56" s="913"/>
      <c r="LLY56" s="913"/>
      <c r="LLZ56" s="913"/>
      <c r="LMA56" s="913"/>
      <c r="LMB56" s="913"/>
      <c r="LMC56" s="913"/>
      <c r="LMD56" s="913"/>
      <c r="LME56" s="913"/>
      <c r="LMF56" s="913"/>
      <c r="LMG56" s="913"/>
      <c r="LMH56" s="913"/>
      <c r="LMI56" s="913"/>
      <c r="LMJ56" s="913"/>
      <c r="LMK56" s="913"/>
      <c r="LML56" s="913"/>
      <c r="LMM56" s="913"/>
      <c r="LMN56" s="913"/>
      <c r="LMO56" s="913"/>
      <c r="LMP56" s="913"/>
      <c r="LMQ56" s="913"/>
      <c r="LMR56" s="913"/>
      <c r="LMS56" s="913"/>
      <c r="LMT56" s="913"/>
      <c r="LMU56" s="913"/>
      <c r="LMV56" s="913"/>
      <c r="LMW56" s="913"/>
      <c r="LMX56" s="913"/>
      <c r="LMY56" s="913"/>
      <c r="LMZ56" s="913"/>
      <c r="LNA56" s="913"/>
      <c r="LNB56" s="913"/>
      <c r="LNC56" s="913"/>
      <c r="LND56" s="913"/>
      <c r="LNE56" s="913"/>
      <c r="LNF56" s="913"/>
      <c r="LNG56" s="913"/>
      <c r="LNH56" s="913"/>
      <c r="LNI56" s="913"/>
      <c r="LNJ56" s="913"/>
      <c r="LNK56" s="913"/>
      <c r="LNL56" s="913"/>
      <c r="LNM56" s="913"/>
      <c r="LNN56" s="913"/>
      <c r="LNO56" s="913"/>
      <c r="LNP56" s="913"/>
      <c r="LNQ56" s="913"/>
      <c r="LNR56" s="913"/>
      <c r="LNS56" s="913"/>
      <c r="LNT56" s="913"/>
      <c r="LNU56" s="913"/>
      <c r="LNV56" s="913"/>
      <c r="LNW56" s="913"/>
      <c r="LNX56" s="913"/>
      <c r="LNY56" s="913"/>
      <c r="LNZ56" s="913"/>
      <c r="LOA56" s="913"/>
      <c r="LOB56" s="913"/>
      <c r="LOC56" s="913"/>
      <c r="LOD56" s="913"/>
      <c r="LOE56" s="913"/>
      <c r="LOF56" s="913"/>
      <c r="LOG56" s="913"/>
      <c r="LOH56" s="913"/>
      <c r="LOI56" s="913"/>
      <c r="LOJ56" s="913"/>
      <c r="LOK56" s="913"/>
      <c r="LOL56" s="913"/>
      <c r="LOM56" s="913"/>
      <c r="LON56" s="913"/>
      <c r="LOO56" s="913"/>
      <c r="LOP56" s="913"/>
      <c r="LOQ56" s="913"/>
      <c r="LOR56" s="913"/>
      <c r="LOS56" s="913"/>
      <c r="LOT56" s="913"/>
      <c r="LOU56" s="913"/>
      <c r="LOV56" s="913"/>
      <c r="LOW56" s="913"/>
      <c r="LOX56" s="913"/>
      <c r="LOY56" s="913"/>
      <c r="LOZ56" s="913"/>
      <c r="LPA56" s="913"/>
      <c r="LPB56" s="913"/>
      <c r="LPC56" s="913"/>
      <c r="LPD56" s="913"/>
      <c r="LPE56" s="913"/>
      <c r="LPF56" s="913"/>
      <c r="LPG56" s="913"/>
      <c r="LPH56" s="913"/>
      <c r="LPI56" s="913"/>
      <c r="LPJ56" s="913"/>
      <c r="LPK56" s="913"/>
      <c r="LPL56" s="913"/>
      <c r="LPM56" s="913"/>
      <c r="LPN56" s="913"/>
      <c r="LPO56" s="913"/>
      <c r="LPP56" s="913"/>
      <c r="LPQ56" s="913"/>
      <c r="LPR56" s="913"/>
      <c r="LPS56" s="913"/>
      <c r="LPT56" s="913"/>
      <c r="LPU56" s="913"/>
      <c r="LPV56" s="913"/>
      <c r="LPW56" s="913"/>
      <c r="LPX56" s="913"/>
      <c r="LPY56" s="913"/>
      <c r="LPZ56" s="913"/>
      <c r="LQA56" s="913"/>
      <c r="LQB56" s="913"/>
      <c r="LQC56" s="913"/>
      <c r="LQD56" s="913"/>
      <c r="LQE56" s="913"/>
      <c r="LQF56" s="913"/>
      <c r="LQG56" s="913"/>
      <c r="LQH56" s="913"/>
      <c r="LQI56" s="913"/>
      <c r="LQJ56" s="913"/>
      <c r="LQK56" s="913"/>
      <c r="LQL56" s="913"/>
      <c r="LQM56" s="913"/>
      <c r="LQN56" s="913"/>
      <c r="LQO56" s="913"/>
      <c r="LQP56" s="913"/>
      <c r="LQQ56" s="913"/>
      <c r="LQR56" s="913"/>
      <c r="LQS56" s="913"/>
      <c r="LQT56" s="913"/>
      <c r="LQU56" s="913"/>
      <c r="LQV56" s="913"/>
      <c r="LQW56" s="913"/>
      <c r="LQX56" s="913"/>
      <c r="LQY56" s="913"/>
      <c r="LQZ56" s="913"/>
      <c r="LRA56" s="913"/>
      <c r="LRB56" s="913"/>
      <c r="LRC56" s="913"/>
      <c r="LRD56" s="913"/>
      <c r="LRE56" s="913"/>
      <c r="LRF56" s="913"/>
      <c r="LRG56" s="913"/>
      <c r="LRH56" s="913"/>
      <c r="LRI56" s="913"/>
      <c r="LRJ56" s="913"/>
      <c r="LRK56" s="913"/>
      <c r="LRL56" s="913"/>
      <c r="LRM56" s="913"/>
      <c r="LRN56" s="913"/>
      <c r="LRO56" s="913"/>
      <c r="LRP56" s="913"/>
      <c r="LRQ56" s="913"/>
      <c r="LRR56" s="913"/>
      <c r="LRS56" s="913"/>
      <c r="LRT56" s="913"/>
      <c r="LRU56" s="913"/>
      <c r="LRV56" s="913"/>
      <c r="LRW56" s="913"/>
      <c r="LRX56" s="913"/>
      <c r="LRY56" s="913"/>
      <c r="LRZ56" s="913"/>
      <c r="LSA56" s="913"/>
      <c r="LSB56" s="913"/>
      <c r="LSC56" s="913"/>
      <c r="LSD56" s="913"/>
      <c r="LSE56" s="913"/>
      <c r="LSF56" s="913"/>
      <c r="LSG56" s="913"/>
      <c r="LSH56" s="913"/>
      <c r="LSI56" s="913"/>
      <c r="LSJ56" s="913"/>
      <c r="LSK56" s="913"/>
      <c r="LSL56" s="913"/>
      <c r="LSM56" s="913"/>
      <c r="LSN56" s="913"/>
      <c r="LSO56" s="913"/>
      <c r="LSP56" s="913"/>
      <c r="LSQ56" s="913"/>
      <c r="LSR56" s="913"/>
      <c r="LSS56" s="913"/>
      <c r="LST56" s="913"/>
      <c r="LSU56" s="913"/>
      <c r="LSV56" s="913"/>
      <c r="LSW56" s="913"/>
      <c r="LSX56" s="913"/>
      <c r="LSY56" s="913"/>
      <c r="LSZ56" s="913"/>
      <c r="LTA56" s="913"/>
      <c r="LTB56" s="913"/>
      <c r="LTC56" s="913"/>
      <c r="LTD56" s="913"/>
      <c r="LTE56" s="913"/>
      <c r="LTF56" s="913"/>
      <c r="LTG56" s="913"/>
      <c r="LTH56" s="913"/>
      <c r="LTI56" s="913"/>
      <c r="LTJ56" s="913"/>
      <c r="LTK56" s="913"/>
      <c r="LTL56" s="913"/>
      <c r="LTM56" s="913"/>
      <c r="LTN56" s="913"/>
      <c r="LTO56" s="913"/>
      <c r="LTP56" s="913"/>
      <c r="LTQ56" s="913"/>
      <c r="LTR56" s="913"/>
      <c r="LTS56" s="913"/>
      <c r="LTT56" s="913"/>
      <c r="LTU56" s="913"/>
      <c r="LTV56" s="913"/>
      <c r="LTW56" s="913"/>
      <c r="LTX56" s="913"/>
      <c r="LTY56" s="913"/>
      <c r="LTZ56" s="913"/>
      <c r="LUA56" s="913"/>
      <c r="LUB56" s="913"/>
      <c r="LUC56" s="913"/>
      <c r="LUD56" s="913"/>
      <c r="LUE56" s="913"/>
      <c r="LUF56" s="913"/>
      <c r="LUG56" s="913"/>
      <c r="LUH56" s="913"/>
      <c r="LUI56" s="913"/>
      <c r="LUJ56" s="913"/>
      <c r="LUK56" s="913"/>
      <c r="LUL56" s="913"/>
      <c r="LUM56" s="913"/>
      <c r="LUN56" s="913"/>
      <c r="LUO56" s="913"/>
      <c r="LUP56" s="913"/>
      <c r="LUQ56" s="913"/>
      <c r="LUR56" s="913"/>
      <c r="LUS56" s="913"/>
      <c r="LUT56" s="913"/>
      <c r="LUU56" s="913"/>
      <c r="LUV56" s="913"/>
      <c r="LUW56" s="913"/>
      <c r="LUX56" s="913"/>
      <c r="LUY56" s="913"/>
      <c r="LUZ56" s="913"/>
      <c r="LVA56" s="913"/>
      <c r="LVB56" s="913"/>
      <c r="LVC56" s="913"/>
      <c r="LVD56" s="913"/>
      <c r="LVE56" s="913"/>
      <c r="LVF56" s="913"/>
      <c r="LVG56" s="913"/>
      <c r="LVH56" s="913"/>
      <c r="LVI56" s="913"/>
      <c r="LVJ56" s="913"/>
      <c r="LVK56" s="913"/>
      <c r="LVL56" s="913"/>
      <c r="LVM56" s="913"/>
      <c r="LVN56" s="913"/>
      <c r="LVO56" s="913"/>
      <c r="LVP56" s="913"/>
      <c r="LVQ56" s="913"/>
      <c r="LVR56" s="913"/>
      <c r="LVS56" s="913"/>
      <c r="LVT56" s="913"/>
      <c r="LVU56" s="913"/>
      <c r="LVV56" s="913"/>
      <c r="LVW56" s="913"/>
      <c r="LVX56" s="913"/>
      <c r="LVY56" s="913"/>
      <c r="LVZ56" s="913"/>
      <c r="LWA56" s="913"/>
      <c r="LWB56" s="913"/>
      <c r="LWC56" s="913"/>
      <c r="LWD56" s="913"/>
      <c r="LWE56" s="913"/>
      <c r="LWF56" s="913"/>
      <c r="LWG56" s="913"/>
      <c r="LWH56" s="913"/>
      <c r="LWI56" s="913"/>
      <c r="LWJ56" s="913"/>
      <c r="LWK56" s="913"/>
      <c r="LWL56" s="913"/>
      <c r="LWM56" s="913"/>
      <c r="LWN56" s="913"/>
      <c r="LWO56" s="913"/>
      <c r="LWP56" s="913"/>
      <c r="LWQ56" s="913"/>
      <c r="LWR56" s="913"/>
      <c r="LWS56" s="913"/>
      <c r="LWT56" s="913"/>
      <c r="LWU56" s="913"/>
      <c r="LWV56" s="913"/>
      <c r="LWW56" s="913"/>
      <c r="LWX56" s="913"/>
      <c r="LWY56" s="913"/>
      <c r="LWZ56" s="913"/>
      <c r="LXA56" s="913"/>
      <c r="LXB56" s="913"/>
      <c r="LXC56" s="913"/>
      <c r="LXD56" s="913"/>
      <c r="LXE56" s="913"/>
      <c r="LXF56" s="913"/>
      <c r="LXG56" s="913"/>
      <c r="LXH56" s="913"/>
      <c r="LXI56" s="913"/>
      <c r="LXJ56" s="913"/>
      <c r="LXK56" s="913"/>
      <c r="LXL56" s="913"/>
      <c r="LXM56" s="913"/>
      <c r="LXN56" s="913"/>
      <c r="LXO56" s="913"/>
      <c r="LXP56" s="913"/>
      <c r="LXQ56" s="913"/>
      <c r="LXR56" s="913"/>
      <c r="LXS56" s="913"/>
      <c r="LXT56" s="913"/>
      <c r="LXU56" s="913"/>
      <c r="LXV56" s="913"/>
      <c r="LXW56" s="913"/>
      <c r="LXX56" s="913"/>
      <c r="LXY56" s="913"/>
      <c r="LXZ56" s="913"/>
      <c r="LYA56" s="913"/>
      <c r="LYB56" s="913"/>
      <c r="LYC56" s="913"/>
      <c r="LYD56" s="913"/>
      <c r="LYE56" s="913"/>
      <c r="LYF56" s="913"/>
      <c r="LYG56" s="913"/>
      <c r="LYH56" s="913"/>
      <c r="LYI56" s="913"/>
      <c r="LYJ56" s="913"/>
      <c r="LYK56" s="913"/>
      <c r="LYL56" s="913"/>
      <c r="LYM56" s="913"/>
      <c r="LYN56" s="913"/>
      <c r="LYO56" s="913"/>
      <c r="LYP56" s="913"/>
      <c r="LYQ56" s="913"/>
      <c r="LYR56" s="913"/>
      <c r="LYS56" s="913"/>
      <c r="LYT56" s="913"/>
      <c r="LYU56" s="913"/>
      <c r="LYV56" s="913"/>
      <c r="LYW56" s="913"/>
      <c r="LYX56" s="913"/>
      <c r="LYY56" s="913"/>
      <c r="LYZ56" s="913"/>
      <c r="LZA56" s="913"/>
      <c r="LZB56" s="913"/>
      <c r="LZC56" s="913"/>
      <c r="LZD56" s="913"/>
      <c r="LZE56" s="913"/>
      <c r="LZF56" s="913"/>
      <c r="LZG56" s="913"/>
      <c r="LZH56" s="913"/>
      <c r="LZI56" s="913"/>
      <c r="LZJ56" s="913"/>
      <c r="LZK56" s="913"/>
      <c r="LZL56" s="913"/>
      <c r="LZM56" s="913"/>
      <c r="LZN56" s="913"/>
      <c r="LZO56" s="913"/>
      <c r="LZP56" s="913"/>
      <c r="LZQ56" s="913"/>
      <c r="LZR56" s="913"/>
      <c r="LZS56" s="913"/>
      <c r="LZT56" s="913"/>
      <c r="LZU56" s="913"/>
      <c r="LZV56" s="913"/>
      <c r="LZW56" s="913"/>
      <c r="LZX56" s="913"/>
      <c r="LZY56" s="913"/>
      <c r="LZZ56" s="913"/>
      <c r="MAA56" s="913"/>
      <c r="MAB56" s="913"/>
      <c r="MAC56" s="913"/>
      <c r="MAD56" s="913"/>
      <c r="MAE56" s="913"/>
      <c r="MAF56" s="913"/>
      <c r="MAG56" s="913"/>
      <c r="MAH56" s="913"/>
      <c r="MAI56" s="913"/>
      <c r="MAJ56" s="913"/>
      <c r="MAK56" s="913"/>
      <c r="MAL56" s="913"/>
      <c r="MAM56" s="913"/>
      <c r="MAN56" s="913"/>
      <c r="MAO56" s="913"/>
      <c r="MAP56" s="913"/>
      <c r="MAQ56" s="913"/>
      <c r="MAR56" s="913"/>
      <c r="MAS56" s="913"/>
      <c r="MAT56" s="913"/>
      <c r="MAU56" s="913"/>
      <c r="MAV56" s="913"/>
      <c r="MAW56" s="913"/>
      <c r="MAX56" s="913"/>
      <c r="MAY56" s="913"/>
      <c r="MAZ56" s="913"/>
      <c r="MBA56" s="913"/>
      <c r="MBB56" s="913"/>
      <c r="MBC56" s="913"/>
      <c r="MBD56" s="913"/>
      <c r="MBE56" s="913"/>
      <c r="MBF56" s="913"/>
      <c r="MBG56" s="913"/>
      <c r="MBH56" s="913"/>
      <c r="MBI56" s="913"/>
      <c r="MBJ56" s="913"/>
      <c r="MBK56" s="913"/>
      <c r="MBL56" s="913"/>
      <c r="MBM56" s="913"/>
      <c r="MBN56" s="913"/>
      <c r="MBO56" s="913"/>
      <c r="MBP56" s="913"/>
      <c r="MBQ56" s="913"/>
      <c r="MBR56" s="913"/>
      <c r="MBS56" s="913"/>
      <c r="MBT56" s="913"/>
      <c r="MBU56" s="913"/>
      <c r="MBV56" s="913"/>
      <c r="MBW56" s="913"/>
      <c r="MBX56" s="913"/>
      <c r="MBY56" s="913"/>
      <c r="MBZ56" s="913"/>
      <c r="MCA56" s="913"/>
      <c r="MCB56" s="913"/>
      <c r="MCC56" s="913"/>
      <c r="MCD56" s="913"/>
      <c r="MCE56" s="913"/>
      <c r="MCF56" s="913"/>
      <c r="MCG56" s="913"/>
      <c r="MCH56" s="913"/>
      <c r="MCI56" s="913"/>
      <c r="MCJ56" s="913"/>
      <c r="MCK56" s="913"/>
      <c r="MCL56" s="913"/>
      <c r="MCM56" s="913"/>
      <c r="MCN56" s="913"/>
      <c r="MCO56" s="913"/>
      <c r="MCP56" s="913"/>
      <c r="MCQ56" s="913"/>
      <c r="MCR56" s="913"/>
      <c r="MCS56" s="913"/>
      <c r="MCT56" s="913"/>
      <c r="MCU56" s="913"/>
      <c r="MCV56" s="913"/>
      <c r="MCW56" s="913"/>
      <c r="MCX56" s="913"/>
      <c r="MCY56" s="913"/>
      <c r="MCZ56" s="913"/>
      <c r="MDA56" s="913"/>
      <c r="MDB56" s="913"/>
      <c r="MDC56" s="913"/>
      <c r="MDD56" s="913"/>
      <c r="MDE56" s="913"/>
      <c r="MDF56" s="913"/>
      <c r="MDG56" s="913"/>
      <c r="MDH56" s="913"/>
      <c r="MDI56" s="913"/>
      <c r="MDJ56" s="913"/>
      <c r="MDK56" s="913"/>
      <c r="MDL56" s="913"/>
      <c r="MDM56" s="913"/>
      <c r="MDN56" s="913"/>
      <c r="MDO56" s="913"/>
      <c r="MDP56" s="913"/>
      <c r="MDQ56" s="913"/>
      <c r="MDR56" s="913"/>
      <c r="MDS56" s="913"/>
      <c r="MDT56" s="913"/>
      <c r="MDU56" s="913"/>
      <c r="MDV56" s="913"/>
      <c r="MDW56" s="913"/>
      <c r="MDX56" s="913"/>
      <c r="MDY56" s="913"/>
      <c r="MDZ56" s="913"/>
      <c r="MEA56" s="913"/>
      <c r="MEB56" s="913"/>
      <c r="MEC56" s="913"/>
      <c r="MED56" s="913"/>
      <c r="MEE56" s="913"/>
      <c r="MEF56" s="913"/>
      <c r="MEG56" s="913"/>
      <c r="MEH56" s="913"/>
      <c r="MEI56" s="913"/>
      <c r="MEJ56" s="913"/>
      <c r="MEK56" s="913"/>
      <c r="MEL56" s="913"/>
      <c r="MEM56" s="913"/>
      <c r="MEN56" s="913"/>
      <c r="MEO56" s="913"/>
      <c r="MEP56" s="913"/>
      <c r="MEQ56" s="913"/>
      <c r="MER56" s="913"/>
      <c r="MES56" s="913"/>
      <c r="MET56" s="913"/>
      <c r="MEU56" s="913"/>
      <c r="MEV56" s="913"/>
      <c r="MEW56" s="913"/>
      <c r="MEX56" s="913"/>
      <c r="MEY56" s="913"/>
      <c r="MEZ56" s="913"/>
      <c r="MFA56" s="913"/>
      <c r="MFB56" s="913"/>
      <c r="MFC56" s="913"/>
      <c r="MFD56" s="913"/>
      <c r="MFE56" s="913"/>
      <c r="MFF56" s="913"/>
      <c r="MFG56" s="913"/>
      <c r="MFH56" s="913"/>
      <c r="MFI56" s="913"/>
      <c r="MFJ56" s="913"/>
      <c r="MFK56" s="913"/>
      <c r="MFL56" s="913"/>
      <c r="MFM56" s="913"/>
      <c r="MFN56" s="913"/>
      <c r="MFO56" s="913"/>
      <c r="MFP56" s="913"/>
      <c r="MFQ56" s="913"/>
      <c r="MFR56" s="913"/>
      <c r="MFS56" s="913"/>
      <c r="MFT56" s="913"/>
      <c r="MFU56" s="913"/>
      <c r="MFV56" s="913"/>
      <c r="MFW56" s="913"/>
      <c r="MFX56" s="913"/>
      <c r="MFY56" s="913"/>
      <c r="MFZ56" s="913"/>
      <c r="MGA56" s="913"/>
      <c r="MGB56" s="913"/>
      <c r="MGC56" s="913"/>
      <c r="MGD56" s="913"/>
      <c r="MGE56" s="913"/>
      <c r="MGF56" s="913"/>
      <c r="MGG56" s="913"/>
      <c r="MGH56" s="913"/>
      <c r="MGI56" s="913"/>
      <c r="MGJ56" s="913"/>
      <c r="MGK56" s="913"/>
      <c r="MGL56" s="913"/>
      <c r="MGM56" s="913"/>
      <c r="MGN56" s="913"/>
      <c r="MGO56" s="913"/>
      <c r="MGP56" s="913"/>
      <c r="MGQ56" s="913"/>
      <c r="MGR56" s="913"/>
      <c r="MGS56" s="913"/>
      <c r="MGT56" s="913"/>
      <c r="MGU56" s="913"/>
      <c r="MGV56" s="913"/>
      <c r="MGW56" s="913"/>
      <c r="MGX56" s="913"/>
      <c r="MGY56" s="913"/>
      <c r="MGZ56" s="913"/>
      <c r="MHA56" s="913"/>
      <c r="MHB56" s="913"/>
      <c r="MHC56" s="913"/>
      <c r="MHD56" s="913"/>
      <c r="MHE56" s="913"/>
      <c r="MHF56" s="913"/>
      <c r="MHG56" s="913"/>
      <c r="MHH56" s="913"/>
      <c r="MHI56" s="913"/>
      <c r="MHJ56" s="913"/>
      <c r="MHK56" s="913"/>
      <c r="MHL56" s="913"/>
      <c r="MHM56" s="913"/>
      <c r="MHN56" s="913"/>
      <c r="MHO56" s="913"/>
      <c r="MHP56" s="913"/>
      <c r="MHQ56" s="913"/>
      <c r="MHR56" s="913"/>
      <c r="MHS56" s="913"/>
      <c r="MHT56" s="913"/>
      <c r="MHU56" s="913"/>
      <c r="MHV56" s="913"/>
      <c r="MHW56" s="913"/>
      <c r="MHX56" s="913"/>
      <c r="MHY56" s="913"/>
      <c r="MHZ56" s="913"/>
      <c r="MIA56" s="913"/>
      <c r="MIB56" s="913"/>
      <c r="MIC56" s="913"/>
      <c r="MID56" s="913"/>
      <c r="MIE56" s="913"/>
      <c r="MIF56" s="913"/>
      <c r="MIG56" s="913"/>
      <c r="MIH56" s="913"/>
      <c r="MII56" s="913"/>
      <c r="MIJ56" s="913"/>
      <c r="MIK56" s="913"/>
      <c r="MIL56" s="913"/>
      <c r="MIM56" s="913"/>
      <c r="MIN56" s="913"/>
      <c r="MIO56" s="913"/>
      <c r="MIP56" s="913"/>
      <c r="MIQ56" s="913"/>
      <c r="MIR56" s="913"/>
      <c r="MIS56" s="913"/>
      <c r="MIT56" s="913"/>
      <c r="MIU56" s="913"/>
      <c r="MIV56" s="913"/>
      <c r="MIW56" s="913"/>
      <c r="MIX56" s="913"/>
      <c r="MIY56" s="913"/>
      <c r="MIZ56" s="913"/>
      <c r="MJA56" s="913"/>
      <c r="MJB56" s="913"/>
      <c r="MJC56" s="913"/>
      <c r="MJD56" s="913"/>
      <c r="MJE56" s="913"/>
      <c r="MJF56" s="913"/>
      <c r="MJG56" s="913"/>
      <c r="MJH56" s="913"/>
      <c r="MJI56" s="913"/>
      <c r="MJJ56" s="913"/>
      <c r="MJK56" s="913"/>
      <c r="MJL56" s="913"/>
      <c r="MJM56" s="913"/>
      <c r="MJN56" s="913"/>
      <c r="MJO56" s="913"/>
      <c r="MJP56" s="913"/>
      <c r="MJQ56" s="913"/>
      <c r="MJR56" s="913"/>
      <c r="MJS56" s="913"/>
      <c r="MJT56" s="913"/>
      <c r="MJU56" s="913"/>
      <c r="MJV56" s="913"/>
      <c r="MJW56" s="913"/>
      <c r="MJX56" s="913"/>
      <c r="MJY56" s="913"/>
      <c r="MJZ56" s="913"/>
      <c r="MKA56" s="913"/>
      <c r="MKB56" s="913"/>
      <c r="MKC56" s="913"/>
      <c r="MKD56" s="913"/>
      <c r="MKE56" s="913"/>
      <c r="MKF56" s="913"/>
      <c r="MKG56" s="913"/>
      <c r="MKH56" s="913"/>
      <c r="MKI56" s="913"/>
      <c r="MKJ56" s="913"/>
      <c r="MKK56" s="913"/>
      <c r="MKL56" s="913"/>
      <c r="MKM56" s="913"/>
      <c r="MKN56" s="913"/>
      <c r="MKO56" s="913"/>
      <c r="MKP56" s="913"/>
      <c r="MKQ56" s="913"/>
      <c r="MKR56" s="913"/>
      <c r="MKS56" s="913"/>
      <c r="MKT56" s="913"/>
      <c r="MKU56" s="913"/>
      <c r="MKV56" s="913"/>
      <c r="MKW56" s="913"/>
      <c r="MKX56" s="913"/>
      <c r="MKY56" s="913"/>
      <c r="MKZ56" s="913"/>
      <c r="MLA56" s="913"/>
      <c r="MLB56" s="913"/>
      <c r="MLC56" s="913"/>
      <c r="MLD56" s="913"/>
      <c r="MLE56" s="913"/>
      <c r="MLF56" s="913"/>
      <c r="MLG56" s="913"/>
      <c r="MLH56" s="913"/>
      <c r="MLI56" s="913"/>
      <c r="MLJ56" s="913"/>
      <c r="MLK56" s="913"/>
      <c r="MLL56" s="913"/>
      <c r="MLM56" s="913"/>
      <c r="MLN56" s="913"/>
      <c r="MLO56" s="913"/>
      <c r="MLP56" s="913"/>
      <c r="MLQ56" s="913"/>
      <c r="MLR56" s="913"/>
      <c r="MLS56" s="913"/>
      <c r="MLT56" s="913"/>
      <c r="MLU56" s="913"/>
      <c r="MLV56" s="913"/>
      <c r="MLW56" s="913"/>
      <c r="MLX56" s="913"/>
      <c r="MLY56" s="913"/>
      <c r="MLZ56" s="913"/>
      <c r="MMA56" s="913"/>
      <c r="MMB56" s="913"/>
      <c r="MMC56" s="913"/>
      <c r="MMD56" s="913"/>
      <c r="MME56" s="913"/>
      <c r="MMF56" s="913"/>
      <c r="MMG56" s="913"/>
      <c r="MMH56" s="913"/>
      <c r="MMI56" s="913"/>
      <c r="MMJ56" s="913"/>
      <c r="MMK56" s="913"/>
      <c r="MML56" s="913"/>
      <c r="MMM56" s="913"/>
      <c r="MMN56" s="913"/>
      <c r="MMO56" s="913"/>
      <c r="MMP56" s="913"/>
      <c r="MMQ56" s="913"/>
      <c r="MMR56" s="913"/>
      <c r="MMS56" s="913"/>
      <c r="MMT56" s="913"/>
      <c r="MMU56" s="913"/>
      <c r="MMV56" s="913"/>
      <c r="MMW56" s="913"/>
      <c r="MMX56" s="913"/>
      <c r="MMY56" s="913"/>
      <c r="MMZ56" s="913"/>
      <c r="MNA56" s="913"/>
      <c r="MNB56" s="913"/>
      <c r="MNC56" s="913"/>
      <c r="MND56" s="913"/>
      <c r="MNE56" s="913"/>
      <c r="MNF56" s="913"/>
      <c r="MNG56" s="913"/>
      <c r="MNH56" s="913"/>
      <c r="MNI56" s="913"/>
      <c r="MNJ56" s="913"/>
      <c r="MNK56" s="913"/>
      <c r="MNL56" s="913"/>
      <c r="MNM56" s="913"/>
      <c r="MNN56" s="913"/>
      <c r="MNO56" s="913"/>
      <c r="MNP56" s="913"/>
      <c r="MNQ56" s="913"/>
      <c r="MNR56" s="913"/>
      <c r="MNS56" s="913"/>
      <c r="MNT56" s="913"/>
      <c r="MNU56" s="913"/>
      <c r="MNV56" s="913"/>
      <c r="MNW56" s="913"/>
      <c r="MNX56" s="913"/>
      <c r="MNY56" s="913"/>
      <c r="MNZ56" s="913"/>
      <c r="MOA56" s="913"/>
      <c r="MOB56" s="913"/>
      <c r="MOC56" s="913"/>
      <c r="MOD56" s="913"/>
      <c r="MOE56" s="913"/>
      <c r="MOF56" s="913"/>
      <c r="MOG56" s="913"/>
      <c r="MOH56" s="913"/>
      <c r="MOI56" s="913"/>
      <c r="MOJ56" s="913"/>
      <c r="MOK56" s="913"/>
      <c r="MOL56" s="913"/>
      <c r="MOM56" s="913"/>
      <c r="MON56" s="913"/>
      <c r="MOO56" s="913"/>
      <c r="MOP56" s="913"/>
      <c r="MOQ56" s="913"/>
      <c r="MOR56" s="913"/>
      <c r="MOS56" s="913"/>
      <c r="MOT56" s="913"/>
      <c r="MOU56" s="913"/>
      <c r="MOV56" s="913"/>
      <c r="MOW56" s="913"/>
      <c r="MOX56" s="913"/>
      <c r="MOY56" s="913"/>
      <c r="MOZ56" s="913"/>
      <c r="MPA56" s="913"/>
      <c r="MPB56" s="913"/>
      <c r="MPC56" s="913"/>
      <c r="MPD56" s="913"/>
      <c r="MPE56" s="913"/>
      <c r="MPF56" s="913"/>
      <c r="MPG56" s="913"/>
      <c r="MPH56" s="913"/>
      <c r="MPI56" s="913"/>
      <c r="MPJ56" s="913"/>
      <c r="MPK56" s="913"/>
      <c r="MPL56" s="913"/>
      <c r="MPM56" s="913"/>
      <c r="MPN56" s="913"/>
      <c r="MPO56" s="913"/>
      <c r="MPP56" s="913"/>
      <c r="MPQ56" s="913"/>
      <c r="MPR56" s="913"/>
      <c r="MPS56" s="913"/>
      <c r="MPT56" s="913"/>
      <c r="MPU56" s="913"/>
      <c r="MPV56" s="913"/>
      <c r="MPW56" s="913"/>
      <c r="MPX56" s="913"/>
      <c r="MPY56" s="913"/>
      <c r="MPZ56" s="913"/>
      <c r="MQA56" s="913"/>
      <c r="MQB56" s="913"/>
      <c r="MQC56" s="913"/>
      <c r="MQD56" s="913"/>
      <c r="MQE56" s="913"/>
      <c r="MQF56" s="913"/>
      <c r="MQG56" s="913"/>
      <c r="MQH56" s="913"/>
      <c r="MQI56" s="913"/>
      <c r="MQJ56" s="913"/>
      <c r="MQK56" s="913"/>
      <c r="MQL56" s="913"/>
      <c r="MQM56" s="913"/>
      <c r="MQN56" s="913"/>
      <c r="MQO56" s="913"/>
      <c r="MQP56" s="913"/>
      <c r="MQQ56" s="913"/>
      <c r="MQR56" s="913"/>
      <c r="MQS56" s="913"/>
      <c r="MQT56" s="913"/>
      <c r="MQU56" s="913"/>
      <c r="MQV56" s="913"/>
      <c r="MQW56" s="913"/>
      <c r="MQX56" s="913"/>
      <c r="MQY56" s="913"/>
      <c r="MQZ56" s="913"/>
      <c r="MRA56" s="913"/>
      <c r="MRB56" s="913"/>
      <c r="MRC56" s="913"/>
      <c r="MRD56" s="913"/>
      <c r="MRE56" s="913"/>
      <c r="MRF56" s="913"/>
      <c r="MRG56" s="913"/>
      <c r="MRH56" s="913"/>
      <c r="MRI56" s="913"/>
      <c r="MRJ56" s="913"/>
      <c r="MRK56" s="913"/>
      <c r="MRL56" s="913"/>
      <c r="MRM56" s="913"/>
      <c r="MRN56" s="913"/>
      <c r="MRO56" s="913"/>
      <c r="MRP56" s="913"/>
      <c r="MRQ56" s="913"/>
      <c r="MRR56" s="913"/>
      <c r="MRS56" s="913"/>
      <c r="MRT56" s="913"/>
      <c r="MRU56" s="913"/>
      <c r="MRV56" s="913"/>
      <c r="MRW56" s="913"/>
      <c r="MRX56" s="913"/>
      <c r="MRY56" s="913"/>
      <c r="MRZ56" s="913"/>
      <c r="MSA56" s="913"/>
      <c r="MSB56" s="913"/>
      <c r="MSC56" s="913"/>
      <c r="MSD56" s="913"/>
      <c r="MSE56" s="913"/>
      <c r="MSF56" s="913"/>
      <c r="MSG56" s="913"/>
      <c r="MSH56" s="913"/>
      <c r="MSI56" s="913"/>
      <c r="MSJ56" s="913"/>
      <c r="MSK56" s="913"/>
      <c r="MSL56" s="913"/>
      <c r="MSM56" s="913"/>
      <c r="MSN56" s="913"/>
      <c r="MSO56" s="913"/>
      <c r="MSP56" s="913"/>
      <c r="MSQ56" s="913"/>
      <c r="MSR56" s="913"/>
      <c r="MSS56" s="913"/>
      <c r="MST56" s="913"/>
      <c r="MSU56" s="913"/>
      <c r="MSV56" s="913"/>
      <c r="MSW56" s="913"/>
      <c r="MSX56" s="913"/>
      <c r="MSY56" s="913"/>
      <c r="MSZ56" s="913"/>
      <c r="MTA56" s="913"/>
      <c r="MTB56" s="913"/>
      <c r="MTC56" s="913"/>
      <c r="MTD56" s="913"/>
      <c r="MTE56" s="913"/>
      <c r="MTF56" s="913"/>
      <c r="MTG56" s="913"/>
      <c r="MTH56" s="913"/>
      <c r="MTI56" s="913"/>
      <c r="MTJ56" s="913"/>
      <c r="MTK56" s="913"/>
      <c r="MTL56" s="913"/>
      <c r="MTM56" s="913"/>
      <c r="MTN56" s="913"/>
      <c r="MTO56" s="913"/>
      <c r="MTP56" s="913"/>
      <c r="MTQ56" s="913"/>
      <c r="MTR56" s="913"/>
      <c r="MTS56" s="913"/>
      <c r="MTT56" s="913"/>
      <c r="MTU56" s="913"/>
      <c r="MTV56" s="913"/>
      <c r="MTW56" s="913"/>
      <c r="MTX56" s="913"/>
      <c r="MTY56" s="913"/>
      <c r="MTZ56" s="913"/>
      <c r="MUA56" s="913"/>
      <c r="MUB56" s="913"/>
      <c r="MUC56" s="913"/>
      <c r="MUD56" s="913"/>
      <c r="MUE56" s="913"/>
      <c r="MUF56" s="913"/>
      <c r="MUG56" s="913"/>
      <c r="MUH56" s="913"/>
      <c r="MUI56" s="913"/>
      <c r="MUJ56" s="913"/>
      <c r="MUK56" s="913"/>
      <c r="MUL56" s="913"/>
      <c r="MUM56" s="913"/>
      <c r="MUN56" s="913"/>
      <c r="MUO56" s="913"/>
      <c r="MUP56" s="913"/>
      <c r="MUQ56" s="913"/>
      <c r="MUR56" s="913"/>
      <c r="MUS56" s="913"/>
      <c r="MUT56" s="913"/>
      <c r="MUU56" s="913"/>
      <c r="MUV56" s="913"/>
      <c r="MUW56" s="913"/>
      <c r="MUX56" s="913"/>
      <c r="MUY56" s="913"/>
      <c r="MUZ56" s="913"/>
      <c r="MVA56" s="913"/>
      <c r="MVB56" s="913"/>
      <c r="MVC56" s="913"/>
      <c r="MVD56" s="913"/>
      <c r="MVE56" s="913"/>
      <c r="MVF56" s="913"/>
      <c r="MVG56" s="913"/>
      <c r="MVH56" s="913"/>
      <c r="MVI56" s="913"/>
      <c r="MVJ56" s="913"/>
      <c r="MVK56" s="913"/>
      <c r="MVL56" s="913"/>
      <c r="MVM56" s="913"/>
      <c r="MVN56" s="913"/>
      <c r="MVO56" s="913"/>
      <c r="MVP56" s="913"/>
      <c r="MVQ56" s="913"/>
      <c r="MVR56" s="913"/>
      <c r="MVS56" s="913"/>
      <c r="MVT56" s="913"/>
      <c r="MVU56" s="913"/>
      <c r="MVV56" s="913"/>
      <c r="MVW56" s="913"/>
      <c r="MVX56" s="913"/>
      <c r="MVY56" s="913"/>
      <c r="MVZ56" s="913"/>
      <c r="MWA56" s="913"/>
      <c r="MWB56" s="913"/>
      <c r="MWC56" s="913"/>
      <c r="MWD56" s="913"/>
      <c r="MWE56" s="913"/>
      <c r="MWF56" s="913"/>
      <c r="MWG56" s="913"/>
      <c r="MWH56" s="913"/>
      <c r="MWI56" s="913"/>
      <c r="MWJ56" s="913"/>
      <c r="MWK56" s="913"/>
      <c r="MWL56" s="913"/>
      <c r="MWM56" s="913"/>
      <c r="MWN56" s="913"/>
      <c r="MWO56" s="913"/>
      <c r="MWP56" s="913"/>
      <c r="MWQ56" s="913"/>
      <c r="MWR56" s="913"/>
      <c r="MWS56" s="913"/>
      <c r="MWT56" s="913"/>
      <c r="MWU56" s="913"/>
      <c r="MWV56" s="913"/>
      <c r="MWW56" s="913"/>
      <c r="MWX56" s="913"/>
      <c r="MWY56" s="913"/>
      <c r="MWZ56" s="913"/>
      <c r="MXA56" s="913"/>
      <c r="MXB56" s="913"/>
      <c r="MXC56" s="913"/>
      <c r="MXD56" s="913"/>
      <c r="MXE56" s="913"/>
      <c r="MXF56" s="913"/>
      <c r="MXG56" s="913"/>
      <c r="MXH56" s="913"/>
      <c r="MXI56" s="913"/>
      <c r="MXJ56" s="913"/>
      <c r="MXK56" s="913"/>
      <c r="MXL56" s="913"/>
      <c r="MXM56" s="913"/>
      <c r="MXN56" s="913"/>
      <c r="MXO56" s="913"/>
      <c r="MXP56" s="913"/>
      <c r="MXQ56" s="913"/>
      <c r="MXR56" s="913"/>
      <c r="MXS56" s="913"/>
      <c r="MXT56" s="913"/>
      <c r="MXU56" s="913"/>
      <c r="MXV56" s="913"/>
      <c r="MXW56" s="913"/>
      <c r="MXX56" s="913"/>
      <c r="MXY56" s="913"/>
      <c r="MXZ56" s="913"/>
      <c r="MYA56" s="913"/>
      <c r="MYB56" s="913"/>
      <c r="MYC56" s="913"/>
      <c r="MYD56" s="913"/>
      <c r="MYE56" s="913"/>
      <c r="MYF56" s="913"/>
      <c r="MYG56" s="913"/>
      <c r="MYH56" s="913"/>
      <c r="MYI56" s="913"/>
      <c r="MYJ56" s="913"/>
      <c r="MYK56" s="913"/>
      <c r="MYL56" s="913"/>
      <c r="MYM56" s="913"/>
      <c r="MYN56" s="913"/>
      <c r="MYO56" s="913"/>
      <c r="MYP56" s="913"/>
      <c r="MYQ56" s="913"/>
      <c r="MYR56" s="913"/>
      <c r="MYS56" s="913"/>
      <c r="MYT56" s="913"/>
      <c r="MYU56" s="913"/>
      <c r="MYV56" s="913"/>
      <c r="MYW56" s="913"/>
      <c r="MYX56" s="913"/>
      <c r="MYY56" s="913"/>
      <c r="MYZ56" s="913"/>
      <c r="MZA56" s="913"/>
      <c r="MZB56" s="913"/>
      <c r="MZC56" s="913"/>
      <c r="MZD56" s="913"/>
      <c r="MZE56" s="913"/>
      <c r="MZF56" s="913"/>
      <c r="MZG56" s="913"/>
      <c r="MZH56" s="913"/>
      <c r="MZI56" s="913"/>
      <c r="MZJ56" s="913"/>
      <c r="MZK56" s="913"/>
      <c r="MZL56" s="913"/>
      <c r="MZM56" s="913"/>
      <c r="MZN56" s="913"/>
      <c r="MZO56" s="913"/>
      <c r="MZP56" s="913"/>
      <c r="MZQ56" s="913"/>
      <c r="MZR56" s="913"/>
      <c r="MZS56" s="913"/>
      <c r="MZT56" s="913"/>
      <c r="MZU56" s="913"/>
      <c r="MZV56" s="913"/>
      <c r="MZW56" s="913"/>
      <c r="MZX56" s="913"/>
      <c r="MZY56" s="913"/>
      <c r="MZZ56" s="913"/>
      <c r="NAA56" s="913"/>
      <c r="NAB56" s="913"/>
      <c r="NAC56" s="913"/>
      <c r="NAD56" s="913"/>
      <c r="NAE56" s="913"/>
      <c r="NAF56" s="913"/>
      <c r="NAG56" s="913"/>
      <c r="NAH56" s="913"/>
      <c r="NAI56" s="913"/>
      <c r="NAJ56" s="913"/>
      <c r="NAK56" s="913"/>
      <c r="NAL56" s="913"/>
      <c r="NAM56" s="913"/>
      <c r="NAN56" s="913"/>
      <c r="NAO56" s="913"/>
      <c r="NAP56" s="913"/>
      <c r="NAQ56" s="913"/>
      <c r="NAR56" s="913"/>
      <c r="NAS56" s="913"/>
      <c r="NAT56" s="913"/>
      <c r="NAU56" s="913"/>
      <c r="NAV56" s="913"/>
      <c r="NAW56" s="913"/>
      <c r="NAX56" s="913"/>
      <c r="NAY56" s="913"/>
      <c r="NAZ56" s="913"/>
      <c r="NBA56" s="913"/>
      <c r="NBB56" s="913"/>
      <c r="NBC56" s="913"/>
      <c r="NBD56" s="913"/>
      <c r="NBE56" s="913"/>
      <c r="NBF56" s="913"/>
      <c r="NBG56" s="913"/>
      <c r="NBH56" s="913"/>
      <c r="NBI56" s="913"/>
      <c r="NBJ56" s="913"/>
      <c r="NBK56" s="913"/>
      <c r="NBL56" s="913"/>
      <c r="NBM56" s="913"/>
      <c r="NBN56" s="913"/>
      <c r="NBO56" s="913"/>
      <c r="NBP56" s="913"/>
      <c r="NBQ56" s="913"/>
      <c r="NBR56" s="913"/>
      <c r="NBS56" s="913"/>
      <c r="NBT56" s="913"/>
      <c r="NBU56" s="913"/>
      <c r="NBV56" s="913"/>
      <c r="NBW56" s="913"/>
      <c r="NBX56" s="913"/>
      <c r="NBY56" s="913"/>
      <c r="NBZ56" s="913"/>
      <c r="NCA56" s="913"/>
      <c r="NCB56" s="913"/>
      <c r="NCC56" s="913"/>
      <c r="NCD56" s="913"/>
      <c r="NCE56" s="913"/>
      <c r="NCF56" s="913"/>
      <c r="NCG56" s="913"/>
      <c r="NCH56" s="913"/>
      <c r="NCI56" s="913"/>
      <c r="NCJ56" s="913"/>
      <c r="NCK56" s="913"/>
      <c r="NCL56" s="913"/>
      <c r="NCM56" s="913"/>
      <c r="NCN56" s="913"/>
      <c r="NCO56" s="913"/>
      <c r="NCP56" s="913"/>
      <c r="NCQ56" s="913"/>
      <c r="NCR56" s="913"/>
      <c r="NCS56" s="913"/>
      <c r="NCT56" s="913"/>
      <c r="NCU56" s="913"/>
      <c r="NCV56" s="913"/>
      <c r="NCW56" s="913"/>
      <c r="NCX56" s="913"/>
      <c r="NCY56" s="913"/>
      <c r="NCZ56" s="913"/>
      <c r="NDA56" s="913"/>
      <c r="NDB56" s="913"/>
      <c r="NDC56" s="913"/>
      <c r="NDD56" s="913"/>
      <c r="NDE56" s="913"/>
      <c r="NDF56" s="913"/>
      <c r="NDG56" s="913"/>
      <c r="NDH56" s="913"/>
      <c r="NDI56" s="913"/>
      <c r="NDJ56" s="913"/>
      <c r="NDK56" s="913"/>
      <c r="NDL56" s="913"/>
      <c r="NDM56" s="913"/>
      <c r="NDN56" s="913"/>
      <c r="NDO56" s="913"/>
      <c r="NDP56" s="913"/>
      <c r="NDQ56" s="913"/>
      <c r="NDR56" s="913"/>
      <c r="NDS56" s="913"/>
      <c r="NDT56" s="913"/>
      <c r="NDU56" s="913"/>
      <c r="NDV56" s="913"/>
      <c r="NDW56" s="913"/>
      <c r="NDX56" s="913"/>
      <c r="NDY56" s="913"/>
      <c r="NDZ56" s="913"/>
      <c r="NEA56" s="913"/>
      <c r="NEB56" s="913"/>
      <c r="NEC56" s="913"/>
      <c r="NED56" s="913"/>
      <c r="NEE56" s="913"/>
      <c r="NEF56" s="913"/>
      <c r="NEG56" s="913"/>
      <c r="NEH56" s="913"/>
      <c r="NEI56" s="913"/>
      <c r="NEJ56" s="913"/>
      <c r="NEK56" s="913"/>
      <c r="NEL56" s="913"/>
      <c r="NEM56" s="913"/>
      <c r="NEN56" s="913"/>
      <c r="NEO56" s="913"/>
      <c r="NEP56" s="913"/>
      <c r="NEQ56" s="913"/>
      <c r="NER56" s="913"/>
      <c r="NES56" s="913"/>
      <c r="NET56" s="913"/>
      <c r="NEU56" s="913"/>
      <c r="NEV56" s="913"/>
      <c r="NEW56" s="913"/>
      <c r="NEX56" s="913"/>
      <c r="NEY56" s="913"/>
      <c r="NEZ56" s="913"/>
      <c r="NFA56" s="913"/>
      <c r="NFB56" s="913"/>
      <c r="NFC56" s="913"/>
      <c r="NFD56" s="913"/>
      <c r="NFE56" s="913"/>
      <c r="NFF56" s="913"/>
      <c r="NFG56" s="913"/>
      <c r="NFH56" s="913"/>
      <c r="NFI56" s="913"/>
      <c r="NFJ56" s="913"/>
      <c r="NFK56" s="913"/>
      <c r="NFL56" s="913"/>
      <c r="NFM56" s="913"/>
      <c r="NFN56" s="913"/>
      <c r="NFO56" s="913"/>
      <c r="NFP56" s="913"/>
      <c r="NFQ56" s="913"/>
      <c r="NFR56" s="913"/>
      <c r="NFS56" s="913"/>
      <c r="NFT56" s="913"/>
      <c r="NFU56" s="913"/>
      <c r="NFV56" s="913"/>
      <c r="NFW56" s="913"/>
      <c r="NFX56" s="913"/>
      <c r="NFY56" s="913"/>
      <c r="NFZ56" s="913"/>
      <c r="NGA56" s="913"/>
      <c r="NGB56" s="913"/>
      <c r="NGC56" s="913"/>
      <c r="NGD56" s="913"/>
      <c r="NGE56" s="913"/>
      <c r="NGF56" s="913"/>
      <c r="NGG56" s="913"/>
      <c r="NGH56" s="913"/>
      <c r="NGI56" s="913"/>
      <c r="NGJ56" s="913"/>
      <c r="NGK56" s="913"/>
      <c r="NGL56" s="913"/>
      <c r="NGM56" s="913"/>
      <c r="NGN56" s="913"/>
      <c r="NGO56" s="913"/>
      <c r="NGP56" s="913"/>
      <c r="NGQ56" s="913"/>
      <c r="NGR56" s="913"/>
      <c r="NGS56" s="913"/>
      <c r="NGT56" s="913"/>
      <c r="NGU56" s="913"/>
      <c r="NGV56" s="913"/>
      <c r="NGW56" s="913"/>
      <c r="NGX56" s="913"/>
      <c r="NGY56" s="913"/>
      <c r="NGZ56" s="913"/>
      <c r="NHA56" s="913"/>
      <c r="NHB56" s="913"/>
      <c r="NHC56" s="913"/>
      <c r="NHD56" s="913"/>
      <c r="NHE56" s="913"/>
      <c r="NHF56" s="913"/>
      <c r="NHG56" s="913"/>
      <c r="NHH56" s="913"/>
      <c r="NHI56" s="913"/>
      <c r="NHJ56" s="913"/>
      <c r="NHK56" s="913"/>
      <c r="NHL56" s="913"/>
      <c r="NHM56" s="913"/>
      <c r="NHN56" s="913"/>
      <c r="NHO56" s="913"/>
      <c r="NHP56" s="913"/>
      <c r="NHQ56" s="913"/>
      <c r="NHR56" s="913"/>
      <c r="NHS56" s="913"/>
      <c r="NHT56" s="913"/>
      <c r="NHU56" s="913"/>
      <c r="NHV56" s="913"/>
      <c r="NHW56" s="913"/>
      <c r="NHX56" s="913"/>
      <c r="NHY56" s="913"/>
      <c r="NHZ56" s="913"/>
      <c r="NIA56" s="913"/>
      <c r="NIB56" s="913"/>
      <c r="NIC56" s="913"/>
      <c r="NID56" s="913"/>
      <c r="NIE56" s="913"/>
      <c r="NIF56" s="913"/>
      <c r="NIG56" s="913"/>
      <c r="NIH56" s="913"/>
      <c r="NII56" s="913"/>
      <c r="NIJ56" s="913"/>
      <c r="NIK56" s="913"/>
      <c r="NIL56" s="913"/>
      <c r="NIM56" s="913"/>
      <c r="NIN56" s="913"/>
      <c r="NIO56" s="913"/>
      <c r="NIP56" s="913"/>
      <c r="NIQ56" s="913"/>
      <c r="NIR56" s="913"/>
      <c r="NIS56" s="913"/>
      <c r="NIT56" s="913"/>
      <c r="NIU56" s="913"/>
      <c r="NIV56" s="913"/>
      <c r="NIW56" s="913"/>
      <c r="NIX56" s="913"/>
      <c r="NIY56" s="913"/>
      <c r="NIZ56" s="913"/>
      <c r="NJA56" s="913"/>
      <c r="NJB56" s="913"/>
      <c r="NJC56" s="913"/>
      <c r="NJD56" s="913"/>
      <c r="NJE56" s="913"/>
      <c r="NJF56" s="913"/>
      <c r="NJG56" s="913"/>
      <c r="NJH56" s="913"/>
      <c r="NJI56" s="913"/>
      <c r="NJJ56" s="913"/>
      <c r="NJK56" s="913"/>
      <c r="NJL56" s="913"/>
      <c r="NJM56" s="913"/>
      <c r="NJN56" s="913"/>
      <c r="NJO56" s="913"/>
      <c r="NJP56" s="913"/>
      <c r="NJQ56" s="913"/>
      <c r="NJR56" s="913"/>
      <c r="NJS56" s="913"/>
      <c r="NJT56" s="913"/>
      <c r="NJU56" s="913"/>
      <c r="NJV56" s="913"/>
      <c r="NJW56" s="913"/>
      <c r="NJX56" s="913"/>
      <c r="NJY56" s="913"/>
      <c r="NJZ56" s="913"/>
      <c r="NKA56" s="913"/>
      <c r="NKB56" s="913"/>
      <c r="NKC56" s="913"/>
      <c r="NKD56" s="913"/>
      <c r="NKE56" s="913"/>
      <c r="NKF56" s="913"/>
      <c r="NKG56" s="913"/>
      <c r="NKH56" s="913"/>
      <c r="NKI56" s="913"/>
      <c r="NKJ56" s="913"/>
      <c r="NKK56" s="913"/>
      <c r="NKL56" s="913"/>
      <c r="NKM56" s="913"/>
      <c r="NKN56" s="913"/>
      <c r="NKO56" s="913"/>
      <c r="NKP56" s="913"/>
      <c r="NKQ56" s="913"/>
      <c r="NKR56" s="913"/>
      <c r="NKS56" s="913"/>
      <c r="NKT56" s="913"/>
      <c r="NKU56" s="913"/>
      <c r="NKV56" s="913"/>
      <c r="NKW56" s="913"/>
      <c r="NKX56" s="913"/>
      <c r="NKY56" s="913"/>
      <c r="NKZ56" s="913"/>
      <c r="NLA56" s="913"/>
      <c r="NLB56" s="913"/>
      <c r="NLC56" s="913"/>
      <c r="NLD56" s="913"/>
      <c r="NLE56" s="913"/>
      <c r="NLF56" s="913"/>
      <c r="NLG56" s="913"/>
      <c r="NLH56" s="913"/>
      <c r="NLI56" s="913"/>
      <c r="NLJ56" s="913"/>
      <c r="NLK56" s="913"/>
      <c r="NLL56" s="913"/>
      <c r="NLM56" s="913"/>
      <c r="NLN56" s="913"/>
      <c r="NLO56" s="913"/>
      <c r="NLP56" s="913"/>
      <c r="NLQ56" s="913"/>
      <c r="NLR56" s="913"/>
      <c r="NLS56" s="913"/>
      <c r="NLT56" s="913"/>
      <c r="NLU56" s="913"/>
      <c r="NLV56" s="913"/>
      <c r="NLW56" s="913"/>
      <c r="NLX56" s="913"/>
      <c r="NLY56" s="913"/>
      <c r="NLZ56" s="913"/>
      <c r="NMA56" s="913"/>
      <c r="NMB56" s="913"/>
      <c r="NMC56" s="913"/>
      <c r="NMD56" s="913"/>
      <c r="NME56" s="913"/>
      <c r="NMF56" s="913"/>
      <c r="NMG56" s="913"/>
      <c r="NMH56" s="913"/>
      <c r="NMI56" s="913"/>
      <c r="NMJ56" s="913"/>
      <c r="NMK56" s="913"/>
      <c r="NML56" s="913"/>
      <c r="NMM56" s="913"/>
      <c r="NMN56" s="913"/>
      <c r="NMO56" s="913"/>
      <c r="NMP56" s="913"/>
      <c r="NMQ56" s="913"/>
      <c r="NMR56" s="913"/>
      <c r="NMS56" s="913"/>
      <c r="NMT56" s="913"/>
      <c r="NMU56" s="913"/>
      <c r="NMV56" s="913"/>
      <c r="NMW56" s="913"/>
      <c r="NMX56" s="913"/>
      <c r="NMY56" s="913"/>
      <c r="NMZ56" s="913"/>
      <c r="NNA56" s="913"/>
      <c r="NNB56" s="913"/>
      <c r="NNC56" s="913"/>
      <c r="NND56" s="913"/>
      <c r="NNE56" s="913"/>
      <c r="NNF56" s="913"/>
      <c r="NNG56" s="913"/>
      <c r="NNH56" s="913"/>
      <c r="NNI56" s="913"/>
      <c r="NNJ56" s="913"/>
      <c r="NNK56" s="913"/>
      <c r="NNL56" s="913"/>
      <c r="NNM56" s="913"/>
      <c r="NNN56" s="913"/>
      <c r="NNO56" s="913"/>
      <c r="NNP56" s="913"/>
      <c r="NNQ56" s="913"/>
      <c r="NNR56" s="913"/>
      <c r="NNS56" s="913"/>
      <c r="NNT56" s="913"/>
      <c r="NNU56" s="913"/>
      <c r="NNV56" s="913"/>
      <c r="NNW56" s="913"/>
      <c r="NNX56" s="913"/>
      <c r="NNY56" s="913"/>
      <c r="NNZ56" s="913"/>
      <c r="NOA56" s="913"/>
      <c r="NOB56" s="913"/>
      <c r="NOC56" s="913"/>
      <c r="NOD56" s="913"/>
      <c r="NOE56" s="913"/>
      <c r="NOF56" s="913"/>
      <c r="NOG56" s="913"/>
      <c r="NOH56" s="913"/>
      <c r="NOI56" s="913"/>
      <c r="NOJ56" s="913"/>
      <c r="NOK56" s="913"/>
      <c r="NOL56" s="913"/>
      <c r="NOM56" s="913"/>
      <c r="NON56" s="913"/>
      <c r="NOO56" s="913"/>
      <c r="NOP56" s="913"/>
      <c r="NOQ56" s="913"/>
      <c r="NOR56" s="913"/>
      <c r="NOS56" s="913"/>
      <c r="NOT56" s="913"/>
      <c r="NOU56" s="913"/>
      <c r="NOV56" s="913"/>
      <c r="NOW56" s="913"/>
      <c r="NOX56" s="913"/>
      <c r="NOY56" s="913"/>
      <c r="NOZ56" s="913"/>
      <c r="NPA56" s="913"/>
      <c r="NPB56" s="913"/>
      <c r="NPC56" s="913"/>
      <c r="NPD56" s="913"/>
      <c r="NPE56" s="913"/>
      <c r="NPF56" s="913"/>
      <c r="NPG56" s="913"/>
      <c r="NPH56" s="913"/>
      <c r="NPI56" s="913"/>
      <c r="NPJ56" s="913"/>
      <c r="NPK56" s="913"/>
      <c r="NPL56" s="913"/>
      <c r="NPM56" s="913"/>
      <c r="NPN56" s="913"/>
      <c r="NPO56" s="913"/>
      <c r="NPP56" s="913"/>
      <c r="NPQ56" s="913"/>
      <c r="NPR56" s="913"/>
      <c r="NPS56" s="913"/>
      <c r="NPT56" s="913"/>
      <c r="NPU56" s="913"/>
      <c r="NPV56" s="913"/>
      <c r="NPW56" s="913"/>
      <c r="NPX56" s="913"/>
      <c r="NPY56" s="913"/>
      <c r="NPZ56" s="913"/>
      <c r="NQA56" s="913"/>
      <c r="NQB56" s="913"/>
      <c r="NQC56" s="913"/>
      <c r="NQD56" s="913"/>
      <c r="NQE56" s="913"/>
      <c r="NQF56" s="913"/>
      <c r="NQG56" s="913"/>
      <c r="NQH56" s="913"/>
      <c r="NQI56" s="913"/>
      <c r="NQJ56" s="913"/>
      <c r="NQK56" s="913"/>
      <c r="NQL56" s="913"/>
      <c r="NQM56" s="913"/>
      <c r="NQN56" s="913"/>
      <c r="NQO56" s="913"/>
      <c r="NQP56" s="913"/>
      <c r="NQQ56" s="913"/>
      <c r="NQR56" s="913"/>
      <c r="NQS56" s="913"/>
      <c r="NQT56" s="913"/>
      <c r="NQU56" s="913"/>
      <c r="NQV56" s="913"/>
      <c r="NQW56" s="913"/>
      <c r="NQX56" s="913"/>
      <c r="NQY56" s="913"/>
      <c r="NQZ56" s="913"/>
      <c r="NRA56" s="913"/>
      <c r="NRB56" s="913"/>
      <c r="NRC56" s="913"/>
      <c r="NRD56" s="913"/>
      <c r="NRE56" s="913"/>
      <c r="NRF56" s="913"/>
      <c r="NRG56" s="913"/>
      <c r="NRH56" s="913"/>
      <c r="NRI56" s="913"/>
      <c r="NRJ56" s="913"/>
      <c r="NRK56" s="913"/>
      <c r="NRL56" s="913"/>
      <c r="NRM56" s="913"/>
      <c r="NRN56" s="913"/>
      <c r="NRO56" s="913"/>
      <c r="NRP56" s="913"/>
      <c r="NRQ56" s="913"/>
      <c r="NRR56" s="913"/>
      <c r="NRS56" s="913"/>
      <c r="NRT56" s="913"/>
      <c r="NRU56" s="913"/>
      <c r="NRV56" s="913"/>
      <c r="NRW56" s="913"/>
      <c r="NRX56" s="913"/>
      <c r="NRY56" s="913"/>
      <c r="NRZ56" s="913"/>
      <c r="NSA56" s="913"/>
      <c r="NSB56" s="913"/>
      <c r="NSC56" s="913"/>
      <c r="NSD56" s="913"/>
      <c r="NSE56" s="913"/>
      <c r="NSF56" s="913"/>
      <c r="NSG56" s="913"/>
      <c r="NSH56" s="913"/>
      <c r="NSI56" s="913"/>
      <c r="NSJ56" s="913"/>
      <c r="NSK56" s="913"/>
      <c r="NSL56" s="913"/>
      <c r="NSM56" s="913"/>
      <c r="NSN56" s="913"/>
      <c r="NSO56" s="913"/>
      <c r="NSP56" s="913"/>
      <c r="NSQ56" s="913"/>
      <c r="NSR56" s="913"/>
      <c r="NSS56" s="913"/>
      <c r="NST56" s="913"/>
      <c r="NSU56" s="913"/>
      <c r="NSV56" s="913"/>
      <c r="NSW56" s="913"/>
      <c r="NSX56" s="913"/>
      <c r="NSY56" s="913"/>
      <c r="NSZ56" s="913"/>
      <c r="NTA56" s="913"/>
      <c r="NTB56" s="913"/>
      <c r="NTC56" s="913"/>
      <c r="NTD56" s="913"/>
      <c r="NTE56" s="913"/>
      <c r="NTF56" s="913"/>
      <c r="NTG56" s="913"/>
      <c r="NTH56" s="913"/>
      <c r="NTI56" s="913"/>
      <c r="NTJ56" s="913"/>
      <c r="NTK56" s="913"/>
      <c r="NTL56" s="913"/>
      <c r="NTM56" s="913"/>
      <c r="NTN56" s="913"/>
      <c r="NTO56" s="913"/>
      <c r="NTP56" s="913"/>
      <c r="NTQ56" s="913"/>
      <c r="NTR56" s="913"/>
      <c r="NTS56" s="913"/>
      <c r="NTT56" s="913"/>
      <c r="NTU56" s="913"/>
      <c r="NTV56" s="913"/>
      <c r="NTW56" s="913"/>
      <c r="NTX56" s="913"/>
      <c r="NTY56" s="913"/>
      <c r="NTZ56" s="913"/>
      <c r="NUA56" s="913"/>
      <c r="NUB56" s="913"/>
      <c r="NUC56" s="913"/>
      <c r="NUD56" s="913"/>
      <c r="NUE56" s="913"/>
      <c r="NUF56" s="913"/>
      <c r="NUG56" s="913"/>
      <c r="NUH56" s="913"/>
      <c r="NUI56" s="913"/>
      <c r="NUJ56" s="913"/>
      <c r="NUK56" s="913"/>
      <c r="NUL56" s="913"/>
      <c r="NUM56" s="913"/>
      <c r="NUN56" s="913"/>
      <c r="NUO56" s="913"/>
      <c r="NUP56" s="913"/>
      <c r="NUQ56" s="913"/>
      <c r="NUR56" s="913"/>
      <c r="NUS56" s="913"/>
      <c r="NUT56" s="913"/>
      <c r="NUU56" s="913"/>
      <c r="NUV56" s="913"/>
      <c r="NUW56" s="913"/>
      <c r="NUX56" s="913"/>
      <c r="NUY56" s="913"/>
      <c r="NUZ56" s="913"/>
      <c r="NVA56" s="913"/>
      <c r="NVB56" s="913"/>
      <c r="NVC56" s="913"/>
      <c r="NVD56" s="913"/>
      <c r="NVE56" s="913"/>
      <c r="NVF56" s="913"/>
      <c r="NVG56" s="913"/>
      <c r="NVH56" s="913"/>
      <c r="NVI56" s="913"/>
      <c r="NVJ56" s="913"/>
      <c r="NVK56" s="913"/>
      <c r="NVL56" s="913"/>
      <c r="NVM56" s="913"/>
      <c r="NVN56" s="913"/>
      <c r="NVO56" s="913"/>
      <c r="NVP56" s="913"/>
      <c r="NVQ56" s="913"/>
      <c r="NVR56" s="913"/>
      <c r="NVS56" s="913"/>
      <c r="NVT56" s="913"/>
      <c r="NVU56" s="913"/>
      <c r="NVV56" s="913"/>
      <c r="NVW56" s="913"/>
      <c r="NVX56" s="913"/>
      <c r="NVY56" s="913"/>
      <c r="NVZ56" s="913"/>
      <c r="NWA56" s="913"/>
      <c r="NWB56" s="913"/>
      <c r="NWC56" s="913"/>
      <c r="NWD56" s="913"/>
      <c r="NWE56" s="913"/>
      <c r="NWF56" s="913"/>
      <c r="NWG56" s="913"/>
      <c r="NWH56" s="913"/>
      <c r="NWI56" s="913"/>
      <c r="NWJ56" s="913"/>
      <c r="NWK56" s="913"/>
      <c r="NWL56" s="913"/>
      <c r="NWM56" s="913"/>
      <c r="NWN56" s="913"/>
      <c r="NWO56" s="913"/>
      <c r="NWP56" s="913"/>
      <c r="NWQ56" s="913"/>
      <c r="NWR56" s="913"/>
      <c r="NWS56" s="913"/>
      <c r="NWT56" s="913"/>
      <c r="NWU56" s="913"/>
      <c r="NWV56" s="913"/>
      <c r="NWW56" s="913"/>
      <c r="NWX56" s="913"/>
      <c r="NWY56" s="913"/>
      <c r="NWZ56" s="913"/>
      <c r="NXA56" s="913"/>
      <c r="NXB56" s="913"/>
      <c r="NXC56" s="913"/>
      <c r="NXD56" s="913"/>
      <c r="NXE56" s="913"/>
      <c r="NXF56" s="913"/>
      <c r="NXG56" s="913"/>
      <c r="NXH56" s="913"/>
      <c r="NXI56" s="913"/>
      <c r="NXJ56" s="913"/>
      <c r="NXK56" s="913"/>
      <c r="NXL56" s="913"/>
      <c r="NXM56" s="913"/>
      <c r="NXN56" s="913"/>
      <c r="NXO56" s="913"/>
      <c r="NXP56" s="913"/>
      <c r="NXQ56" s="913"/>
      <c r="NXR56" s="913"/>
      <c r="NXS56" s="913"/>
      <c r="NXT56" s="913"/>
      <c r="NXU56" s="913"/>
      <c r="NXV56" s="913"/>
      <c r="NXW56" s="913"/>
      <c r="NXX56" s="913"/>
      <c r="NXY56" s="913"/>
      <c r="NXZ56" s="913"/>
      <c r="NYA56" s="913"/>
      <c r="NYB56" s="913"/>
      <c r="NYC56" s="913"/>
      <c r="NYD56" s="913"/>
      <c r="NYE56" s="913"/>
      <c r="NYF56" s="913"/>
      <c r="NYG56" s="913"/>
      <c r="NYH56" s="913"/>
      <c r="NYI56" s="913"/>
      <c r="NYJ56" s="913"/>
      <c r="NYK56" s="913"/>
      <c r="NYL56" s="913"/>
      <c r="NYM56" s="913"/>
      <c r="NYN56" s="913"/>
      <c r="NYO56" s="913"/>
      <c r="NYP56" s="913"/>
      <c r="NYQ56" s="913"/>
      <c r="NYR56" s="913"/>
      <c r="NYS56" s="913"/>
      <c r="NYT56" s="913"/>
      <c r="NYU56" s="913"/>
      <c r="NYV56" s="913"/>
      <c r="NYW56" s="913"/>
      <c r="NYX56" s="913"/>
      <c r="NYY56" s="913"/>
      <c r="NYZ56" s="913"/>
      <c r="NZA56" s="913"/>
      <c r="NZB56" s="913"/>
      <c r="NZC56" s="913"/>
      <c r="NZD56" s="913"/>
      <c r="NZE56" s="913"/>
      <c r="NZF56" s="913"/>
      <c r="NZG56" s="913"/>
      <c r="NZH56" s="913"/>
      <c r="NZI56" s="913"/>
      <c r="NZJ56" s="913"/>
      <c r="NZK56" s="913"/>
      <c r="NZL56" s="913"/>
      <c r="NZM56" s="913"/>
      <c r="NZN56" s="913"/>
      <c r="NZO56" s="913"/>
      <c r="NZP56" s="913"/>
      <c r="NZQ56" s="913"/>
      <c r="NZR56" s="913"/>
      <c r="NZS56" s="913"/>
      <c r="NZT56" s="913"/>
      <c r="NZU56" s="913"/>
      <c r="NZV56" s="913"/>
      <c r="NZW56" s="913"/>
      <c r="NZX56" s="913"/>
      <c r="NZY56" s="913"/>
      <c r="NZZ56" s="913"/>
      <c r="OAA56" s="913"/>
      <c r="OAB56" s="913"/>
      <c r="OAC56" s="913"/>
      <c r="OAD56" s="913"/>
      <c r="OAE56" s="913"/>
      <c r="OAF56" s="913"/>
      <c r="OAG56" s="913"/>
      <c r="OAH56" s="913"/>
      <c r="OAI56" s="913"/>
      <c r="OAJ56" s="913"/>
      <c r="OAK56" s="913"/>
      <c r="OAL56" s="913"/>
      <c r="OAM56" s="913"/>
      <c r="OAN56" s="913"/>
      <c r="OAO56" s="913"/>
      <c r="OAP56" s="913"/>
      <c r="OAQ56" s="913"/>
      <c r="OAR56" s="913"/>
      <c r="OAS56" s="913"/>
      <c r="OAT56" s="913"/>
      <c r="OAU56" s="913"/>
      <c r="OAV56" s="913"/>
      <c r="OAW56" s="913"/>
      <c r="OAX56" s="913"/>
      <c r="OAY56" s="913"/>
      <c r="OAZ56" s="913"/>
      <c r="OBA56" s="913"/>
      <c r="OBB56" s="913"/>
      <c r="OBC56" s="913"/>
      <c r="OBD56" s="913"/>
      <c r="OBE56" s="913"/>
      <c r="OBF56" s="913"/>
      <c r="OBG56" s="913"/>
      <c r="OBH56" s="913"/>
      <c r="OBI56" s="913"/>
      <c r="OBJ56" s="913"/>
      <c r="OBK56" s="913"/>
      <c r="OBL56" s="913"/>
      <c r="OBM56" s="913"/>
      <c r="OBN56" s="913"/>
      <c r="OBO56" s="913"/>
      <c r="OBP56" s="913"/>
      <c r="OBQ56" s="913"/>
      <c r="OBR56" s="913"/>
      <c r="OBS56" s="913"/>
      <c r="OBT56" s="913"/>
      <c r="OBU56" s="913"/>
      <c r="OBV56" s="913"/>
      <c r="OBW56" s="913"/>
      <c r="OBX56" s="913"/>
      <c r="OBY56" s="913"/>
      <c r="OBZ56" s="913"/>
      <c r="OCA56" s="913"/>
      <c r="OCB56" s="913"/>
      <c r="OCC56" s="913"/>
      <c r="OCD56" s="913"/>
      <c r="OCE56" s="913"/>
      <c r="OCF56" s="913"/>
      <c r="OCG56" s="913"/>
      <c r="OCH56" s="913"/>
      <c r="OCI56" s="913"/>
      <c r="OCJ56" s="913"/>
      <c r="OCK56" s="913"/>
      <c r="OCL56" s="913"/>
      <c r="OCM56" s="913"/>
      <c r="OCN56" s="913"/>
      <c r="OCO56" s="913"/>
      <c r="OCP56" s="913"/>
      <c r="OCQ56" s="913"/>
      <c r="OCR56" s="913"/>
      <c r="OCS56" s="913"/>
      <c r="OCT56" s="913"/>
      <c r="OCU56" s="913"/>
      <c r="OCV56" s="913"/>
      <c r="OCW56" s="913"/>
      <c r="OCX56" s="913"/>
      <c r="OCY56" s="913"/>
      <c r="OCZ56" s="913"/>
      <c r="ODA56" s="913"/>
      <c r="ODB56" s="913"/>
      <c r="ODC56" s="913"/>
      <c r="ODD56" s="913"/>
      <c r="ODE56" s="913"/>
      <c r="ODF56" s="913"/>
      <c r="ODG56" s="913"/>
      <c r="ODH56" s="913"/>
      <c r="ODI56" s="913"/>
      <c r="ODJ56" s="913"/>
      <c r="ODK56" s="913"/>
      <c r="ODL56" s="913"/>
      <c r="ODM56" s="913"/>
      <c r="ODN56" s="913"/>
      <c r="ODO56" s="913"/>
      <c r="ODP56" s="913"/>
      <c r="ODQ56" s="913"/>
      <c r="ODR56" s="913"/>
      <c r="ODS56" s="913"/>
      <c r="ODT56" s="913"/>
      <c r="ODU56" s="913"/>
      <c r="ODV56" s="913"/>
      <c r="ODW56" s="913"/>
      <c r="ODX56" s="913"/>
      <c r="ODY56" s="913"/>
      <c r="ODZ56" s="913"/>
      <c r="OEA56" s="913"/>
      <c r="OEB56" s="913"/>
      <c r="OEC56" s="913"/>
      <c r="OED56" s="913"/>
      <c r="OEE56" s="913"/>
      <c r="OEF56" s="913"/>
      <c r="OEG56" s="913"/>
      <c r="OEH56" s="913"/>
      <c r="OEI56" s="913"/>
      <c r="OEJ56" s="913"/>
      <c r="OEK56" s="913"/>
      <c r="OEL56" s="913"/>
      <c r="OEM56" s="913"/>
      <c r="OEN56" s="913"/>
      <c r="OEO56" s="913"/>
      <c r="OEP56" s="913"/>
      <c r="OEQ56" s="913"/>
      <c r="OER56" s="913"/>
      <c r="OES56" s="913"/>
      <c r="OET56" s="913"/>
      <c r="OEU56" s="913"/>
      <c r="OEV56" s="913"/>
      <c r="OEW56" s="913"/>
      <c r="OEX56" s="913"/>
      <c r="OEY56" s="913"/>
      <c r="OEZ56" s="913"/>
      <c r="OFA56" s="913"/>
      <c r="OFB56" s="913"/>
      <c r="OFC56" s="913"/>
      <c r="OFD56" s="913"/>
      <c r="OFE56" s="913"/>
      <c r="OFF56" s="913"/>
      <c r="OFG56" s="913"/>
      <c r="OFH56" s="913"/>
      <c r="OFI56" s="913"/>
      <c r="OFJ56" s="913"/>
      <c r="OFK56" s="913"/>
      <c r="OFL56" s="913"/>
      <c r="OFM56" s="913"/>
      <c r="OFN56" s="913"/>
      <c r="OFO56" s="913"/>
      <c r="OFP56" s="913"/>
      <c r="OFQ56" s="913"/>
      <c r="OFR56" s="913"/>
      <c r="OFS56" s="913"/>
      <c r="OFT56" s="913"/>
      <c r="OFU56" s="913"/>
      <c r="OFV56" s="913"/>
      <c r="OFW56" s="913"/>
      <c r="OFX56" s="913"/>
      <c r="OFY56" s="913"/>
      <c r="OFZ56" s="913"/>
      <c r="OGA56" s="913"/>
      <c r="OGB56" s="913"/>
      <c r="OGC56" s="913"/>
      <c r="OGD56" s="913"/>
      <c r="OGE56" s="913"/>
      <c r="OGF56" s="913"/>
      <c r="OGG56" s="913"/>
      <c r="OGH56" s="913"/>
      <c r="OGI56" s="913"/>
      <c r="OGJ56" s="913"/>
      <c r="OGK56" s="913"/>
      <c r="OGL56" s="913"/>
      <c r="OGM56" s="913"/>
      <c r="OGN56" s="913"/>
      <c r="OGO56" s="913"/>
      <c r="OGP56" s="913"/>
      <c r="OGQ56" s="913"/>
      <c r="OGR56" s="913"/>
      <c r="OGS56" s="913"/>
      <c r="OGT56" s="913"/>
      <c r="OGU56" s="913"/>
      <c r="OGV56" s="913"/>
      <c r="OGW56" s="913"/>
      <c r="OGX56" s="913"/>
      <c r="OGY56" s="913"/>
      <c r="OGZ56" s="913"/>
      <c r="OHA56" s="913"/>
      <c r="OHB56" s="913"/>
      <c r="OHC56" s="913"/>
      <c r="OHD56" s="913"/>
      <c r="OHE56" s="913"/>
      <c r="OHF56" s="913"/>
      <c r="OHG56" s="913"/>
      <c r="OHH56" s="913"/>
      <c r="OHI56" s="913"/>
      <c r="OHJ56" s="913"/>
      <c r="OHK56" s="913"/>
      <c r="OHL56" s="913"/>
      <c r="OHM56" s="913"/>
      <c r="OHN56" s="913"/>
      <c r="OHO56" s="913"/>
      <c r="OHP56" s="913"/>
      <c r="OHQ56" s="913"/>
      <c r="OHR56" s="913"/>
      <c r="OHS56" s="913"/>
      <c r="OHT56" s="913"/>
      <c r="OHU56" s="913"/>
      <c r="OHV56" s="913"/>
      <c r="OHW56" s="913"/>
      <c r="OHX56" s="913"/>
      <c r="OHY56" s="913"/>
      <c r="OHZ56" s="913"/>
      <c r="OIA56" s="913"/>
      <c r="OIB56" s="913"/>
      <c r="OIC56" s="913"/>
      <c r="OID56" s="913"/>
      <c r="OIE56" s="913"/>
      <c r="OIF56" s="913"/>
      <c r="OIG56" s="913"/>
      <c r="OIH56" s="913"/>
      <c r="OII56" s="913"/>
      <c r="OIJ56" s="913"/>
      <c r="OIK56" s="913"/>
      <c r="OIL56" s="913"/>
      <c r="OIM56" s="913"/>
      <c r="OIN56" s="913"/>
      <c r="OIO56" s="913"/>
      <c r="OIP56" s="913"/>
      <c r="OIQ56" s="913"/>
      <c r="OIR56" s="913"/>
      <c r="OIS56" s="913"/>
      <c r="OIT56" s="913"/>
      <c r="OIU56" s="913"/>
      <c r="OIV56" s="913"/>
      <c r="OIW56" s="913"/>
      <c r="OIX56" s="913"/>
      <c r="OIY56" s="913"/>
      <c r="OIZ56" s="913"/>
      <c r="OJA56" s="913"/>
      <c r="OJB56" s="913"/>
      <c r="OJC56" s="913"/>
      <c r="OJD56" s="913"/>
      <c r="OJE56" s="913"/>
      <c r="OJF56" s="913"/>
      <c r="OJG56" s="913"/>
      <c r="OJH56" s="913"/>
      <c r="OJI56" s="913"/>
      <c r="OJJ56" s="913"/>
      <c r="OJK56" s="913"/>
      <c r="OJL56" s="913"/>
      <c r="OJM56" s="913"/>
      <c r="OJN56" s="913"/>
      <c r="OJO56" s="913"/>
      <c r="OJP56" s="913"/>
      <c r="OJQ56" s="913"/>
      <c r="OJR56" s="913"/>
      <c r="OJS56" s="913"/>
      <c r="OJT56" s="913"/>
      <c r="OJU56" s="913"/>
      <c r="OJV56" s="913"/>
      <c r="OJW56" s="913"/>
      <c r="OJX56" s="913"/>
      <c r="OJY56" s="913"/>
      <c r="OJZ56" s="913"/>
      <c r="OKA56" s="913"/>
      <c r="OKB56" s="913"/>
      <c r="OKC56" s="913"/>
      <c r="OKD56" s="913"/>
      <c r="OKE56" s="913"/>
      <c r="OKF56" s="913"/>
      <c r="OKG56" s="913"/>
      <c r="OKH56" s="913"/>
      <c r="OKI56" s="913"/>
      <c r="OKJ56" s="913"/>
      <c r="OKK56" s="913"/>
      <c r="OKL56" s="913"/>
      <c r="OKM56" s="913"/>
      <c r="OKN56" s="913"/>
      <c r="OKO56" s="913"/>
      <c r="OKP56" s="913"/>
      <c r="OKQ56" s="913"/>
      <c r="OKR56" s="913"/>
      <c r="OKS56" s="913"/>
      <c r="OKT56" s="913"/>
      <c r="OKU56" s="913"/>
      <c r="OKV56" s="913"/>
      <c r="OKW56" s="913"/>
      <c r="OKX56" s="913"/>
      <c r="OKY56" s="913"/>
      <c r="OKZ56" s="913"/>
      <c r="OLA56" s="913"/>
      <c r="OLB56" s="913"/>
      <c r="OLC56" s="913"/>
      <c r="OLD56" s="913"/>
      <c r="OLE56" s="913"/>
      <c r="OLF56" s="913"/>
      <c r="OLG56" s="913"/>
      <c r="OLH56" s="913"/>
      <c r="OLI56" s="913"/>
      <c r="OLJ56" s="913"/>
      <c r="OLK56" s="913"/>
      <c r="OLL56" s="913"/>
      <c r="OLM56" s="913"/>
      <c r="OLN56" s="913"/>
      <c r="OLO56" s="913"/>
      <c r="OLP56" s="913"/>
      <c r="OLQ56" s="913"/>
      <c r="OLR56" s="913"/>
      <c r="OLS56" s="913"/>
      <c r="OLT56" s="913"/>
      <c r="OLU56" s="913"/>
      <c r="OLV56" s="913"/>
      <c r="OLW56" s="913"/>
      <c r="OLX56" s="913"/>
      <c r="OLY56" s="913"/>
      <c r="OLZ56" s="913"/>
      <c r="OMA56" s="913"/>
      <c r="OMB56" s="913"/>
      <c r="OMC56" s="913"/>
      <c r="OMD56" s="913"/>
      <c r="OME56" s="913"/>
      <c r="OMF56" s="913"/>
      <c r="OMG56" s="913"/>
      <c r="OMH56" s="913"/>
      <c r="OMI56" s="913"/>
      <c r="OMJ56" s="913"/>
      <c r="OMK56" s="913"/>
      <c r="OML56" s="913"/>
      <c r="OMM56" s="913"/>
      <c r="OMN56" s="913"/>
      <c r="OMO56" s="913"/>
      <c r="OMP56" s="913"/>
      <c r="OMQ56" s="913"/>
      <c r="OMR56" s="913"/>
      <c r="OMS56" s="913"/>
      <c r="OMT56" s="913"/>
      <c r="OMU56" s="913"/>
      <c r="OMV56" s="913"/>
      <c r="OMW56" s="913"/>
      <c r="OMX56" s="913"/>
      <c r="OMY56" s="913"/>
      <c r="OMZ56" s="913"/>
      <c r="ONA56" s="913"/>
      <c r="ONB56" s="913"/>
      <c r="ONC56" s="913"/>
      <c r="OND56" s="913"/>
      <c r="ONE56" s="913"/>
      <c r="ONF56" s="913"/>
      <c r="ONG56" s="913"/>
      <c r="ONH56" s="913"/>
      <c r="ONI56" s="913"/>
      <c r="ONJ56" s="913"/>
      <c r="ONK56" s="913"/>
      <c r="ONL56" s="913"/>
      <c r="ONM56" s="913"/>
      <c r="ONN56" s="913"/>
      <c r="ONO56" s="913"/>
      <c r="ONP56" s="913"/>
      <c r="ONQ56" s="913"/>
      <c r="ONR56" s="913"/>
      <c r="ONS56" s="913"/>
      <c r="ONT56" s="913"/>
      <c r="ONU56" s="913"/>
      <c r="ONV56" s="913"/>
      <c r="ONW56" s="913"/>
      <c r="ONX56" s="913"/>
      <c r="ONY56" s="913"/>
      <c r="ONZ56" s="913"/>
      <c r="OOA56" s="913"/>
      <c r="OOB56" s="913"/>
      <c r="OOC56" s="913"/>
      <c r="OOD56" s="913"/>
      <c r="OOE56" s="913"/>
      <c r="OOF56" s="913"/>
      <c r="OOG56" s="913"/>
      <c r="OOH56" s="913"/>
      <c r="OOI56" s="913"/>
      <c r="OOJ56" s="913"/>
      <c r="OOK56" s="913"/>
      <c r="OOL56" s="913"/>
      <c r="OOM56" s="913"/>
      <c r="OON56" s="913"/>
      <c r="OOO56" s="913"/>
      <c r="OOP56" s="913"/>
      <c r="OOQ56" s="913"/>
      <c r="OOR56" s="913"/>
      <c r="OOS56" s="913"/>
      <c r="OOT56" s="913"/>
      <c r="OOU56" s="913"/>
      <c r="OOV56" s="913"/>
      <c r="OOW56" s="913"/>
      <c r="OOX56" s="913"/>
      <c r="OOY56" s="913"/>
      <c r="OOZ56" s="913"/>
      <c r="OPA56" s="913"/>
      <c r="OPB56" s="913"/>
      <c r="OPC56" s="913"/>
      <c r="OPD56" s="913"/>
      <c r="OPE56" s="913"/>
      <c r="OPF56" s="913"/>
      <c r="OPG56" s="913"/>
      <c r="OPH56" s="913"/>
      <c r="OPI56" s="913"/>
      <c r="OPJ56" s="913"/>
      <c r="OPK56" s="913"/>
      <c r="OPL56" s="913"/>
      <c r="OPM56" s="913"/>
      <c r="OPN56" s="913"/>
      <c r="OPO56" s="913"/>
      <c r="OPP56" s="913"/>
      <c r="OPQ56" s="913"/>
      <c r="OPR56" s="913"/>
      <c r="OPS56" s="913"/>
      <c r="OPT56" s="913"/>
      <c r="OPU56" s="913"/>
      <c r="OPV56" s="913"/>
      <c r="OPW56" s="913"/>
      <c r="OPX56" s="913"/>
      <c r="OPY56" s="913"/>
      <c r="OPZ56" s="913"/>
      <c r="OQA56" s="913"/>
      <c r="OQB56" s="913"/>
      <c r="OQC56" s="913"/>
      <c r="OQD56" s="913"/>
      <c r="OQE56" s="913"/>
      <c r="OQF56" s="913"/>
      <c r="OQG56" s="913"/>
      <c r="OQH56" s="913"/>
      <c r="OQI56" s="913"/>
      <c r="OQJ56" s="913"/>
      <c r="OQK56" s="913"/>
      <c r="OQL56" s="913"/>
      <c r="OQM56" s="913"/>
      <c r="OQN56" s="913"/>
      <c r="OQO56" s="913"/>
      <c r="OQP56" s="913"/>
      <c r="OQQ56" s="913"/>
      <c r="OQR56" s="913"/>
      <c r="OQS56" s="913"/>
      <c r="OQT56" s="913"/>
      <c r="OQU56" s="913"/>
      <c r="OQV56" s="913"/>
      <c r="OQW56" s="913"/>
      <c r="OQX56" s="913"/>
      <c r="OQY56" s="913"/>
      <c r="OQZ56" s="913"/>
      <c r="ORA56" s="913"/>
      <c r="ORB56" s="913"/>
      <c r="ORC56" s="913"/>
      <c r="ORD56" s="913"/>
      <c r="ORE56" s="913"/>
      <c r="ORF56" s="913"/>
      <c r="ORG56" s="913"/>
      <c r="ORH56" s="913"/>
      <c r="ORI56" s="913"/>
      <c r="ORJ56" s="913"/>
      <c r="ORK56" s="913"/>
      <c r="ORL56" s="913"/>
      <c r="ORM56" s="913"/>
      <c r="ORN56" s="913"/>
      <c r="ORO56" s="913"/>
      <c r="ORP56" s="913"/>
      <c r="ORQ56" s="913"/>
      <c r="ORR56" s="913"/>
      <c r="ORS56" s="913"/>
      <c r="ORT56" s="913"/>
      <c r="ORU56" s="913"/>
      <c r="ORV56" s="913"/>
      <c r="ORW56" s="913"/>
      <c r="ORX56" s="913"/>
      <c r="ORY56" s="913"/>
      <c r="ORZ56" s="913"/>
      <c r="OSA56" s="913"/>
      <c r="OSB56" s="913"/>
      <c r="OSC56" s="913"/>
      <c r="OSD56" s="913"/>
      <c r="OSE56" s="913"/>
      <c r="OSF56" s="913"/>
      <c r="OSG56" s="913"/>
      <c r="OSH56" s="913"/>
      <c r="OSI56" s="913"/>
      <c r="OSJ56" s="913"/>
      <c r="OSK56" s="913"/>
      <c r="OSL56" s="913"/>
      <c r="OSM56" s="913"/>
      <c r="OSN56" s="913"/>
      <c r="OSO56" s="913"/>
      <c r="OSP56" s="913"/>
      <c r="OSQ56" s="913"/>
      <c r="OSR56" s="913"/>
      <c r="OSS56" s="913"/>
      <c r="OST56" s="913"/>
      <c r="OSU56" s="913"/>
      <c r="OSV56" s="913"/>
      <c r="OSW56" s="913"/>
      <c r="OSX56" s="913"/>
      <c r="OSY56" s="913"/>
      <c r="OSZ56" s="913"/>
      <c r="OTA56" s="913"/>
      <c r="OTB56" s="913"/>
      <c r="OTC56" s="913"/>
      <c r="OTD56" s="913"/>
      <c r="OTE56" s="913"/>
      <c r="OTF56" s="913"/>
      <c r="OTG56" s="913"/>
      <c r="OTH56" s="913"/>
      <c r="OTI56" s="913"/>
      <c r="OTJ56" s="913"/>
      <c r="OTK56" s="913"/>
      <c r="OTL56" s="913"/>
      <c r="OTM56" s="913"/>
      <c r="OTN56" s="913"/>
      <c r="OTO56" s="913"/>
      <c r="OTP56" s="913"/>
      <c r="OTQ56" s="913"/>
      <c r="OTR56" s="913"/>
      <c r="OTS56" s="913"/>
      <c r="OTT56" s="913"/>
      <c r="OTU56" s="913"/>
      <c r="OTV56" s="913"/>
      <c r="OTW56" s="913"/>
      <c r="OTX56" s="913"/>
      <c r="OTY56" s="913"/>
      <c r="OTZ56" s="913"/>
      <c r="OUA56" s="913"/>
      <c r="OUB56" s="913"/>
      <c r="OUC56" s="913"/>
      <c r="OUD56" s="913"/>
      <c r="OUE56" s="913"/>
      <c r="OUF56" s="913"/>
      <c r="OUG56" s="913"/>
      <c r="OUH56" s="913"/>
      <c r="OUI56" s="913"/>
      <c r="OUJ56" s="913"/>
      <c r="OUK56" s="913"/>
      <c r="OUL56" s="913"/>
      <c r="OUM56" s="913"/>
      <c r="OUN56" s="913"/>
      <c r="OUO56" s="913"/>
      <c r="OUP56" s="913"/>
      <c r="OUQ56" s="913"/>
      <c r="OUR56" s="913"/>
      <c r="OUS56" s="913"/>
      <c r="OUT56" s="913"/>
      <c r="OUU56" s="913"/>
      <c r="OUV56" s="913"/>
      <c r="OUW56" s="913"/>
      <c r="OUX56" s="913"/>
      <c r="OUY56" s="913"/>
      <c r="OUZ56" s="913"/>
      <c r="OVA56" s="913"/>
      <c r="OVB56" s="913"/>
      <c r="OVC56" s="913"/>
      <c r="OVD56" s="913"/>
      <c r="OVE56" s="913"/>
      <c r="OVF56" s="913"/>
      <c r="OVG56" s="913"/>
      <c r="OVH56" s="913"/>
      <c r="OVI56" s="913"/>
      <c r="OVJ56" s="913"/>
      <c r="OVK56" s="913"/>
      <c r="OVL56" s="913"/>
      <c r="OVM56" s="913"/>
      <c r="OVN56" s="913"/>
      <c r="OVO56" s="913"/>
      <c r="OVP56" s="913"/>
      <c r="OVQ56" s="913"/>
      <c r="OVR56" s="913"/>
      <c r="OVS56" s="913"/>
      <c r="OVT56" s="913"/>
      <c r="OVU56" s="913"/>
      <c r="OVV56" s="913"/>
      <c r="OVW56" s="913"/>
      <c r="OVX56" s="913"/>
      <c r="OVY56" s="913"/>
      <c r="OVZ56" s="913"/>
      <c r="OWA56" s="913"/>
      <c r="OWB56" s="913"/>
      <c r="OWC56" s="913"/>
      <c r="OWD56" s="913"/>
      <c r="OWE56" s="913"/>
      <c r="OWF56" s="913"/>
      <c r="OWG56" s="913"/>
      <c r="OWH56" s="913"/>
      <c r="OWI56" s="913"/>
      <c r="OWJ56" s="913"/>
      <c r="OWK56" s="913"/>
      <c r="OWL56" s="913"/>
      <c r="OWM56" s="913"/>
      <c r="OWN56" s="913"/>
      <c r="OWO56" s="913"/>
      <c r="OWP56" s="913"/>
      <c r="OWQ56" s="913"/>
      <c r="OWR56" s="913"/>
      <c r="OWS56" s="913"/>
      <c r="OWT56" s="913"/>
      <c r="OWU56" s="913"/>
      <c r="OWV56" s="913"/>
      <c r="OWW56" s="913"/>
      <c r="OWX56" s="913"/>
      <c r="OWY56" s="913"/>
      <c r="OWZ56" s="913"/>
      <c r="OXA56" s="913"/>
      <c r="OXB56" s="913"/>
      <c r="OXC56" s="913"/>
      <c r="OXD56" s="913"/>
      <c r="OXE56" s="913"/>
      <c r="OXF56" s="913"/>
      <c r="OXG56" s="913"/>
      <c r="OXH56" s="913"/>
      <c r="OXI56" s="913"/>
      <c r="OXJ56" s="913"/>
      <c r="OXK56" s="913"/>
      <c r="OXL56" s="913"/>
      <c r="OXM56" s="913"/>
      <c r="OXN56" s="913"/>
      <c r="OXO56" s="913"/>
      <c r="OXP56" s="913"/>
      <c r="OXQ56" s="913"/>
      <c r="OXR56" s="913"/>
      <c r="OXS56" s="913"/>
      <c r="OXT56" s="913"/>
      <c r="OXU56" s="913"/>
      <c r="OXV56" s="913"/>
      <c r="OXW56" s="913"/>
      <c r="OXX56" s="913"/>
      <c r="OXY56" s="913"/>
      <c r="OXZ56" s="913"/>
      <c r="OYA56" s="913"/>
      <c r="OYB56" s="913"/>
      <c r="OYC56" s="913"/>
      <c r="OYD56" s="913"/>
      <c r="OYE56" s="913"/>
      <c r="OYF56" s="913"/>
      <c r="OYG56" s="913"/>
      <c r="OYH56" s="913"/>
      <c r="OYI56" s="913"/>
      <c r="OYJ56" s="913"/>
      <c r="OYK56" s="913"/>
      <c r="OYL56" s="913"/>
      <c r="OYM56" s="913"/>
      <c r="OYN56" s="913"/>
      <c r="OYO56" s="913"/>
      <c r="OYP56" s="913"/>
      <c r="OYQ56" s="913"/>
      <c r="OYR56" s="913"/>
      <c r="OYS56" s="913"/>
      <c r="OYT56" s="913"/>
      <c r="OYU56" s="913"/>
      <c r="OYV56" s="913"/>
      <c r="OYW56" s="913"/>
      <c r="OYX56" s="913"/>
      <c r="OYY56" s="913"/>
      <c r="OYZ56" s="913"/>
      <c r="OZA56" s="913"/>
      <c r="OZB56" s="913"/>
      <c r="OZC56" s="913"/>
      <c r="OZD56" s="913"/>
      <c r="OZE56" s="913"/>
      <c r="OZF56" s="913"/>
      <c r="OZG56" s="913"/>
      <c r="OZH56" s="913"/>
      <c r="OZI56" s="913"/>
      <c r="OZJ56" s="913"/>
      <c r="OZK56" s="913"/>
      <c r="OZL56" s="913"/>
      <c r="OZM56" s="913"/>
      <c r="OZN56" s="913"/>
      <c r="OZO56" s="913"/>
      <c r="OZP56" s="913"/>
      <c r="OZQ56" s="913"/>
      <c r="OZR56" s="913"/>
      <c r="OZS56" s="913"/>
      <c r="OZT56" s="913"/>
      <c r="OZU56" s="913"/>
      <c r="OZV56" s="913"/>
      <c r="OZW56" s="913"/>
      <c r="OZX56" s="913"/>
      <c r="OZY56" s="913"/>
      <c r="OZZ56" s="913"/>
      <c r="PAA56" s="913"/>
      <c r="PAB56" s="913"/>
      <c r="PAC56" s="913"/>
      <c r="PAD56" s="913"/>
      <c r="PAE56" s="913"/>
      <c r="PAF56" s="913"/>
      <c r="PAG56" s="913"/>
      <c r="PAH56" s="913"/>
      <c r="PAI56" s="913"/>
      <c r="PAJ56" s="913"/>
      <c r="PAK56" s="913"/>
      <c r="PAL56" s="913"/>
      <c r="PAM56" s="913"/>
      <c r="PAN56" s="913"/>
      <c r="PAO56" s="913"/>
      <c r="PAP56" s="913"/>
      <c r="PAQ56" s="913"/>
      <c r="PAR56" s="913"/>
      <c r="PAS56" s="913"/>
      <c r="PAT56" s="913"/>
      <c r="PAU56" s="913"/>
      <c r="PAV56" s="913"/>
      <c r="PAW56" s="913"/>
      <c r="PAX56" s="913"/>
      <c r="PAY56" s="913"/>
      <c r="PAZ56" s="913"/>
      <c r="PBA56" s="913"/>
      <c r="PBB56" s="913"/>
      <c r="PBC56" s="913"/>
      <c r="PBD56" s="913"/>
      <c r="PBE56" s="913"/>
      <c r="PBF56" s="913"/>
      <c r="PBG56" s="913"/>
      <c r="PBH56" s="913"/>
      <c r="PBI56" s="913"/>
      <c r="PBJ56" s="913"/>
      <c r="PBK56" s="913"/>
      <c r="PBL56" s="913"/>
      <c r="PBM56" s="913"/>
      <c r="PBN56" s="913"/>
      <c r="PBO56" s="913"/>
      <c r="PBP56" s="913"/>
      <c r="PBQ56" s="913"/>
      <c r="PBR56" s="913"/>
      <c r="PBS56" s="913"/>
      <c r="PBT56" s="913"/>
      <c r="PBU56" s="913"/>
      <c r="PBV56" s="913"/>
      <c r="PBW56" s="913"/>
      <c r="PBX56" s="913"/>
      <c r="PBY56" s="913"/>
      <c r="PBZ56" s="913"/>
      <c r="PCA56" s="913"/>
      <c r="PCB56" s="913"/>
      <c r="PCC56" s="913"/>
      <c r="PCD56" s="913"/>
      <c r="PCE56" s="913"/>
      <c r="PCF56" s="913"/>
      <c r="PCG56" s="913"/>
      <c r="PCH56" s="913"/>
      <c r="PCI56" s="913"/>
      <c r="PCJ56" s="913"/>
      <c r="PCK56" s="913"/>
      <c r="PCL56" s="913"/>
      <c r="PCM56" s="913"/>
      <c r="PCN56" s="913"/>
      <c r="PCO56" s="913"/>
      <c r="PCP56" s="913"/>
      <c r="PCQ56" s="913"/>
      <c r="PCR56" s="913"/>
      <c r="PCS56" s="913"/>
      <c r="PCT56" s="913"/>
      <c r="PCU56" s="913"/>
      <c r="PCV56" s="913"/>
      <c r="PCW56" s="913"/>
      <c r="PCX56" s="913"/>
      <c r="PCY56" s="913"/>
      <c r="PCZ56" s="913"/>
      <c r="PDA56" s="913"/>
      <c r="PDB56" s="913"/>
      <c r="PDC56" s="913"/>
      <c r="PDD56" s="913"/>
      <c r="PDE56" s="913"/>
      <c r="PDF56" s="913"/>
      <c r="PDG56" s="913"/>
      <c r="PDH56" s="913"/>
      <c r="PDI56" s="913"/>
      <c r="PDJ56" s="913"/>
      <c r="PDK56" s="913"/>
      <c r="PDL56" s="913"/>
      <c r="PDM56" s="913"/>
      <c r="PDN56" s="913"/>
      <c r="PDO56" s="913"/>
      <c r="PDP56" s="913"/>
      <c r="PDQ56" s="913"/>
      <c r="PDR56" s="913"/>
      <c r="PDS56" s="913"/>
      <c r="PDT56" s="913"/>
      <c r="PDU56" s="913"/>
      <c r="PDV56" s="913"/>
      <c r="PDW56" s="913"/>
      <c r="PDX56" s="913"/>
      <c r="PDY56" s="913"/>
      <c r="PDZ56" s="913"/>
      <c r="PEA56" s="913"/>
      <c r="PEB56" s="913"/>
      <c r="PEC56" s="913"/>
      <c r="PED56" s="913"/>
      <c r="PEE56" s="913"/>
      <c r="PEF56" s="913"/>
      <c r="PEG56" s="913"/>
      <c r="PEH56" s="913"/>
      <c r="PEI56" s="913"/>
      <c r="PEJ56" s="913"/>
      <c r="PEK56" s="913"/>
      <c r="PEL56" s="913"/>
      <c r="PEM56" s="913"/>
      <c r="PEN56" s="913"/>
      <c r="PEO56" s="913"/>
      <c r="PEP56" s="913"/>
      <c r="PEQ56" s="913"/>
      <c r="PER56" s="913"/>
      <c r="PES56" s="913"/>
      <c r="PET56" s="913"/>
      <c r="PEU56" s="913"/>
      <c r="PEV56" s="913"/>
      <c r="PEW56" s="913"/>
      <c r="PEX56" s="913"/>
      <c r="PEY56" s="913"/>
      <c r="PEZ56" s="913"/>
      <c r="PFA56" s="913"/>
      <c r="PFB56" s="913"/>
      <c r="PFC56" s="913"/>
      <c r="PFD56" s="913"/>
      <c r="PFE56" s="913"/>
      <c r="PFF56" s="913"/>
      <c r="PFG56" s="913"/>
      <c r="PFH56" s="913"/>
      <c r="PFI56" s="913"/>
      <c r="PFJ56" s="913"/>
      <c r="PFK56" s="913"/>
      <c r="PFL56" s="913"/>
      <c r="PFM56" s="913"/>
      <c r="PFN56" s="913"/>
      <c r="PFO56" s="913"/>
      <c r="PFP56" s="913"/>
      <c r="PFQ56" s="913"/>
      <c r="PFR56" s="913"/>
      <c r="PFS56" s="913"/>
      <c r="PFT56" s="913"/>
      <c r="PFU56" s="913"/>
      <c r="PFV56" s="913"/>
      <c r="PFW56" s="913"/>
      <c r="PFX56" s="913"/>
      <c r="PFY56" s="913"/>
      <c r="PFZ56" s="913"/>
      <c r="PGA56" s="913"/>
      <c r="PGB56" s="913"/>
      <c r="PGC56" s="913"/>
      <c r="PGD56" s="913"/>
      <c r="PGE56" s="913"/>
      <c r="PGF56" s="913"/>
      <c r="PGG56" s="913"/>
      <c r="PGH56" s="913"/>
      <c r="PGI56" s="913"/>
      <c r="PGJ56" s="913"/>
      <c r="PGK56" s="913"/>
      <c r="PGL56" s="913"/>
      <c r="PGM56" s="913"/>
      <c r="PGN56" s="913"/>
      <c r="PGO56" s="913"/>
      <c r="PGP56" s="913"/>
      <c r="PGQ56" s="913"/>
      <c r="PGR56" s="913"/>
      <c r="PGS56" s="913"/>
      <c r="PGT56" s="913"/>
      <c r="PGU56" s="913"/>
      <c r="PGV56" s="913"/>
      <c r="PGW56" s="913"/>
      <c r="PGX56" s="913"/>
      <c r="PGY56" s="913"/>
      <c r="PGZ56" s="913"/>
      <c r="PHA56" s="913"/>
      <c r="PHB56" s="913"/>
      <c r="PHC56" s="913"/>
      <c r="PHD56" s="913"/>
      <c r="PHE56" s="913"/>
      <c r="PHF56" s="913"/>
      <c r="PHG56" s="913"/>
      <c r="PHH56" s="913"/>
      <c r="PHI56" s="913"/>
      <c r="PHJ56" s="913"/>
      <c r="PHK56" s="913"/>
      <c r="PHL56" s="913"/>
      <c r="PHM56" s="913"/>
      <c r="PHN56" s="913"/>
      <c r="PHO56" s="913"/>
      <c r="PHP56" s="913"/>
      <c r="PHQ56" s="913"/>
      <c r="PHR56" s="913"/>
      <c r="PHS56" s="913"/>
      <c r="PHT56" s="913"/>
      <c r="PHU56" s="913"/>
      <c r="PHV56" s="913"/>
      <c r="PHW56" s="913"/>
      <c r="PHX56" s="913"/>
      <c r="PHY56" s="913"/>
      <c r="PHZ56" s="913"/>
      <c r="PIA56" s="913"/>
      <c r="PIB56" s="913"/>
      <c r="PIC56" s="913"/>
      <c r="PID56" s="913"/>
      <c r="PIE56" s="913"/>
      <c r="PIF56" s="913"/>
      <c r="PIG56" s="913"/>
      <c r="PIH56" s="913"/>
      <c r="PII56" s="913"/>
      <c r="PIJ56" s="913"/>
      <c r="PIK56" s="913"/>
      <c r="PIL56" s="913"/>
      <c r="PIM56" s="913"/>
      <c r="PIN56" s="913"/>
      <c r="PIO56" s="913"/>
      <c r="PIP56" s="913"/>
      <c r="PIQ56" s="913"/>
      <c r="PIR56" s="913"/>
      <c r="PIS56" s="913"/>
      <c r="PIT56" s="913"/>
      <c r="PIU56" s="913"/>
      <c r="PIV56" s="913"/>
      <c r="PIW56" s="913"/>
      <c r="PIX56" s="913"/>
      <c r="PIY56" s="913"/>
      <c r="PIZ56" s="913"/>
      <c r="PJA56" s="913"/>
      <c r="PJB56" s="913"/>
      <c r="PJC56" s="913"/>
      <c r="PJD56" s="913"/>
      <c r="PJE56" s="913"/>
      <c r="PJF56" s="913"/>
      <c r="PJG56" s="913"/>
      <c r="PJH56" s="913"/>
      <c r="PJI56" s="913"/>
      <c r="PJJ56" s="913"/>
      <c r="PJK56" s="913"/>
      <c r="PJL56" s="913"/>
      <c r="PJM56" s="913"/>
      <c r="PJN56" s="913"/>
      <c r="PJO56" s="913"/>
      <c r="PJP56" s="913"/>
      <c r="PJQ56" s="913"/>
      <c r="PJR56" s="913"/>
      <c r="PJS56" s="913"/>
      <c r="PJT56" s="913"/>
      <c r="PJU56" s="913"/>
      <c r="PJV56" s="913"/>
      <c r="PJW56" s="913"/>
      <c r="PJX56" s="913"/>
      <c r="PJY56" s="913"/>
      <c r="PJZ56" s="913"/>
      <c r="PKA56" s="913"/>
      <c r="PKB56" s="913"/>
      <c r="PKC56" s="913"/>
      <c r="PKD56" s="913"/>
      <c r="PKE56" s="913"/>
      <c r="PKF56" s="913"/>
      <c r="PKG56" s="913"/>
      <c r="PKH56" s="913"/>
      <c r="PKI56" s="913"/>
      <c r="PKJ56" s="913"/>
      <c r="PKK56" s="913"/>
      <c r="PKL56" s="913"/>
      <c r="PKM56" s="913"/>
      <c r="PKN56" s="913"/>
      <c r="PKO56" s="913"/>
      <c r="PKP56" s="913"/>
      <c r="PKQ56" s="913"/>
      <c r="PKR56" s="913"/>
      <c r="PKS56" s="913"/>
      <c r="PKT56" s="913"/>
      <c r="PKU56" s="913"/>
      <c r="PKV56" s="913"/>
      <c r="PKW56" s="913"/>
      <c r="PKX56" s="913"/>
      <c r="PKY56" s="913"/>
      <c r="PKZ56" s="913"/>
      <c r="PLA56" s="913"/>
      <c r="PLB56" s="913"/>
      <c r="PLC56" s="913"/>
      <c r="PLD56" s="913"/>
      <c r="PLE56" s="913"/>
      <c r="PLF56" s="913"/>
      <c r="PLG56" s="913"/>
      <c r="PLH56" s="913"/>
      <c r="PLI56" s="913"/>
      <c r="PLJ56" s="913"/>
      <c r="PLK56" s="913"/>
      <c r="PLL56" s="913"/>
      <c r="PLM56" s="913"/>
      <c r="PLN56" s="913"/>
      <c r="PLO56" s="913"/>
      <c r="PLP56" s="913"/>
      <c r="PLQ56" s="913"/>
      <c r="PLR56" s="913"/>
      <c r="PLS56" s="913"/>
      <c r="PLT56" s="913"/>
      <c r="PLU56" s="913"/>
      <c r="PLV56" s="913"/>
      <c r="PLW56" s="913"/>
      <c r="PLX56" s="913"/>
      <c r="PLY56" s="913"/>
      <c r="PLZ56" s="913"/>
      <c r="PMA56" s="913"/>
      <c r="PMB56" s="913"/>
      <c r="PMC56" s="913"/>
      <c r="PMD56" s="913"/>
      <c r="PME56" s="913"/>
      <c r="PMF56" s="913"/>
      <c r="PMG56" s="913"/>
      <c r="PMH56" s="913"/>
      <c r="PMI56" s="913"/>
      <c r="PMJ56" s="913"/>
      <c r="PMK56" s="913"/>
      <c r="PML56" s="913"/>
      <c r="PMM56" s="913"/>
      <c r="PMN56" s="913"/>
      <c r="PMO56" s="913"/>
      <c r="PMP56" s="913"/>
      <c r="PMQ56" s="913"/>
      <c r="PMR56" s="913"/>
      <c r="PMS56" s="913"/>
      <c r="PMT56" s="913"/>
      <c r="PMU56" s="913"/>
      <c r="PMV56" s="913"/>
      <c r="PMW56" s="913"/>
      <c r="PMX56" s="913"/>
      <c r="PMY56" s="913"/>
      <c r="PMZ56" s="913"/>
      <c r="PNA56" s="913"/>
      <c r="PNB56" s="913"/>
      <c r="PNC56" s="913"/>
      <c r="PND56" s="913"/>
      <c r="PNE56" s="913"/>
      <c r="PNF56" s="913"/>
      <c r="PNG56" s="913"/>
      <c r="PNH56" s="913"/>
      <c r="PNI56" s="913"/>
      <c r="PNJ56" s="913"/>
      <c r="PNK56" s="913"/>
      <c r="PNL56" s="913"/>
      <c r="PNM56" s="913"/>
      <c r="PNN56" s="913"/>
      <c r="PNO56" s="913"/>
      <c r="PNP56" s="913"/>
      <c r="PNQ56" s="913"/>
      <c r="PNR56" s="913"/>
      <c r="PNS56" s="913"/>
      <c r="PNT56" s="913"/>
      <c r="PNU56" s="913"/>
      <c r="PNV56" s="913"/>
      <c r="PNW56" s="913"/>
      <c r="PNX56" s="913"/>
      <c r="PNY56" s="913"/>
      <c r="PNZ56" s="913"/>
      <c r="POA56" s="913"/>
      <c r="POB56" s="913"/>
      <c r="POC56" s="913"/>
      <c r="POD56" s="913"/>
      <c r="POE56" s="913"/>
      <c r="POF56" s="913"/>
      <c r="POG56" s="913"/>
      <c r="POH56" s="913"/>
      <c r="POI56" s="913"/>
      <c r="POJ56" s="913"/>
      <c r="POK56" s="913"/>
      <c r="POL56" s="913"/>
      <c r="POM56" s="913"/>
      <c r="PON56" s="913"/>
      <c r="POO56" s="913"/>
      <c r="POP56" s="913"/>
      <c r="POQ56" s="913"/>
      <c r="POR56" s="913"/>
      <c r="POS56" s="913"/>
      <c r="POT56" s="913"/>
      <c r="POU56" s="913"/>
      <c r="POV56" s="913"/>
      <c r="POW56" s="913"/>
      <c r="POX56" s="913"/>
      <c r="POY56" s="913"/>
      <c r="POZ56" s="913"/>
      <c r="PPA56" s="913"/>
      <c r="PPB56" s="913"/>
      <c r="PPC56" s="913"/>
      <c r="PPD56" s="913"/>
      <c r="PPE56" s="913"/>
      <c r="PPF56" s="913"/>
      <c r="PPG56" s="913"/>
      <c r="PPH56" s="913"/>
      <c r="PPI56" s="913"/>
      <c r="PPJ56" s="913"/>
      <c r="PPK56" s="913"/>
      <c r="PPL56" s="913"/>
      <c r="PPM56" s="913"/>
      <c r="PPN56" s="913"/>
      <c r="PPO56" s="913"/>
      <c r="PPP56" s="913"/>
      <c r="PPQ56" s="913"/>
      <c r="PPR56" s="913"/>
      <c r="PPS56" s="913"/>
      <c r="PPT56" s="913"/>
      <c r="PPU56" s="913"/>
      <c r="PPV56" s="913"/>
      <c r="PPW56" s="913"/>
      <c r="PPX56" s="913"/>
      <c r="PPY56" s="913"/>
      <c r="PPZ56" s="913"/>
      <c r="PQA56" s="913"/>
      <c r="PQB56" s="913"/>
      <c r="PQC56" s="913"/>
      <c r="PQD56" s="913"/>
      <c r="PQE56" s="913"/>
      <c r="PQF56" s="913"/>
      <c r="PQG56" s="913"/>
      <c r="PQH56" s="913"/>
      <c r="PQI56" s="913"/>
      <c r="PQJ56" s="913"/>
      <c r="PQK56" s="913"/>
      <c r="PQL56" s="913"/>
      <c r="PQM56" s="913"/>
      <c r="PQN56" s="913"/>
      <c r="PQO56" s="913"/>
      <c r="PQP56" s="913"/>
      <c r="PQQ56" s="913"/>
      <c r="PQR56" s="913"/>
      <c r="PQS56" s="913"/>
      <c r="PQT56" s="913"/>
      <c r="PQU56" s="913"/>
      <c r="PQV56" s="913"/>
      <c r="PQW56" s="913"/>
      <c r="PQX56" s="913"/>
      <c r="PQY56" s="913"/>
      <c r="PQZ56" s="913"/>
      <c r="PRA56" s="913"/>
      <c r="PRB56" s="913"/>
      <c r="PRC56" s="913"/>
      <c r="PRD56" s="913"/>
      <c r="PRE56" s="913"/>
      <c r="PRF56" s="913"/>
      <c r="PRG56" s="913"/>
      <c r="PRH56" s="913"/>
      <c r="PRI56" s="913"/>
      <c r="PRJ56" s="913"/>
      <c r="PRK56" s="913"/>
      <c r="PRL56" s="913"/>
      <c r="PRM56" s="913"/>
      <c r="PRN56" s="913"/>
      <c r="PRO56" s="913"/>
      <c r="PRP56" s="913"/>
      <c r="PRQ56" s="913"/>
      <c r="PRR56" s="913"/>
      <c r="PRS56" s="913"/>
      <c r="PRT56" s="913"/>
      <c r="PRU56" s="913"/>
      <c r="PRV56" s="913"/>
      <c r="PRW56" s="913"/>
      <c r="PRX56" s="913"/>
      <c r="PRY56" s="913"/>
      <c r="PRZ56" s="913"/>
      <c r="PSA56" s="913"/>
      <c r="PSB56" s="913"/>
      <c r="PSC56" s="913"/>
      <c r="PSD56" s="913"/>
      <c r="PSE56" s="913"/>
      <c r="PSF56" s="913"/>
      <c r="PSG56" s="913"/>
      <c r="PSH56" s="913"/>
      <c r="PSI56" s="913"/>
      <c r="PSJ56" s="913"/>
      <c r="PSK56" s="913"/>
      <c r="PSL56" s="913"/>
      <c r="PSM56" s="913"/>
      <c r="PSN56" s="913"/>
      <c r="PSO56" s="913"/>
      <c r="PSP56" s="913"/>
      <c r="PSQ56" s="913"/>
      <c r="PSR56" s="913"/>
      <c r="PSS56" s="913"/>
      <c r="PST56" s="913"/>
      <c r="PSU56" s="913"/>
      <c r="PSV56" s="913"/>
      <c r="PSW56" s="913"/>
      <c r="PSX56" s="913"/>
      <c r="PSY56" s="913"/>
      <c r="PSZ56" s="913"/>
      <c r="PTA56" s="913"/>
      <c r="PTB56" s="913"/>
      <c r="PTC56" s="913"/>
      <c r="PTD56" s="913"/>
      <c r="PTE56" s="913"/>
      <c r="PTF56" s="913"/>
      <c r="PTG56" s="913"/>
      <c r="PTH56" s="913"/>
      <c r="PTI56" s="913"/>
      <c r="PTJ56" s="913"/>
      <c r="PTK56" s="913"/>
      <c r="PTL56" s="913"/>
      <c r="PTM56" s="913"/>
      <c r="PTN56" s="913"/>
      <c r="PTO56" s="913"/>
      <c r="PTP56" s="913"/>
      <c r="PTQ56" s="913"/>
      <c r="PTR56" s="913"/>
      <c r="PTS56" s="913"/>
      <c r="PTT56" s="913"/>
      <c r="PTU56" s="913"/>
      <c r="PTV56" s="913"/>
      <c r="PTW56" s="913"/>
      <c r="PTX56" s="913"/>
      <c r="PTY56" s="913"/>
      <c r="PTZ56" s="913"/>
      <c r="PUA56" s="913"/>
      <c r="PUB56" s="913"/>
      <c r="PUC56" s="913"/>
      <c r="PUD56" s="913"/>
      <c r="PUE56" s="913"/>
      <c r="PUF56" s="913"/>
      <c r="PUG56" s="913"/>
      <c r="PUH56" s="913"/>
      <c r="PUI56" s="913"/>
      <c r="PUJ56" s="913"/>
      <c r="PUK56" s="913"/>
      <c r="PUL56" s="913"/>
      <c r="PUM56" s="913"/>
      <c r="PUN56" s="913"/>
      <c r="PUO56" s="913"/>
      <c r="PUP56" s="913"/>
      <c r="PUQ56" s="913"/>
      <c r="PUR56" s="913"/>
      <c r="PUS56" s="913"/>
      <c r="PUT56" s="913"/>
      <c r="PUU56" s="913"/>
      <c r="PUV56" s="913"/>
      <c r="PUW56" s="913"/>
      <c r="PUX56" s="913"/>
      <c r="PUY56" s="913"/>
      <c r="PUZ56" s="913"/>
      <c r="PVA56" s="913"/>
      <c r="PVB56" s="913"/>
      <c r="PVC56" s="913"/>
      <c r="PVD56" s="913"/>
      <c r="PVE56" s="913"/>
      <c r="PVF56" s="913"/>
      <c r="PVG56" s="913"/>
      <c r="PVH56" s="913"/>
      <c r="PVI56" s="913"/>
      <c r="PVJ56" s="913"/>
      <c r="PVK56" s="913"/>
      <c r="PVL56" s="913"/>
      <c r="PVM56" s="913"/>
      <c r="PVN56" s="913"/>
      <c r="PVO56" s="913"/>
      <c r="PVP56" s="913"/>
      <c r="PVQ56" s="913"/>
      <c r="PVR56" s="913"/>
      <c r="PVS56" s="913"/>
      <c r="PVT56" s="913"/>
      <c r="PVU56" s="913"/>
      <c r="PVV56" s="913"/>
      <c r="PVW56" s="913"/>
      <c r="PVX56" s="913"/>
      <c r="PVY56" s="913"/>
      <c r="PVZ56" s="913"/>
      <c r="PWA56" s="913"/>
      <c r="PWB56" s="913"/>
      <c r="PWC56" s="913"/>
      <c r="PWD56" s="913"/>
      <c r="PWE56" s="913"/>
      <c r="PWF56" s="913"/>
      <c r="PWG56" s="913"/>
      <c r="PWH56" s="913"/>
      <c r="PWI56" s="913"/>
      <c r="PWJ56" s="913"/>
      <c r="PWK56" s="913"/>
      <c r="PWL56" s="913"/>
      <c r="PWM56" s="913"/>
      <c r="PWN56" s="913"/>
      <c r="PWO56" s="913"/>
      <c r="PWP56" s="913"/>
      <c r="PWQ56" s="913"/>
      <c r="PWR56" s="913"/>
      <c r="PWS56" s="913"/>
      <c r="PWT56" s="913"/>
      <c r="PWU56" s="913"/>
      <c r="PWV56" s="913"/>
      <c r="PWW56" s="913"/>
      <c r="PWX56" s="913"/>
      <c r="PWY56" s="913"/>
      <c r="PWZ56" s="913"/>
      <c r="PXA56" s="913"/>
      <c r="PXB56" s="913"/>
      <c r="PXC56" s="913"/>
      <c r="PXD56" s="913"/>
      <c r="PXE56" s="913"/>
      <c r="PXF56" s="913"/>
      <c r="PXG56" s="913"/>
      <c r="PXH56" s="913"/>
      <c r="PXI56" s="913"/>
      <c r="PXJ56" s="913"/>
      <c r="PXK56" s="913"/>
      <c r="PXL56" s="913"/>
      <c r="PXM56" s="913"/>
      <c r="PXN56" s="913"/>
      <c r="PXO56" s="913"/>
      <c r="PXP56" s="913"/>
      <c r="PXQ56" s="913"/>
      <c r="PXR56" s="913"/>
      <c r="PXS56" s="913"/>
      <c r="PXT56" s="913"/>
      <c r="PXU56" s="913"/>
      <c r="PXV56" s="913"/>
      <c r="PXW56" s="913"/>
      <c r="PXX56" s="913"/>
      <c r="PXY56" s="913"/>
      <c r="PXZ56" s="913"/>
      <c r="PYA56" s="913"/>
      <c r="PYB56" s="913"/>
      <c r="PYC56" s="913"/>
      <c r="PYD56" s="913"/>
      <c r="PYE56" s="913"/>
      <c r="PYF56" s="913"/>
      <c r="PYG56" s="913"/>
      <c r="PYH56" s="913"/>
      <c r="PYI56" s="913"/>
      <c r="PYJ56" s="913"/>
      <c r="PYK56" s="913"/>
      <c r="PYL56" s="913"/>
      <c r="PYM56" s="913"/>
      <c r="PYN56" s="913"/>
      <c r="PYO56" s="913"/>
      <c r="PYP56" s="913"/>
      <c r="PYQ56" s="913"/>
      <c r="PYR56" s="913"/>
      <c r="PYS56" s="913"/>
      <c r="PYT56" s="913"/>
      <c r="PYU56" s="913"/>
      <c r="PYV56" s="913"/>
      <c r="PYW56" s="913"/>
      <c r="PYX56" s="913"/>
      <c r="PYY56" s="913"/>
      <c r="PYZ56" s="913"/>
      <c r="PZA56" s="913"/>
      <c r="PZB56" s="913"/>
      <c r="PZC56" s="913"/>
      <c r="PZD56" s="913"/>
      <c r="PZE56" s="913"/>
      <c r="PZF56" s="913"/>
      <c r="PZG56" s="913"/>
      <c r="PZH56" s="913"/>
      <c r="PZI56" s="913"/>
      <c r="PZJ56" s="913"/>
      <c r="PZK56" s="913"/>
      <c r="PZL56" s="913"/>
      <c r="PZM56" s="913"/>
      <c r="PZN56" s="913"/>
      <c r="PZO56" s="913"/>
      <c r="PZP56" s="913"/>
      <c r="PZQ56" s="913"/>
      <c r="PZR56" s="913"/>
      <c r="PZS56" s="913"/>
      <c r="PZT56" s="913"/>
      <c r="PZU56" s="913"/>
      <c r="PZV56" s="913"/>
      <c r="PZW56" s="913"/>
      <c r="PZX56" s="913"/>
      <c r="PZY56" s="913"/>
      <c r="PZZ56" s="913"/>
      <c r="QAA56" s="913"/>
      <c r="QAB56" s="913"/>
      <c r="QAC56" s="913"/>
      <c r="QAD56" s="913"/>
      <c r="QAE56" s="913"/>
      <c r="QAF56" s="913"/>
      <c r="QAG56" s="913"/>
      <c r="QAH56" s="913"/>
      <c r="QAI56" s="913"/>
      <c r="QAJ56" s="913"/>
      <c r="QAK56" s="913"/>
      <c r="QAL56" s="913"/>
      <c r="QAM56" s="913"/>
      <c r="QAN56" s="913"/>
      <c r="QAO56" s="913"/>
      <c r="QAP56" s="913"/>
      <c r="QAQ56" s="913"/>
      <c r="QAR56" s="913"/>
      <c r="QAS56" s="913"/>
      <c r="QAT56" s="913"/>
      <c r="QAU56" s="913"/>
      <c r="QAV56" s="913"/>
      <c r="QAW56" s="913"/>
      <c r="QAX56" s="913"/>
      <c r="QAY56" s="913"/>
      <c r="QAZ56" s="913"/>
      <c r="QBA56" s="913"/>
      <c r="QBB56" s="913"/>
      <c r="QBC56" s="913"/>
      <c r="QBD56" s="913"/>
      <c r="QBE56" s="913"/>
      <c r="QBF56" s="913"/>
      <c r="QBG56" s="913"/>
      <c r="QBH56" s="913"/>
      <c r="QBI56" s="913"/>
      <c r="QBJ56" s="913"/>
      <c r="QBK56" s="913"/>
      <c r="QBL56" s="913"/>
      <c r="QBM56" s="913"/>
      <c r="QBN56" s="913"/>
      <c r="QBO56" s="913"/>
      <c r="QBP56" s="913"/>
      <c r="QBQ56" s="913"/>
      <c r="QBR56" s="913"/>
      <c r="QBS56" s="913"/>
      <c r="QBT56" s="913"/>
      <c r="QBU56" s="913"/>
      <c r="QBV56" s="913"/>
      <c r="QBW56" s="913"/>
      <c r="QBX56" s="913"/>
      <c r="QBY56" s="913"/>
      <c r="QBZ56" s="913"/>
      <c r="QCA56" s="913"/>
      <c r="QCB56" s="913"/>
      <c r="QCC56" s="913"/>
      <c r="QCD56" s="913"/>
      <c r="QCE56" s="913"/>
      <c r="QCF56" s="913"/>
      <c r="QCG56" s="913"/>
      <c r="QCH56" s="913"/>
      <c r="QCI56" s="913"/>
      <c r="QCJ56" s="913"/>
      <c r="QCK56" s="913"/>
      <c r="QCL56" s="913"/>
      <c r="QCM56" s="913"/>
      <c r="QCN56" s="913"/>
      <c r="QCO56" s="913"/>
      <c r="QCP56" s="913"/>
      <c r="QCQ56" s="913"/>
      <c r="QCR56" s="913"/>
      <c r="QCS56" s="913"/>
      <c r="QCT56" s="913"/>
      <c r="QCU56" s="913"/>
      <c r="QCV56" s="913"/>
      <c r="QCW56" s="913"/>
      <c r="QCX56" s="913"/>
      <c r="QCY56" s="913"/>
      <c r="QCZ56" s="913"/>
      <c r="QDA56" s="913"/>
      <c r="QDB56" s="913"/>
      <c r="QDC56" s="913"/>
      <c r="QDD56" s="913"/>
      <c r="QDE56" s="913"/>
      <c r="QDF56" s="913"/>
      <c r="QDG56" s="913"/>
      <c r="QDH56" s="913"/>
      <c r="QDI56" s="913"/>
      <c r="QDJ56" s="913"/>
      <c r="QDK56" s="913"/>
      <c r="QDL56" s="913"/>
      <c r="QDM56" s="913"/>
      <c r="QDN56" s="913"/>
      <c r="QDO56" s="913"/>
      <c r="QDP56" s="913"/>
      <c r="QDQ56" s="913"/>
      <c r="QDR56" s="913"/>
      <c r="QDS56" s="913"/>
      <c r="QDT56" s="913"/>
      <c r="QDU56" s="913"/>
      <c r="QDV56" s="913"/>
      <c r="QDW56" s="913"/>
      <c r="QDX56" s="913"/>
      <c r="QDY56" s="913"/>
      <c r="QDZ56" s="913"/>
      <c r="QEA56" s="913"/>
      <c r="QEB56" s="913"/>
      <c r="QEC56" s="913"/>
      <c r="QED56" s="913"/>
      <c r="QEE56" s="913"/>
      <c r="QEF56" s="913"/>
      <c r="QEG56" s="913"/>
      <c r="QEH56" s="913"/>
      <c r="QEI56" s="913"/>
      <c r="QEJ56" s="913"/>
      <c r="QEK56" s="913"/>
      <c r="QEL56" s="913"/>
      <c r="QEM56" s="913"/>
      <c r="QEN56" s="913"/>
      <c r="QEO56" s="913"/>
      <c r="QEP56" s="913"/>
      <c r="QEQ56" s="913"/>
      <c r="QER56" s="913"/>
      <c r="QES56" s="913"/>
      <c r="QET56" s="913"/>
      <c r="QEU56" s="913"/>
      <c r="QEV56" s="913"/>
      <c r="QEW56" s="913"/>
      <c r="QEX56" s="913"/>
      <c r="QEY56" s="913"/>
      <c r="QEZ56" s="913"/>
      <c r="QFA56" s="913"/>
      <c r="QFB56" s="913"/>
      <c r="QFC56" s="913"/>
      <c r="QFD56" s="913"/>
      <c r="QFE56" s="913"/>
      <c r="QFF56" s="913"/>
      <c r="QFG56" s="913"/>
      <c r="QFH56" s="913"/>
      <c r="QFI56" s="913"/>
      <c r="QFJ56" s="913"/>
      <c r="QFK56" s="913"/>
      <c r="QFL56" s="913"/>
      <c r="QFM56" s="913"/>
      <c r="QFN56" s="913"/>
      <c r="QFO56" s="913"/>
      <c r="QFP56" s="913"/>
      <c r="QFQ56" s="913"/>
      <c r="QFR56" s="913"/>
      <c r="QFS56" s="913"/>
      <c r="QFT56" s="913"/>
      <c r="QFU56" s="913"/>
      <c r="QFV56" s="913"/>
      <c r="QFW56" s="913"/>
      <c r="QFX56" s="913"/>
      <c r="QFY56" s="913"/>
      <c r="QFZ56" s="913"/>
      <c r="QGA56" s="913"/>
      <c r="QGB56" s="913"/>
      <c r="QGC56" s="913"/>
      <c r="QGD56" s="913"/>
      <c r="QGE56" s="913"/>
      <c r="QGF56" s="913"/>
      <c r="QGG56" s="913"/>
      <c r="QGH56" s="913"/>
      <c r="QGI56" s="913"/>
      <c r="QGJ56" s="913"/>
      <c r="QGK56" s="913"/>
      <c r="QGL56" s="913"/>
      <c r="QGM56" s="913"/>
      <c r="QGN56" s="913"/>
      <c r="QGO56" s="913"/>
      <c r="QGP56" s="913"/>
      <c r="QGQ56" s="913"/>
      <c r="QGR56" s="913"/>
      <c r="QGS56" s="913"/>
      <c r="QGT56" s="913"/>
      <c r="QGU56" s="913"/>
      <c r="QGV56" s="913"/>
      <c r="QGW56" s="913"/>
      <c r="QGX56" s="913"/>
      <c r="QGY56" s="913"/>
      <c r="QGZ56" s="913"/>
      <c r="QHA56" s="913"/>
      <c r="QHB56" s="913"/>
      <c r="QHC56" s="913"/>
      <c r="QHD56" s="913"/>
      <c r="QHE56" s="913"/>
      <c r="QHF56" s="913"/>
      <c r="QHG56" s="913"/>
      <c r="QHH56" s="913"/>
      <c r="QHI56" s="913"/>
      <c r="QHJ56" s="913"/>
      <c r="QHK56" s="913"/>
      <c r="QHL56" s="913"/>
      <c r="QHM56" s="913"/>
      <c r="QHN56" s="913"/>
      <c r="QHO56" s="913"/>
      <c r="QHP56" s="913"/>
      <c r="QHQ56" s="913"/>
      <c r="QHR56" s="913"/>
      <c r="QHS56" s="913"/>
      <c r="QHT56" s="913"/>
      <c r="QHU56" s="913"/>
      <c r="QHV56" s="913"/>
      <c r="QHW56" s="913"/>
      <c r="QHX56" s="913"/>
      <c r="QHY56" s="913"/>
      <c r="QHZ56" s="913"/>
      <c r="QIA56" s="913"/>
      <c r="QIB56" s="913"/>
      <c r="QIC56" s="913"/>
      <c r="QID56" s="913"/>
      <c r="QIE56" s="913"/>
      <c r="QIF56" s="913"/>
      <c r="QIG56" s="913"/>
      <c r="QIH56" s="913"/>
      <c r="QII56" s="913"/>
      <c r="QIJ56" s="913"/>
      <c r="QIK56" s="913"/>
      <c r="QIL56" s="913"/>
      <c r="QIM56" s="913"/>
      <c r="QIN56" s="913"/>
      <c r="QIO56" s="913"/>
      <c r="QIP56" s="913"/>
      <c r="QIQ56" s="913"/>
      <c r="QIR56" s="913"/>
      <c r="QIS56" s="913"/>
      <c r="QIT56" s="913"/>
      <c r="QIU56" s="913"/>
      <c r="QIV56" s="913"/>
      <c r="QIW56" s="913"/>
      <c r="QIX56" s="913"/>
      <c r="QIY56" s="913"/>
      <c r="QIZ56" s="913"/>
      <c r="QJA56" s="913"/>
      <c r="QJB56" s="913"/>
      <c r="QJC56" s="913"/>
      <c r="QJD56" s="913"/>
      <c r="QJE56" s="913"/>
      <c r="QJF56" s="913"/>
      <c r="QJG56" s="913"/>
      <c r="QJH56" s="913"/>
      <c r="QJI56" s="913"/>
      <c r="QJJ56" s="913"/>
      <c r="QJK56" s="913"/>
      <c r="QJL56" s="913"/>
      <c r="QJM56" s="913"/>
      <c r="QJN56" s="913"/>
      <c r="QJO56" s="913"/>
      <c r="QJP56" s="913"/>
      <c r="QJQ56" s="913"/>
      <c r="QJR56" s="913"/>
      <c r="QJS56" s="913"/>
      <c r="QJT56" s="913"/>
      <c r="QJU56" s="913"/>
      <c r="QJV56" s="913"/>
      <c r="QJW56" s="913"/>
      <c r="QJX56" s="913"/>
      <c r="QJY56" s="913"/>
      <c r="QJZ56" s="913"/>
      <c r="QKA56" s="913"/>
      <c r="QKB56" s="913"/>
      <c r="QKC56" s="913"/>
      <c r="QKD56" s="913"/>
      <c r="QKE56" s="913"/>
      <c r="QKF56" s="913"/>
      <c r="QKG56" s="913"/>
      <c r="QKH56" s="913"/>
      <c r="QKI56" s="913"/>
      <c r="QKJ56" s="913"/>
      <c r="QKK56" s="913"/>
      <c r="QKL56" s="913"/>
      <c r="QKM56" s="913"/>
      <c r="QKN56" s="913"/>
      <c r="QKO56" s="913"/>
      <c r="QKP56" s="913"/>
      <c r="QKQ56" s="913"/>
      <c r="QKR56" s="913"/>
      <c r="QKS56" s="913"/>
      <c r="QKT56" s="913"/>
      <c r="QKU56" s="913"/>
      <c r="QKV56" s="913"/>
      <c r="QKW56" s="913"/>
      <c r="QKX56" s="913"/>
      <c r="QKY56" s="913"/>
      <c r="QKZ56" s="913"/>
      <c r="QLA56" s="913"/>
      <c r="QLB56" s="913"/>
      <c r="QLC56" s="913"/>
      <c r="QLD56" s="913"/>
      <c r="QLE56" s="913"/>
      <c r="QLF56" s="913"/>
      <c r="QLG56" s="913"/>
      <c r="QLH56" s="913"/>
      <c r="QLI56" s="913"/>
      <c r="QLJ56" s="913"/>
      <c r="QLK56" s="913"/>
      <c r="QLL56" s="913"/>
      <c r="QLM56" s="913"/>
      <c r="QLN56" s="913"/>
      <c r="QLO56" s="913"/>
      <c r="QLP56" s="913"/>
      <c r="QLQ56" s="913"/>
      <c r="QLR56" s="913"/>
      <c r="QLS56" s="913"/>
      <c r="QLT56" s="913"/>
      <c r="QLU56" s="913"/>
      <c r="QLV56" s="913"/>
      <c r="QLW56" s="913"/>
      <c r="QLX56" s="913"/>
      <c r="QLY56" s="913"/>
      <c r="QLZ56" s="913"/>
      <c r="QMA56" s="913"/>
      <c r="QMB56" s="913"/>
      <c r="QMC56" s="913"/>
      <c r="QMD56" s="913"/>
      <c r="QME56" s="913"/>
      <c r="QMF56" s="913"/>
      <c r="QMG56" s="913"/>
      <c r="QMH56" s="913"/>
      <c r="QMI56" s="913"/>
      <c r="QMJ56" s="913"/>
      <c r="QMK56" s="913"/>
      <c r="QML56" s="913"/>
      <c r="QMM56" s="913"/>
      <c r="QMN56" s="913"/>
      <c r="QMO56" s="913"/>
      <c r="QMP56" s="913"/>
      <c r="QMQ56" s="913"/>
      <c r="QMR56" s="913"/>
      <c r="QMS56" s="913"/>
      <c r="QMT56" s="913"/>
      <c r="QMU56" s="913"/>
      <c r="QMV56" s="913"/>
      <c r="QMW56" s="913"/>
      <c r="QMX56" s="913"/>
      <c r="QMY56" s="913"/>
      <c r="QMZ56" s="913"/>
      <c r="QNA56" s="913"/>
      <c r="QNB56" s="913"/>
      <c r="QNC56" s="913"/>
      <c r="QND56" s="913"/>
      <c r="QNE56" s="913"/>
      <c r="QNF56" s="913"/>
      <c r="QNG56" s="913"/>
      <c r="QNH56" s="913"/>
      <c r="QNI56" s="913"/>
      <c r="QNJ56" s="913"/>
      <c r="QNK56" s="913"/>
      <c r="QNL56" s="913"/>
      <c r="QNM56" s="913"/>
      <c r="QNN56" s="913"/>
      <c r="QNO56" s="913"/>
      <c r="QNP56" s="913"/>
      <c r="QNQ56" s="913"/>
      <c r="QNR56" s="913"/>
      <c r="QNS56" s="913"/>
      <c r="QNT56" s="913"/>
      <c r="QNU56" s="913"/>
      <c r="QNV56" s="913"/>
      <c r="QNW56" s="913"/>
      <c r="QNX56" s="913"/>
      <c r="QNY56" s="913"/>
      <c r="QNZ56" s="913"/>
      <c r="QOA56" s="913"/>
      <c r="QOB56" s="913"/>
      <c r="QOC56" s="913"/>
      <c r="QOD56" s="913"/>
      <c r="QOE56" s="913"/>
      <c r="QOF56" s="913"/>
      <c r="QOG56" s="913"/>
      <c r="QOH56" s="913"/>
      <c r="QOI56" s="913"/>
      <c r="QOJ56" s="913"/>
      <c r="QOK56" s="913"/>
      <c r="QOL56" s="913"/>
      <c r="QOM56" s="913"/>
      <c r="QON56" s="913"/>
      <c r="QOO56" s="913"/>
      <c r="QOP56" s="913"/>
      <c r="QOQ56" s="913"/>
      <c r="QOR56" s="913"/>
      <c r="QOS56" s="913"/>
      <c r="QOT56" s="913"/>
      <c r="QOU56" s="913"/>
      <c r="QOV56" s="913"/>
      <c r="QOW56" s="913"/>
      <c r="QOX56" s="913"/>
      <c r="QOY56" s="913"/>
      <c r="QOZ56" s="913"/>
      <c r="QPA56" s="913"/>
      <c r="QPB56" s="913"/>
      <c r="QPC56" s="913"/>
      <c r="QPD56" s="913"/>
      <c r="QPE56" s="913"/>
      <c r="QPF56" s="913"/>
      <c r="QPG56" s="913"/>
      <c r="QPH56" s="913"/>
      <c r="QPI56" s="913"/>
      <c r="QPJ56" s="913"/>
      <c r="QPK56" s="913"/>
      <c r="QPL56" s="913"/>
      <c r="QPM56" s="913"/>
      <c r="QPN56" s="913"/>
      <c r="QPO56" s="913"/>
      <c r="QPP56" s="913"/>
      <c r="QPQ56" s="913"/>
      <c r="QPR56" s="913"/>
      <c r="QPS56" s="913"/>
      <c r="QPT56" s="913"/>
      <c r="QPU56" s="913"/>
      <c r="QPV56" s="913"/>
      <c r="QPW56" s="913"/>
      <c r="QPX56" s="913"/>
      <c r="QPY56" s="913"/>
      <c r="QPZ56" s="913"/>
      <c r="QQA56" s="913"/>
      <c r="QQB56" s="913"/>
      <c r="QQC56" s="913"/>
      <c r="QQD56" s="913"/>
      <c r="QQE56" s="913"/>
      <c r="QQF56" s="913"/>
      <c r="QQG56" s="913"/>
      <c r="QQH56" s="913"/>
      <c r="QQI56" s="913"/>
      <c r="QQJ56" s="913"/>
      <c r="QQK56" s="913"/>
      <c r="QQL56" s="913"/>
      <c r="QQM56" s="913"/>
      <c r="QQN56" s="913"/>
      <c r="QQO56" s="913"/>
      <c r="QQP56" s="913"/>
      <c r="QQQ56" s="913"/>
      <c r="QQR56" s="913"/>
      <c r="QQS56" s="913"/>
      <c r="QQT56" s="913"/>
      <c r="QQU56" s="913"/>
      <c r="QQV56" s="913"/>
      <c r="QQW56" s="913"/>
      <c r="QQX56" s="913"/>
      <c r="QQY56" s="913"/>
      <c r="QQZ56" s="913"/>
      <c r="QRA56" s="913"/>
      <c r="QRB56" s="913"/>
      <c r="QRC56" s="913"/>
      <c r="QRD56" s="913"/>
      <c r="QRE56" s="913"/>
      <c r="QRF56" s="913"/>
      <c r="QRG56" s="913"/>
      <c r="QRH56" s="913"/>
      <c r="QRI56" s="913"/>
      <c r="QRJ56" s="913"/>
      <c r="QRK56" s="913"/>
      <c r="QRL56" s="913"/>
      <c r="QRM56" s="913"/>
      <c r="QRN56" s="913"/>
      <c r="QRO56" s="913"/>
      <c r="QRP56" s="913"/>
      <c r="QRQ56" s="913"/>
      <c r="QRR56" s="913"/>
      <c r="QRS56" s="913"/>
      <c r="QRT56" s="913"/>
      <c r="QRU56" s="913"/>
      <c r="QRV56" s="913"/>
      <c r="QRW56" s="913"/>
      <c r="QRX56" s="913"/>
      <c r="QRY56" s="913"/>
      <c r="QRZ56" s="913"/>
      <c r="QSA56" s="913"/>
      <c r="QSB56" s="913"/>
      <c r="QSC56" s="913"/>
      <c r="QSD56" s="913"/>
      <c r="QSE56" s="913"/>
      <c r="QSF56" s="913"/>
      <c r="QSG56" s="913"/>
      <c r="QSH56" s="913"/>
      <c r="QSI56" s="913"/>
      <c r="QSJ56" s="913"/>
      <c r="QSK56" s="913"/>
      <c r="QSL56" s="913"/>
      <c r="QSM56" s="913"/>
      <c r="QSN56" s="913"/>
      <c r="QSO56" s="913"/>
      <c r="QSP56" s="913"/>
      <c r="QSQ56" s="913"/>
      <c r="QSR56" s="913"/>
      <c r="QSS56" s="913"/>
      <c r="QST56" s="913"/>
      <c r="QSU56" s="913"/>
      <c r="QSV56" s="913"/>
      <c r="QSW56" s="913"/>
      <c r="QSX56" s="913"/>
      <c r="QSY56" s="913"/>
      <c r="QSZ56" s="913"/>
      <c r="QTA56" s="913"/>
      <c r="QTB56" s="913"/>
      <c r="QTC56" s="913"/>
      <c r="QTD56" s="913"/>
      <c r="QTE56" s="913"/>
      <c r="QTF56" s="913"/>
      <c r="QTG56" s="913"/>
      <c r="QTH56" s="913"/>
      <c r="QTI56" s="913"/>
      <c r="QTJ56" s="913"/>
      <c r="QTK56" s="913"/>
      <c r="QTL56" s="913"/>
      <c r="QTM56" s="913"/>
      <c r="QTN56" s="913"/>
      <c r="QTO56" s="913"/>
      <c r="QTP56" s="913"/>
      <c r="QTQ56" s="913"/>
      <c r="QTR56" s="913"/>
      <c r="QTS56" s="913"/>
      <c r="QTT56" s="913"/>
      <c r="QTU56" s="913"/>
      <c r="QTV56" s="913"/>
      <c r="QTW56" s="913"/>
      <c r="QTX56" s="913"/>
      <c r="QTY56" s="913"/>
      <c r="QTZ56" s="913"/>
      <c r="QUA56" s="913"/>
      <c r="QUB56" s="913"/>
      <c r="QUC56" s="913"/>
      <c r="QUD56" s="913"/>
      <c r="QUE56" s="913"/>
      <c r="QUF56" s="913"/>
      <c r="QUG56" s="913"/>
      <c r="QUH56" s="913"/>
      <c r="QUI56" s="913"/>
      <c r="QUJ56" s="913"/>
      <c r="QUK56" s="913"/>
      <c r="QUL56" s="913"/>
      <c r="QUM56" s="913"/>
      <c r="QUN56" s="913"/>
      <c r="QUO56" s="913"/>
      <c r="QUP56" s="913"/>
      <c r="QUQ56" s="913"/>
      <c r="QUR56" s="913"/>
      <c r="QUS56" s="913"/>
      <c r="QUT56" s="913"/>
      <c r="QUU56" s="913"/>
      <c r="QUV56" s="913"/>
      <c r="QUW56" s="913"/>
      <c r="QUX56" s="913"/>
      <c r="QUY56" s="913"/>
      <c r="QUZ56" s="913"/>
      <c r="QVA56" s="913"/>
      <c r="QVB56" s="913"/>
      <c r="QVC56" s="913"/>
      <c r="QVD56" s="913"/>
      <c r="QVE56" s="913"/>
      <c r="QVF56" s="913"/>
      <c r="QVG56" s="913"/>
      <c r="QVH56" s="913"/>
      <c r="QVI56" s="913"/>
      <c r="QVJ56" s="913"/>
      <c r="QVK56" s="913"/>
      <c r="QVL56" s="913"/>
      <c r="QVM56" s="913"/>
      <c r="QVN56" s="913"/>
      <c r="QVO56" s="913"/>
      <c r="QVP56" s="913"/>
      <c r="QVQ56" s="913"/>
      <c r="QVR56" s="913"/>
      <c r="QVS56" s="913"/>
      <c r="QVT56" s="913"/>
      <c r="QVU56" s="913"/>
      <c r="QVV56" s="913"/>
      <c r="QVW56" s="913"/>
      <c r="QVX56" s="913"/>
      <c r="QVY56" s="913"/>
      <c r="QVZ56" s="913"/>
      <c r="QWA56" s="913"/>
      <c r="QWB56" s="913"/>
      <c r="QWC56" s="913"/>
      <c r="QWD56" s="913"/>
      <c r="QWE56" s="913"/>
      <c r="QWF56" s="913"/>
      <c r="QWG56" s="913"/>
      <c r="QWH56" s="913"/>
      <c r="QWI56" s="913"/>
      <c r="QWJ56" s="913"/>
      <c r="QWK56" s="913"/>
      <c r="QWL56" s="913"/>
      <c r="QWM56" s="913"/>
      <c r="QWN56" s="913"/>
      <c r="QWO56" s="913"/>
      <c r="QWP56" s="913"/>
      <c r="QWQ56" s="913"/>
      <c r="QWR56" s="913"/>
      <c r="QWS56" s="913"/>
      <c r="QWT56" s="913"/>
      <c r="QWU56" s="913"/>
      <c r="QWV56" s="913"/>
      <c r="QWW56" s="913"/>
      <c r="QWX56" s="913"/>
      <c r="QWY56" s="913"/>
      <c r="QWZ56" s="913"/>
      <c r="QXA56" s="913"/>
      <c r="QXB56" s="913"/>
      <c r="QXC56" s="913"/>
      <c r="QXD56" s="913"/>
      <c r="QXE56" s="913"/>
      <c r="QXF56" s="913"/>
      <c r="QXG56" s="913"/>
      <c r="QXH56" s="913"/>
      <c r="QXI56" s="913"/>
      <c r="QXJ56" s="913"/>
      <c r="QXK56" s="913"/>
      <c r="QXL56" s="913"/>
      <c r="QXM56" s="913"/>
      <c r="QXN56" s="913"/>
      <c r="QXO56" s="913"/>
      <c r="QXP56" s="913"/>
      <c r="QXQ56" s="913"/>
      <c r="QXR56" s="913"/>
      <c r="QXS56" s="913"/>
      <c r="QXT56" s="913"/>
      <c r="QXU56" s="913"/>
      <c r="QXV56" s="913"/>
      <c r="QXW56" s="913"/>
      <c r="QXX56" s="913"/>
      <c r="QXY56" s="913"/>
      <c r="QXZ56" s="913"/>
      <c r="QYA56" s="913"/>
      <c r="QYB56" s="913"/>
      <c r="QYC56" s="913"/>
      <c r="QYD56" s="913"/>
      <c r="QYE56" s="913"/>
      <c r="QYF56" s="913"/>
      <c r="QYG56" s="913"/>
      <c r="QYH56" s="913"/>
      <c r="QYI56" s="913"/>
      <c r="QYJ56" s="913"/>
      <c r="QYK56" s="913"/>
      <c r="QYL56" s="913"/>
      <c r="QYM56" s="913"/>
      <c r="QYN56" s="913"/>
      <c r="QYO56" s="913"/>
      <c r="QYP56" s="913"/>
      <c r="QYQ56" s="913"/>
      <c r="QYR56" s="913"/>
      <c r="QYS56" s="913"/>
      <c r="QYT56" s="913"/>
      <c r="QYU56" s="913"/>
      <c r="QYV56" s="913"/>
      <c r="QYW56" s="913"/>
      <c r="QYX56" s="913"/>
      <c r="QYY56" s="913"/>
      <c r="QYZ56" s="913"/>
      <c r="QZA56" s="913"/>
      <c r="QZB56" s="913"/>
      <c r="QZC56" s="913"/>
      <c r="QZD56" s="913"/>
      <c r="QZE56" s="913"/>
      <c r="QZF56" s="913"/>
      <c r="QZG56" s="913"/>
      <c r="QZH56" s="913"/>
      <c r="QZI56" s="913"/>
      <c r="QZJ56" s="913"/>
      <c r="QZK56" s="913"/>
      <c r="QZL56" s="913"/>
      <c r="QZM56" s="913"/>
      <c r="QZN56" s="913"/>
      <c r="QZO56" s="913"/>
      <c r="QZP56" s="913"/>
      <c r="QZQ56" s="913"/>
      <c r="QZR56" s="913"/>
      <c r="QZS56" s="913"/>
      <c r="QZT56" s="913"/>
      <c r="QZU56" s="913"/>
      <c r="QZV56" s="913"/>
      <c r="QZW56" s="913"/>
      <c r="QZX56" s="913"/>
      <c r="QZY56" s="913"/>
      <c r="QZZ56" s="913"/>
      <c r="RAA56" s="913"/>
      <c r="RAB56" s="913"/>
      <c r="RAC56" s="913"/>
      <c r="RAD56" s="913"/>
      <c r="RAE56" s="913"/>
      <c r="RAF56" s="913"/>
      <c r="RAG56" s="913"/>
      <c r="RAH56" s="913"/>
      <c r="RAI56" s="913"/>
      <c r="RAJ56" s="913"/>
      <c r="RAK56" s="913"/>
      <c r="RAL56" s="913"/>
      <c r="RAM56" s="913"/>
      <c r="RAN56" s="913"/>
      <c r="RAO56" s="913"/>
      <c r="RAP56" s="913"/>
      <c r="RAQ56" s="913"/>
      <c r="RAR56" s="913"/>
      <c r="RAS56" s="913"/>
      <c r="RAT56" s="913"/>
      <c r="RAU56" s="913"/>
      <c r="RAV56" s="913"/>
      <c r="RAW56" s="913"/>
      <c r="RAX56" s="913"/>
      <c r="RAY56" s="913"/>
      <c r="RAZ56" s="913"/>
      <c r="RBA56" s="913"/>
      <c r="RBB56" s="913"/>
      <c r="RBC56" s="913"/>
      <c r="RBD56" s="913"/>
      <c r="RBE56" s="913"/>
      <c r="RBF56" s="913"/>
      <c r="RBG56" s="913"/>
      <c r="RBH56" s="913"/>
      <c r="RBI56" s="913"/>
      <c r="RBJ56" s="913"/>
      <c r="RBK56" s="913"/>
      <c r="RBL56" s="913"/>
      <c r="RBM56" s="913"/>
      <c r="RBN56" s="913"/>
      <c r="RBO56" s="913"/>
      <c r="RBP56" s="913"/>
      <c r="RBQ56" s="913"/>
      <c r="RBR56" s="913"/>
      <c r="RBS56" s="913"/>
      <c r="RBT56" s="913"/>
      <c r="RBU56" s="913"/>
      <c r="RBV56" s="913"/>
      <c r="RBW56" s="913"/>
      <c r="RBX56" s="913"/>
      <c r="RBY56" s="913"/>
      <c r="RBZ56" s="913"/>
      <c r="RCA56" s="913"/>
      <c r="RCB56" s="913"/>
      <c r="RCC56" s="913"/>
      <c r="RCD56" s="913"/>
      <c r="RCE56" s="913"/>
      <c r="RCF56" s="913"/>
      <c r="RCG56" s="913"/>
      <c r="RCH56" s="913"/>
      <c r="RCI56" s="913"/>
      <c r="RCJ56" s="913"/>
      <c r="RCK56" s="913"/>
      <c r="RCL56" s="913"/>
      <c r="RCM56" s="913"/>
      <c r="RCN56" s="913"/>
      <c r="RCO56" s="913"/>
      <c r="RCP56" s="913"/>
      <c r="RCQ56" s="913"/>
      <c r="RCR56" s="913"/>
      <c r="RCS56" s="913"/>
      <c r="RCT56" s="913"/>
      <c r="RCU56" s="913"/>
      <c r="RCV56" s="913"/>
      <c r="RCW56" s="913"/>
      <c r="RCX56" s="913"/>
      <c r="RCY56" s="913"/>
      <c r="RCZ56" s="913"/>
      <c r="RDA56" s="913"/>
      <c r="RDB56" s="913"/>
      <c r="RDC56" s="913"/>
      <c r="RDD56" s="913"/>
      <c r="RDE56" s="913"/>
      <c r="RDF56" s="913"/>
      <c r="RDG56" s="913"/>
      <c r="RDH56" s="913"/>
      <c r="RDI56" s="913"/>
      <c r="RDJ56" s="913"/>
      <c r="RDK56" s="913"/>
      <c r="RDL56" s="913"/>
      <c r="RDM56" s="913"/>
      <c r="RDN56" s="913"/>
      <c r="RDO56" s="913"/>
      <c r="RDP56" s="913"/>
      <c r="RDQ56" s="913"/>
      <c r="RDR56" s="913"/>
      <c r="RDS56" s="913"/>
      <c r="RDT56" s="913"/>
      <c r="RDU56" s="913"/>
      <c r="RDV56" s="913"/>
      <c r="RDW56" s="913"/>
      <c r="RDX56" s="913"/>
      <c r="RDY56" s="913"/>
      <c r="RDZ56" s="913"/>
      <c r="REA56" s="913"/>
      <c r="REB56" s="913"/>
      <c r="REC56" s="913"/>
      <c r="RED56" s="913"/>
      <c r="REE56" s="913"/>
      <c r="REF56" s="913"/>
      <c r="REG56" s="913"/>
      <c r="REH56" s="913"/>
      <c r="REI56" s="913"/>
      <c r="REJ56" s="913"/>
      <c r="REK56" s="913"/>
      <c r="REL56" s="913"/>
      <c r="REM56" s="913"/>
      <c r="REN56" s="913"/>
      <c r="REO56" s="913"/>
      <c r="REP56" s="913"/>
      <c r="REQ56" s="913"/>
      <c r="RER56" s="913"/>
      <c r="RES56" s="913"/>
      <c r="RET56" s="913"/>
      <c r="REU56" s="913"/>
      <c r="REV56" s="913"/>
      <c r="REW56" s="913"/>
      <c r="REX56" s="913"/>
      <c r="REY56" s="913"/>
      <c r="REZ56" s="913"/>
      <c r="RFA56" s="913"/>
      <c r="RFB56" s="913"/>
      <c r="RFC56" s="913"/>
      <c r="RFD56" s="913"/>
      <c r="RFE56" s="913"/>
      <c r="RFF56" s="913"/>
      <c r="RFG56" s="913"/>
      <c r="RFH56" s="913"/>
      <c r="RFI56" s="913"/>
      <c r="RFJ56" s="913"/>
      <c r="RFK56" s="913"/>
      <c r="RFL56" s="913"/>
      <c r="RFM56" s="913"/>
      <c r="RFN56" s="913"/>
      <c r="RFO56" s="913"/>
      <c r="RFP56" s="913"/>
      <c r="RFQ56" s="913"/>
      <c r="RFR56" s="913"/>
      <c r="RFS56" s="913"/>
      <c r="RFT56" s="913"/>
      <c r="RFU56" s="913"/>
      <c r="RFV56" s="913"/>
      <c r="RFW56" s="913"/>
      <c r="RFX56" s="913"/>
      <c r="RFY56" s="913"/>
      <c r="RFZ56" s="913"/>
      <c r="RGA56" s="913"/>
      <c r="RGB56" s="913"/>
      <c r="RGC56" s="913"/>
      <c r="RGD56" s="913"/>
      <c r="RGE56" s="913"/>
      <c r="RGF56" s="913"/>
      <c r="RGG56" s="913"/>
      <c r="RGH56" s="913"/>
      <c r="RGI56" s="913"/>
      <c r="RGJ56" s="913"/>
      <c r="RGK56" s="913"/>
      <c r="RGL56" s="913"/>
      <c r="RGM56" s="913"/>
      <c r="RGN56" s="913"/>
      <c r="RGO56" s="913"/>
      <c r="RGP56" s="913"/>
      <c r="RGQ56" s="913"/>
      <c r="RGR56" s="913"/>
      <c r="RGS56" s="913"/>
      <c r="RGT56" s="913"/>
      <c r="RGU56" s="913"/>
      <c r="RGV56" s="913"/>
      <c r="RGW56" s="913"/>
      <c r="RGX56" s="913"/>
      <c r="RGY56" s="913"/>
      <c r="RGZ56" s="913"/>
      <c r="RHA56" s="913"/>
      <c r="RHB56" s="913"/>
      <c r="RHC56" s="913"/>
      <c r="RHD56" s="913"/>
      <c r="RHE56" s="913"/>
      <c r="RHF56" s="913"/>
      <c r="RHG56" s="913"/>
      <c r="RHH56" s="913"/>
      <c r="RHI56" s="913"/>
      <c r="RHJ56" s="913"/>
      <c r="RHK56" s="913"/>
      <c r="RHL56" s="913"/>
      <c r="RHM56" s="913"/>
      <c r="RHN56" s="913"/>
      <c r="RHO56" s="913"/>
      <c r="RHP56" s="913"/>
      <c r="RHQ56" s="913"/>
      <c r="RHR56" s="913"/>
      <c r="RHS56" s="913"/>
      <c r="RHT56" s="913"/>
      <c r="RHU56" s="913"/>
      <c r="RHV56" s="913"/>
      <c r="RHW56" s="913"/>
      <c r="RHX56" s="913"/>
      <c r="RHY56" s="913"/>
      <c r="RHZ56" s="913"/>
      <c r="RIA56" s="913"/>
      <c r="RIB56" s="913"/>
      <c r="RIC56" s="913"/>
      <c r="RID56" s="913"/>
      <c r="RIE56" s="913"/>
      <c r="RIF56" s="913"/>
      <c r="RIG56" s="913"/>
      <c r="RIH56" s="913"/>
      <c r="RII56" s="913"/>
      <c r="RIJ56" s="913"/>
      <c r="RIK56" s="913"/>
      <c r="RIL56" s="913"/>
      <c r="RIM56" s="913"/>
      <c r="RIN56" s="913"/>
      <c r="RIO56" s="913"/>
      <c r="RIP56" s="913"/>
      <c r="RIQ56" s="913"/>
      <c r="RIR56" s="913"/>
      <c r="RIS56" s="913"/>
      <c r="RIT56" s="913"/>
      <c r="RIU56" s="913"/>
      <c r="RIV56" s="913"/>
      <c r="RIW56" s="913"/>
      <c r="RIX56" s="913"/>
      <c r="RIY56" s="913"/>
      <c r="RIZ56" s="913"/>
      <c r="RJA56" s="913"/>
      <c r="RJB56" s="913"/>
      <c r="RJC56" s="913"/>
      <c r="RJD56" s="913"/>
      <c r="RJE56" s="913"/>
      <c r="RJF56" s="913"/>
      <c r="RJG56" s="913"/>
      <c r="RJH56" s="913"/>
      <c r="RJI56" s="913"/>
      <c r="RJJ56" s="913"/>
      <c r="RJK56" s="913"/>
      <c r="RJL56" s="913"/>
      <c r="RJM56" s="913"/>
      <c r="RJN56" s="913"/>
      <c r="RJO56" s="913"/>
      <c r="RJP56" s="913"/>
      <c r="RJQ56" s="913"/>
      <c r="RJR56" s="913"/>
      <c r="RJS56" s="913"/>
      <c r="RJT56" s="913"/>
      <c r="RJU56" s="913"/>
      <c r="RJV56" s="913"/>
      <c r="RJW56" s="913"/>
      <c r="RJX56" s="913"/>
      <c r="RJY56" s="913"/>
      <c r="RJZ56" s="913"/>
      <c r="RKA56" s="913"/>
      <c r="RKB56" s="913"/>
      <c r="RKC56" s="913"/>
      <c r="RKD56" s="913"/>
      <c r="RKE56" s="913"/>
      <c r="RKF56" s="913"/>
      <c r="RKG56" s="913"/>
      <c r="RKH56" s="913"/>
      <c r="RKI56" s="913"/>
      <c r="RKJ56" s="913"/>
      <c r="RKK56" s="913"/>
      <c r="RKL56" s="913"/>
      <c r="RKM56" s="913"/>
      <c r="RKN56" s="913"/>
      <c r="RKO56" s="913"/>
      <c r="RKP56" s="913"/>
      <c r="RKQ56" s="913"/>
      <c r="RKR56" s="913"/>
      <c r="RKS56" s="913"/>
      <c r="RKT56" s="913"/>
      <c r="RKU56" s="913"/>
      <c r="RKV56" s="913"/>
      <c r="RKW56" s="913"/>
      <c r="RKX56" s="913"/>
      <c r="RKY56" s="913"/>
      <c r="RKZ56" s="913"/>
      <c r="RLA56" s="913"/>
      <c r="RLB56" s="913"/>
      <c r="RLC56" s="913"/>
      <c r="RLD56" s="913"/>
      <c r="RLE56" s="913"/>
      <c r="RLF56" s="913"/>
      <c r="RLG56" s="913"/>
      <c r="RLH56" s="913"/>
      <c r="RLI56" s="913"/>
      <c r="RLJ56" s="913"/>
      <c r="RLK56" s="913"/>
      <c r="RLL56" s="913"/>
      <c r="RLM56" s="913"/>
      <c r="RLN56" s="913"/>
      <c r="RLO56" s="913"/>
      <c r="RLP56" s="913"/>
      <c r="RLQ56" s="913"/>
      <c r="RLR56" s="913"/>
      <c r="RLS56" s="913"/>
      <c r="RLT56" s="913"/>
      <c r="RLU56" s="913"/>
      <c r="RLV56" s="913"/>
      <c r="RLW56" s="913"/>
      <c r="RLX56" s="913"/>
      <c r="RLY56" s="913"/>
      <c r="RLZ56" s="913"/>
      <c r="RMA56" s="913"/>
      <c r="RMB56" s="913"/>
      <c r="RMC56" s="913"/>
      <c r="RMD56" s="913"/>
      <c r="RME56" s="913"/>
      <c r="RMF56" s="913"/>
      <c r="RMG56" s="913"/>
      <c r="RMH56" s="913"/>
      <c r="RMI56" s="913"/>
      <c r="RMJ56" s="913"/>
      <c r="RMK56" s="913"/>
      <c r="RML56" s="913"/>
      <c r="RMM56" s="913"/>
      <c r="RMN56" s="913"/>
      <c r="RMO56" s="913"/>
      <c r="RMP56" s="913"/>
      <c r="RMQ56" s="913"/>
      <c r="RMR56" s="913"/>
      <c r="RMS56" s="913"/>
      <c r="RMT56" s="913"/>
      <c r="RMU56" s="913"/>
      <c r="RMV56" s="913"/>
      <c r="RMW56" s="913"/>
      <c r="RMX56" s="913"/>
      <c r="RMY56" s="913"/>
      <c r="RMZ56" s="913"/>
      <c r="RNA56" s="913"/>
      <c r="RNB56" s="913"/>
      <c r="RNC56" s="913"/>
      <c r="RND56" s="913"/>
      <c r="RNE56" s="913"/>
      <c r="RNF56" s="913"/>
      <c r="RNG56" s="913"/>
      <c r="RNH56" s="913"/>
      <c r="RNI56" s="913"/>
      <c r="RNJ56" s="913"/>
      <c r="RNK56" s="913"/>
      <c r="RNL56" s="913"/>
      <c r="RNM56" s="913"/>
      <c r="RNN56" s="913"/>
      <c r="RNO56" s="913"/>
      <c r="RNP56" s="913"/>
      <c r="RNQ56" s="913"/>
      <c r="RNR56" s="913"/>
      <c r="RNS56" s="913"/>
      <c r="RNT56" s="913"/>
      <c r="RNU56" s="913"/>
      <c r="RNV56" s="913"/>
      <c r="RNW56" s="913"/>
      <c r="RNX56" s="913"/>
      <c r="RNY56" s="913"/>
      <c r="RNZ56" s="913"/>
      <c r="ROA56" s="913"/>
      <c r="ROB56" s="913"/>
      <c r="ROC56" s="913"/>
      <c r="ROD56" s="913"/>
      <c r="ROE56" s="913"/>
      <c r="ROF56" s="913"/>
      <c r="ROG56" s="913"/>
      <c r="ROH56" s="913"/>
      <c r="ROI56" s="913"/>
      <c r="ROJ56" s="913"/>
      <c r="ROK56" s="913"/>
      <c r="ROL56" s="913"/>
      <c r="ROM56" s="913"/>
      <c r="RON56" s="913"/>
      <c r="ROO56" s="913"/>
      <c r="ROP56" s="913"/>
      <c r="ROQ56" s="913"/>
      <c r="ROR56" s="913"/>
      <c r="ROS56" s="913"/>
      <c r="ROT56" s="913"/>
      <c r="ROU56" s="913"/>
      <c r="ROV56" s="913"/>
      <c r="ROW56" s="913"/>
      <c r="ROX56" s="913"/>
      <c r="ROY56" s="913"/>
      <c r="ROZ56" s="913"/>
      <c r="RPA56" s="913"/>
      <c r="RPB56" s="913"/>
      <c r="RPC56" s="913"/>
      <c r="RPD56" s="913"/>
      <c r="RPE56" s="913"/>
      <c r="RPF56" s="913"/>
      <c r="RPG56" s="913"/>
      <c r="RPH56" s="913"/>
      <c r="RPI56" s="913"/>
      <c r="RPJ56" s="913"/>
      <c r="RPK56" s="913"/>
      <c r="RPL56" s="913"/>
      <c r="RPM56" s="913"/>
      <c r="RPN56" s="913"/>
      <c r="RPO56" s="913"/>
      <c r="RPP56" s="913"/>
      <c r="RPQ56" s="913"/>
      <c r="RPR56" s="913"/>
      <c r="RPS56" s="913"/>
      <c r="RPT56" s="913"/>
      <c r="RPU56" s="913"/>
      <c r="RPV56" s="913"/>
      <c r="RPW56" s="913"/>
      <c r="RPX56" s="913"/>
      <c r="RPY56" s="913"/>
      <c r="RPZ56" s="913"/>
      <c r="RQA56" s="913"/>
      <c r="RQB56" s="913"/>
      <c r="RQC56" s="913"/>
      <c r="RQD56" s="913"/>
      <c r="RQE56" s="913"/>
      <c r="RQF56" s="913"/>
      <c r="RQG56" s="913"/>
      <c r="RQH56" s="913"/>
      <c r="RQI56" s="913"/>
      <c r="RQJ56" s="913"/>
      <c r="RQK56" s="913"/>
      <c r="RQL56" s="913"/>
      <c r="RQM56" s="913"/>
      <c r="RQN56" s="913"/>
      <c r="RQO56" s="913"/>
      <c r="RQP56" s="913"/>
      <c r="RQQ56" s="913"/>
      <c r="RQR56" s="913"/>
      <c r="RQS56" s="913"/>
      <c r="RQT56" s="913"/>
      <c r="RQU56" s="913"/>
      <c r="RQV56" s="913"/>
      <c r="RQW56" s="913"/>
      <c r="RQX56" s="913"/>
      <c r="RQY56" s="913"/>
      <c r="RQZ56" s="913"/>
      <c r="RRA56" s="913"/>
      <c r="RRB56" s="913"/>
      <c r="RRC56" s="913"/>
      <c r="RRD56" s="913"/>
      <c r="RRE56" s="913"/>
      <c r="RRF56" s="913"/>
      <c r="RRG56" s="913"/>
      <c r="RRH56" s="913"/>
      <c r="RRI56" s="913"/>
      <c r="RRJ56" s="913"/>
      <c r="RRK56" s="913"/>
      <c r="RRL56" s="913"/>
      <c r="RRM56" s="913"/>
      <c r="RRN56" s="913"/>
      <c r="RRO56" s="913"/>
      <c r="RRP56" s="913"/>
      <c r="RRQ56" s="913"/>
      <c r="RRR56" s="913"/>
      <c r="RRS56" s="913"/>
      <c r="RRT56" s="913"/>
      <c r="RRU56" s="913"/>
      <c r="RRV56" s="913"/>
      <c r="RRW56" s="913"/>
      <c r="RRX56" s="913"/>
      <c r="RRY56" s="913"/>
      <c r="RRZ56" s="913"/>
      <c r="RSA56" s="913"/>
      <c r="RSB56" s="913"/>
      <c r="RSC56" s="913"/>
      <c r="RSD56" s="913"/>
      <c r="RSE56" s="913"/>
      <c r="RSF56" s="913"/>
      <c r="RSG56" s="913"/>
      <c r="RSH56" s="913"/>
      <c r="RSI56" s="913"/>
      <c r="RSJ56" s="913"/>
      <c r="RSK56" s="913"/>
      <c r="RSL56" s="913"/>
      <c r="RSM56" s="913"/>
      <c r="RSN56" s="913"/>
      <c r="RSO56" s="913"/>
      <c r="RSP56" s="913"/>
      <c r="RSQ56" s="913"/>
      <c r="RSR56" s="913"/>
      <c r="RSS56" s="913"/>
      <c r="RST56" s="913"/>
      <c r="RSU56" s="913"/>
      <c r="RSV56" s="913"/>
      <c r="RSW56" s="913"/>
      <c r="RSX56" s="913"/>
      <c r="RSY56" s="913"/>
      <c r="RSZ56" s="913"/>
      <c r="RTA56" s="913"/>
      <c r="RTB56" s="913"/>
      <c r="RTC56" s="913"/>
      <c r="RTD56" s="913"/>
      <c r="RTE56" s="913"/>
      <c r="RTF56" s="913"/>
      <c r="RTG56" s="913"/>
      <c r="RTH56" s="913"/>
      <c r="RTI56" s="913"/>
      <c r="RTJ56" s="913"/>
      <c r="RTK56" s="913"/>
      <c r="RTL56" s="913"/>
      <c r="RTM56" s="913"/>
      <c r="RTN56" s="913"/>
      <c r="RTO56" s="913"/>
      <c r="RTP56" s="913"/>
      <c r="RTQ56" s="913"/>
      <c r="RTR56" s="913"/>
      <c r="RTS56" s="913"/>
      <c r="RTT56" s="913"/>
      <c r="RTU56" s="913"/>
      <c r="RTV56" s="913"/>
      <c r="RTW56" s="913"/>
      <c r="RTX56" s="913"/>
      <c r="RTY56" s="913"/>
      <c r="RTZ56" s="913"/>
      <c r="RUA56" s="913"/>
      <c r="RUB56" s="913"/>
      <c r="RUC56" s="913"/>
      <c r="RUD56" s="913"/>
      <c r="RUE56" s="913"/>
      <c r="RUF56" s="913"/>
      <c r="RUG56" s="913"/>
      <c r="RUH56" s="913"/>
      <c r="RUI56" s="913"/>
      <c r="RUJ56" s="913"/>
      <c r="RUK56" s="913"/>
      <c r="RUL56" s="913"/>
      <c r="RUM56" s="913"/>
      <c r="RUN56" s="913"/>
      <c r="RUO56" s="913"/>
      <c r="RUP56" s="913"/>
      <c r="RUQ56" s="913"/>
      <c r="RUR56" s="913"/>
      <c r="RUS56" s="913"/>
      <c r="RUT56" s="913"/>
      <c r="RUU56" s="913"/>
      <c r="RUV56" s="913"/>
      <c r="RUW56" s="913"/>
      <c r="RUX56" s="913"/>
      <c r="RUY56" s="913"/>
      <c r="RUZ56" s="913"/>
      <c r="RVA56" s="913"/>
      <c r="RVB56" s="913"/>
      <c r="RVC56" s="913"/>
      <c r="RVD56" s="913"/>
      <c r="RVE56" s="913"/>
      <c r="RVF56" s="913"/>
      <c r="RVG56" s="913"/>
      <c r="RVH56" s="913"/>
      <c r="RVI56" s="913"/>
      <c r="RVJ56" s="913"/>
      <c r="RVK56" s="913"/>
      <c r="RVL56" s="913"/>
      <c r="RVM56" s="913"/>
      <c r="RVN56" s="913"/>
      <c r="RVO56" s="913"/>
      <c r="RVP56" s="913"/>
      <c r="RVQ56" s="913"/>
      <c r="RVR56" s="913"/>
      <c r="RVS56" s="913"/>
      <c r="RVT56" s="913"/>
      <c r="RVU56" s="913"/>
      <c r="RVV56" s="913"/>
      <c r="RVW56" s="913"/>
      <c r="RVX56" s="913"/>
      <c r="RVY56" s="913"/>
      <c r="RVZ56" s="913"/>
      <c r="RWA56" s="913"/>
      <c r="RWB56" s="913"/>
      <c r="RWC56" s="913"/>
      <c r="RWD56" s="913"/>
      <c r="RWE56" s="913"/>
      <c r="RWF56" s="913"/>
      <c r="RWG56" s="913"/>
      <c r="RWH56" s="913"/>
      <c r="RWI56" s="913"/>
      <c r="RWJ56" s="913"/>
      <c r="RWK56" s="913"/>
      <c r="RWL56" s="913"/>
      <c r="RWM56" s="913"/>
      <c r="RWN56" s="913"/>
      <c r="RWO56" s="913"/>
      <c r="RWP56" s="913"/>
      <c r="RWQ56" s="913"/>
      <c r="RWR56" s="913"/>
      <c r="RWS56" s="913"/>
      <c r="RWT56" s="913"/>
      <c r="RWU56" s="913"/>
      <c r="RWV56" s="913"/>
      <c r="RWW56" s="913"/>
      <c r="RWX56" s="913"/>
      <c r="RWY56" s="913"/>
      <c r="RWZ56" s="913"/>
      <c r="RXA56" s="913"/>
      <c r="RXB56" s="913"/>
      <c r="RXC56" s="913"/>
      <c r="RXD56" s="913"/>
      <c r="RXE56" s="913"/>
      <c r="RXF56" s="913"/>
      <c r="RXG56" s="913"/>
      <c r="RXH56" s="913"/>
      <c r="RXI56" s="913"/>
      <c r="RXJ56" s="913"/>
      <c r="RXK56" s="913"/>
      <c r="RXL56" s="913"/>
      <c r="RXM56" s="913"/>
      <c r="RXN56" s="913"/>
      <c r="RXO56" s="913"/>
      <c r="RXP56" s="913"/>
      <c r="RXQ56" s="913"/>
      <c r="RXR56" s="913"/>
      <c r="RXS56" s="913"/>
      <c r="RXT56" s="913"/>
      <c r="RXU56" s="913"/>
      <c r="RXV56" s="913"/>
      <c r="RXW56" s="913"/>
      <c r="RXX56" s="913"/>
      <c r="RXY56" s="913"/>
      <c r="RXZ56" s="913"/>
      <c r="RYA56" s="913"/>
      <c r="RYB56" s="913"/>
      <c r="RYC56" s="913"/>
      <c r="RYD56" s="913"/>
      <c r="RYE56" s="913"/>
      <c r="RYF56" s="913"/>
      <c r="RYG56" s="913"/>
      <c r="RYH56" s="913"/>
      <c r="RYI56" s="913"/>
      <c r="RYJ56" s="913"/>
      <c r="RYK56" s="913"/>
      <c r="RYL56" s="913"/>
      <c r="RYM56" s="913"/>
      <c r="RYN56" s="913"/>
      <c r="RYO56" s="913"/>
      <c r="RYP56" s="913"/>
      <c r="RYQ56" s="913"/>
      <c r="RYR56" s="913"/>
      <c r="RYS56" s="913"/>
      <c r="RYT56" s="913"/>
      <c r="RYU56" s="913"/>
      <c r="RYV56" s="913"/>
      <c r="RYW56" s="913"/>
      <c r="RYX56" s="913"/>
      <c r="RYY56" s="913"/>
      <c r="RYZ56" s="913"/>
      <c r="RZA56" s="913"/>
      <c r="RZB56" s="913"/>
      <c r="RZC56" s="913"/>
      <c r="RZD56" s="913"/>
      <c r="RZE56" s="913"/>
      <c r="RZF56" s="913"/>
      <c r="RZG56" s="913"/>
      <c r="RZH56" s="913"/>
      <c r="RZI56" s="913"/>
      <c r="RZJ56" s="913"/>
      <c r="RZK56" s="913"/>
      <c r="RZL56" s="913"/>
      <c r="RZM56" s="913"/>
      <c r="RZN56" s="913"/>
      <c r="RZO56" s="913"/>
      <c r="RZP56" s="913"/>
      <c r="RZQ56" s="913"/>
      <c r="RZR56" s="913"/>
      <c r="RZS56" s="913"/>
      <c r="RZT56" s="913"/>
      <c r="RZU56" s="913"/>
      <c r="RZV56" s="913"/>
      <c r="RZW56" s="913"/>
      <c r="RZX56" s="913"/>
      <c r="RZY56" s="913"/>
      <c r="RZZ56" s="913"/>
      <c r="SAA56" s="913"/>
      <c r="SAB56" s="913"/>
      <c r="SAC56" s="913"/>
      <c r="SAD56" s="913"/>
      <c r="SAE56" s="913"/>
      <c r="SAF56" s="913"/>
      <c r="SAG56" s="913"/>
      <c r="SAH56" s="913"/>
      <c r="SAI56" s="913"/>
      <c r="SAJ56" s="913"/>
      <c r="SAK56" s="913"/>
      <c r="SAL56" s="913"/>
      <c r="SAM56" s="913"/>
      <c r="SAN56" s="913"/>
      <c r="SAO56" s="913"/>
      <c r="SAP56" s="913"/>
      <c r="SAQ56" s="913"/>
      <c r="SAR56" s="913"/>
      <c r="SAS56" s="913"/>
      <c r="SAT56" s="913"/>
      <c r="SAU56" s="913"/>
      <c r="SAV56" s="913"/>
      <c r="SAW56" s="913"/>
      <c r="SAX56" s="913"/>
      <c r="SAY56" s="913"/>
      <c r="SAZ56" s="913"/>
      <c r="SBA56" s="913"/>
      <c r="SBB56" s="913"/>
      <c r="SBC56" s="913"/>
      <c r="SBD56" s="913"/>
      <c r="SBE56" s="913"/>
      <c r="SBF56" s="913"/>
      <c r="SBG56" s="913"/>
      <c r="SBH56" s="913"/>
      <c r="SBI56" s="913"/>
      <c r="SBJ56" s="913"/>
      <c r="SBK56" s="913"/>
      <c r="SBL56" s="913"/>
      <c r="SBM56" s="913"/>
      <c r="SBN56" s="913"/>
      <c r="SBO56" s="913"/>
      <c r="SBP56" s="913"/>
      <c r="SBQ56" s="913"/>
      <c r="SBR56" s="913"/>
      <c r="SBS56" s="913"/>
      <c r="SBT56" s="913"/>
      <c r="SBU56" s="913"/>
      <c r="SBV56" s="913"/>
      <c r="SBW56" s="913"/>
      <c r="SBX56" s="913"/>
      <c r="SBY56" s="913"/>
      <c r="SBZ56" s="913"/>
      <c r="SCA56" s="913"/>
      <c r="SCB56" s="913"/>
      <c r="SCC56" s="913"/>
      <c r="SCD56" s="913"/>
      <c r="SCE56" s="913"/>
      <c r="SCF56" s="913"/>
      <c r="SCG56" s="913"/>
      <c r="SCH56" s="913"/>
      <c r="SCI56" s="913"/>
      <c r="SCJ56" s="913"/>
      <c r="SCK56" s="913"/>
      <c r="SCL56" s="913"/>
      <c r="SCM56" s="913"/>
      <c r="SCN56" s="913"/>
      <c r="SCO56" s="913"/>
      <c r="SCP56" s="913"/>
      <c r="SCQ56" s="913"/>
      <c r="SCR56" s="913"/>
      <c r="SCS56" s="913"/>
      <c r="SCT56" s="913"/>
      <c r="SCU56" s="913"/>
      <c r="SCV56" s="913"/>
      <c r="SCW56" s="913"/>
      <c r="SCX56" s="913"/>
      <c r="SCY56" s="913"/>
      <c r="SCZ56" s="913"/>
      <c r="SDA56" s="913"/>
      <c r="SDB56" s="913"/>
      <c r="SDC56" s="913"/>
      <c r="SDD56" s="913"/>
      <c r="SDE56" s="913"/>
      <c r="SDF56" s="913"/>
      <c r="SDG56" s="913"/>
      <c r="SDH56" s="913"/>
      <c r="SDI56" s="913"/>
      <c r="SDJ56" s="913"/>
      <c r="SDK56" s="913"/>
      <c r="SDL56" s="913"/>
      <c r="SDM56" s="913"/>
      <c r="SDN56" s="913"/>
      <c r="SDO56" s="913"/>
      <c r="SDP56" s="913"/>
      <c r="SDQ56" s="913"/>
      <c r="SDR56" s="913"/>
      <c r="SDS56" s="913"/>
      <c r="SDT56" s="913"/>
      <c r="SDU56" s="913"/>
      <c r="SDV56" s="913"/>
      <c r="SDW56" s="913"/>
      <c r="SDX56" s="913"/>
      <c r="SDY56" s="913"/>
      <c r="SDZ56" s="913"/>
      <c r="SEA56" s="913"/>
      <c r="SEB56" s="913"/>
      <c r="SEC56" s="913"/>
      <c r="SED56" s="913"/>
      <c r="SEE56" s="913"/>
      <c r="SEF56" s="913"/>
      <c r="SEG56" s="913"/>
      <c r="SEH56" s="913"/>
      <c r="SEI56" s="913"/>
      <c r="SEJ56" s="913"/>
      <c r="SEK56" s="913"/>
      <c r="SEL56" s="913"/>
      <c r="SEM56" s="913"/>
      <c r="SEN56" s="913"/>
      <c r="SEO56" s="913"/>
      <c r="SEP56" s="913"/>
      <c r="SEQ56" s="913"/>
      <c r="SER56" s="913"/>
      <c r="SES56" s="913"/>
      <c r="SET56" s="913"/>
      <c r="SEU56" s="913"/>
      <c r="SEV56" s="913"/>
      <c r="SEW56" s="913"/>
      <c r="SEX56" s="913"/>
      <c r="SEY56" s="913"/>
      <c r="SEZ56" s="913"/>
      <c r="SFA56" s="913"/>
      <c r="SFB56" s="913"/>
      <c r="SFC56" s="913"/>
      <c r="SFD56" s="913"/>
      <c r="SFE56" s="913"/>
      <c r="SFF56" s="913"/>
      <c r="SFG56" s="913"/>
      <c r="SFH56" s="913"/>
      <c r="SFI56" s="913"/>
      <c r="SFJ56" s="913"/>
      <c r="SFK56" s="913"/>
      <c r="SFL56" s="913"/>
      <c r="SFM56" s="913"/>
      <c r="SFN56" s="913"/>
      <c r="SFO56" s="913"/>
      <c r="SFP56" s="913"/>
      <c r="SFQ56" s="913"/>
      <c r="SFR56" s="913"/>
      <c r="SFS56" s="913"/>
      <c r="SFT56" s="913"/>
      <c r="SFU56" s="913"/>
      <c r="SFV56" s="913"/>
      <c r="SFW56" s="913"/>
      <c r="SFX56" s="913"/>
      <c r="SFY56" s="913"/>
      <c r="SFZ56" s="913"/>
      <c r="SGA56" s="913"/>
      <c r="SGB56" s="913"/>
      <c r="SGC56" s="913"/>
      <c r="SGD56" s="913"/>
      <c r="SGE56" s="913"/>
      <c r="SGF56" s="913"/>
      <c r="SGG56" s="913"/>
      <c r="SGH56" s="913"/>
      <c r="SGI56" s="913"/>
      <c r="SGJ56" s="913"/>
      <c r="SGK56" s="913"/>
      <c r="SGL56" s="913"/>
      <c r="SGM56" s="913"/>
      <c r="SGN56" s="913"/>
      <c r="SGO56" s="913"/>
      <c r="SGP56" s="913"/>
      <c r="SGQ56" s="913"/>
      <c r="SGR56" s="913"/>
      <c r="SGS56" s="913"/>
      <c r="SGT56" s="913"/>
      <c r="SGU56" s="913"/>
      <c r="SGV56" s="913"/>
      <c r="SGW56" s="913"/>
      <c r="SGX56" s="913"/>
      <c r="SGY56" s="913"/>
      <c r="SGZ56" s="913"/>
      <c r="SHA56" s="913"/>
      <c r="SHB56" s="913"/>
      <c r="SHC56" s="913"/>
      <c r="SHD56" s="913"/>
      <c r="SHE56" s="913"/>
      <c r="SHF56" s="913"/>
      <c r="SHG56" s="913"/>
      <c r="SHH56" s="913"/>
      <c r="SHI56" s="913"/>
      <c r="SHJ56" s="913"/>
      <c r="SHK56" s="913"/>
      <c r="SHL56" s="913"/>
      <c r="SHM56" s="913"/>
      <c r="SHN56" s="913"/>
      <c r="SHO56" s="913"/>
      <c r="SHP56" s="913"/>
      <c r="SHQ56" s="913"/>
      <c r="SHR56" s="913"/>
      <c r="SHS56" s="913"/>
      <c r="SHT56" s="913"/>
      <c r="SHU56" s="913"/>
      <c r="SHV56" s="913"/>
      <c r="SHW56" s="913"/>
      <c r="SHX56" s="913"/>
      <c r="SHY56" s="913"/>
      <c r="SHZ56" s="913"/>
      <c r="SIA56" s="913"/>
      <c r="SIB56" s="913"/>
      <c r="SIC56" s="913"/>
      <c r="SID56" s="913"/>
      <c r="SIE56" s="913"/>
      <c r="SIF56" s="913"/>
      <c r="SIG56" s="913"/>
      <c r="SIH56" s="913"/>
      <c r="SII56" s="913"/>
      <c r="SIJ56" s="913"/>
      <c r="SIK56" s="913"/>
      <c r="SIL56" s="913"/>
      <c r="SIM56" s="913"/>
      <c r="SIN56" s="913"/>
      <c r="SIO56" s="913"/>
      <c r="SIP56" s="913"/>
      <c r="SIQ56" s="913"/>
      <c r="SIR56" s="913"/>
      <c r="SIS56" s="913"/>
      <c r="SIT56" s="913"/>
      <c r="SIU56" s="913"/>
      <c r="SIV56" s="913"/>
      <c r="SIW56" s="913"/>
      <c r="SIX56" s="913"/>
      <c r="SIY56" s="913"/>
      <c r="SIZ56" s="913"/>
      <c r="SJA56" s="913"/>
      <c r="SJB56" s="913"/>
      <c r="SJC56" s="913"/>
      <c r="SJD56" s="913"/>
      <c r="SJE56" s="913"/>
      <c r="SJF56" s="913"/>
      <c r="SJG56" s="913"/>
      <c r="SJH56" s="913"/>
      <c r="SJI56" s="913"/>
      <c r="SJJ56" s="913"/>
      <c r="SJK56" s="913"/>
      <c r="SJL56" s="913"/>
      <c r="SJM56" s="913"/>
      <c r="SJN56" s="913"/>
      <c r="SJO56" s="913"/>
      <c r="SJP56" s="913"/>
      <c r="SJQ56" s="913"/>
      <c r="SJR56" s="913"/>
      <c r="SJS56" s="913"/>
      <c r="SJT56" s="913"/>
      <c r="SJU56" s="913"/>
      <c r="SJV56" s="913"/>
      <c r="SJW56" s="913"/>
      <c r="SJX56" s="913"/>
      <c r="SJY56" s="913"/>
      <c r="SJZ56" s="913"/>
      <c r="SKA56" s="913"/>
      <c r="SKB56" s="913"/>
      <c r="SKC56" s="913"/>
      <c r="SKD56" s="913"/>
      <c r="SKE56" s="913"/>
      <c r="SKF56" s="913"/>
      <c r="SKG56" s="913"/>
      <c r="SKH56" s="913"/>
      <c r="SKI56" s="913"/>
      <c r="SKJ56" s="913"/>
      <c r="SKK56" s="913"/>
      <c r="SKL56" s="913"/>
      <c r="SKM56" s="913"/>
      <c r="SKN56" s="913"/>
      <c r="SKO56" s="913"/>
      <c r="SKP56" s="913"/>
      <c r="SKQ56" s="913"/>
      <c r="SKR56" s="913"/>
      <c r="SKS56" s="913"/>
      <c r="SKT56" s="913"/>
      <c r="SKU56" s="913"/>
      <c r="SKV56" s="913"/>
      <c r="SKW56" s="913"/>
      <c r="SKX56" s="913"/>
      <c r="SKY56" s="913"/>
      <c r="SKZ56" s="913"/>
      <c r="SLA56" s="913"/>
      <c r="SLB56" s="913"/>
      <c r="SLC56" s="913"/>
      <c r="SLD56" s="913"/>
      <c r="SLE56" s="913"/>
      <c r="SLF56" s="913"/>
      <c r="SLG56" s="913"/>
      <c r="SLH56" s="913"/>
      <c r="SLI56" s="913"/>
      <c r="SLJ56" s="913"/>
      <c r="SLK56" s="913"/>
      <c r="SLL56" s="913"/>
      <c r="SLM56" s="913"/>
      <c r="SLN56" s="913"/>
      <c r="SLO56" s="913"/>
      <c r="SLP56" s="913"/>
      <c r="SLQ56" s="913"/>
      <c r="SLR56" s="913"/>
      <c r="SLS56" s="913"/>
      <c r="SLT56" s="913"/>
      <c r="SLU56" s="913"/>
      <c r="SLV56" s="913"/>
      <c r="SLW56" s="913"/>
      <c r="SLX56" s="913"/>
      <c r="SLY56" s="913"/>
      <c r="SLZ56" s="913"/>
      <c r="SMA56" s="913"/>
      <c r="SMB56" s="913"/>
      <c r="SMC56" s="913"/>
      <c r="SMD56" s="913"/>
      <c r="SME56" s="913"/>
      <c r="SMF56" s="913"/>
      <c r="SMG56" s="913"/>
      <c r="SMH56" s="913"/>
      <c r="SMI56" s="913"/>
      <c r="SMJ56" s="913"/>
      <c r="SMK56" s="913"/>
      <c r="SML56" s="913"/>
      <c r="SMM56" s="913"/>
      <c r="SMN56" s="913"/>
      <c r="SMO56" s="913"/>
      <c r="SMP56" s="913"/>
      <c r="SMQ56" s="913"/>
      <c r="SMR56" s="913"/>
      <c r="SMS56" s="913"/>
      <c r="SMT56" s="913"/>
      <c r="SMU56" s="913"/>
      <c r="SMV56" s="913"/>
      <c r="SMW56" s="913"/>
      <c r="SMX56" s="913"/>
      <c r="SMY56" s="913"/>
      <c r="SMZ56" s="913"/>
      <c r="SNA56" s="913"/>
      <c r="SNB56" s="913"/>
      <c r="SNC56" s="913"/>
      <c r="SND56" s="913"/>
      <c r="SNE56" s="913"/>
      <c r="SNF56" s="913"/>
      <c r="SNG56" s="913"/>
      <c r="SNH56" s="913"/>
      <c r="SNI56" s="913"/>
      <c r="SNJ56" s="913"/>
      <c r="SNK56" s="913"/>
      <c r="SNL56" s="913"/>
      <c r="SNM56" s="913"/>
      <c r="SNN56" s="913"/>
      <c r="SNO56" s="913"/>
      <c r="SNP56" s="913"/>
      <c r="SNQ56" s="913"/>
      <c r="SNR56" s="913"/>
      <c r="SNS56" s="913"/>
      <c r="SNT56" s="913"/>
      <c r="SNU56" s="913"/>
      <c r="SNV56" s="913"/>
      <c r="SNW56" s="913"/>
      <c r="SNX56" s="913"/>
      <c r="SNY56" s="913"/>
      <c r="SNZ56" s="913"/>
      <c r="SOA56" s="913"/>
      <c r="SOB56" s="913"/>
      <c r="SOC56" s="913"/>
      <c r="SOD56" s="913"/>
      <c r="SOE56" s="913"/>
      <c r="SOF56" s="913"/>
      <c r="SOG56" s="913"/>
      <c r="SOH56" s="913"/>
      <c r="SOI56" s="913"/>
      <c r="SOJ56" s="913"/>
      <c r="SOK56" s="913"/>
      <c r="SOL56" s="913"/>
      <c r="SOM56" s="913"/>
      <c r="SON56" s="913"/>
      <c r="SOO56" s="913"/>
      <c r="SOP56" s="913"/>
      <c r="SOQ56" s="913"/>
      <c r="SOR56" s="913"/>
      <c r="SOS56" s="913"/>
      <c r="SOT56" s="913"/>
      <c r="SOU56" s="913"/>
      <c r="SOV56" s="913"/>
      <c r="SOW56" s="913"/>
      <c r="SOX56" s="913"/>
      <c r="SOY56" s="913"/>
      <c r="SOZ56" s="913"/>
      <c r="SPA56" s="913"/>
      <c r="SPB56" s="913"/>
      <c r="SPC56" s="913"/>
      <c r="SPD56" s="913"/>
      <c r="SPE56" s="913"/>
      <c r="SPF56" s="913"/>
      <c r="SPG56" s="913"/>
      <c r="SPH56" s="913"/>
      <c r="SPI56" s="913"/>
      <c r="SPJ56" s="913"/>
      <c r="SPK56" s="913"/>
      <c r="SPL56" s="913"/>
      <c r="SPM56" s="913"/>
      <c r="SPN56" s="913"/>
      <c r="SPO56" s="913"/>
      <c r="SPP56" s="913"/>
      <c r="SPQ56" s="913"/>
      <c r="SPR56" s="913"/>
      <c r="SPS56" s="913"/>
      <c r="SPT56" s="913"/>
      <c r="SPU56" s="913"/>
      <c r="SPV56" s="913"/>
      <c r="SPW56" s="913"/>
      <c r="SPX56" s="913"/>
      <c r="SPY56" s="913"/>
      <c r="SPZ56" s="913"/>
      <c r="SQA56" s="913"/>
      <c r="SQB56" s="913"/>
      <c r="SQC56" s="913"/>
      <c r="SQD56" s="913"/>
      <c r="SQE56" s="913"/>
      <c r="SQF56" s="913"/>
      <c r="SQG56" s="913"/>
      <c r="SQH56" s="913"/>
      <c r="SQI56" s="913"/>
      <c r="SQJ56" s="913"/>
      <c r="SQK56" s="913"/>
      <c r="SQL56" s="913"/>
      <c r="SQM56" s="913"/>
      <c r="SQN56" s="913"/>
      <c r="SQO56" s="913"/>
      <c r="SQP56" s="913"/>
      <c r="SQQ56" s="913"/>
      <c r="SQR56" s="913"/>
      <c r="SQS56" s="913"/>
      <c r="SQT56" s="913"/>
      <c r="SQU56" s="913"/>
      <c r="SQV56" s="913"/>
      <c r="SQW56" s="913"/>
      <c r="SQX56" s="913"/>
      <c r="SQY56" s="913"/>
      <c r="SQZ56" s="913"/>
      <c r="SRA56" s="913"/>
      <c r="SRB56" s="913"/>
      <c r="SRC56" s="913"/>
      <c r="SRD56" s="913"/>
      <c r="SRE56" s="913"/>
      <c r="SRF56" s="913"/>
      <c r="SRG56" s="913"/>
      <c r="SRH56" s="913"/>
      <c r="SRI56" s="913"/>
      <c r="SRJ56" s="913"/>
      <c r="SRK56" s="913"/>
      <c r="SRL56" s="913"/>
      <c r="SRM56" s="913"/>
      <c r="SRN56" s="913"/>
      <c r="SRO56" s="913"/>
      <c r="SRP56" s="913"/>
      <c r="SRQ56" s="913"/>
      <c r="SRR56" s="913"/>
      <c r="SRS56" s="913"/>
      <c r="SRT56" s="913"/>
      <c r="SRU56" s="913"/>
      <c r="SRV56" s="913"/>
      <c r="SRW56" s="913"/>
      <c r="SRX56" s="913"/>
      <c r="SRY56" s="913"/>
      <c r="SRZ56" s="913"/>
      <c r="SSA56" s="913"/>
      <c r="SSB56" s="913"/>
      <c r="SSC56" s="913"/>
      <c r="SSD56" s="913"/>
      <c r="SSE56" s="913"/>
      <c r="SSF56" s="913"/>
      <c r="SSG56" s="913"/>
      <c r="SSH56" s="913"/>
      <c r="SSI56" s="913"/>
      <c r="SSJ56" s="913"/>
      <c r="SSK56" s="913"/>
      <c r="SSL56" s="913"/>
      <c r="SSM56" s="913"/>
      <c r="SSN56" s="913"/>
      <c r="SSO56" s="913"/>
      <c r="SSP56" s="913"/>
      <c r="SSQ56" s="913"/>
      <c r="SSR56" s="913"/>
      <c r="SSS56" s="913"/>
      <c r="SST56" s="913"/>
      <c r="SSU56" s="913"/>
      <c r="SSV56" s="913"/>
      <c r="SSW56" s="913"/>
      <c r="SSX56" s="913"/>
      <c r="SSY56" s="913"/>
      <c r="SSZ56" s="913"/>
      <c r="STA56" s="913"/>
      <c r="STB56" s="913"/>
      <c r="STC56" s="913"/>
      <c r="STD56" s="913"/>
      <c r="STE56" s="913"/>
      <c r="STF56" s="913"/>
      <c r="STG56" s="913"/>
      <c r="STH56" s="913"/>
      <c r="STI56" s="913"/>
      <c r="STJ56" s="913"/>
      <c r="STK56" s="913"/>
      <c r="STL56" s="913"/>
      <c r="STM56" s="913"/>
      <c r="STN56" s="913"/>
      <c r="STO56" s="913"/>
      <c r="STP56" s="913"/>
      <c r="STQ56" s="913"/>
      <c r="STR56" s="913"/>
      <c r="STS56" s="913"/>
      <c r="STT56" s="913"/>
      <c r="STU56" s="913"/>
      <c r="STV56" s="913"/>
      <c r="STW56" s="913"/>
      <c r="STX56" s="913"/>
      <c r="STY56" s="913"/>
      <c r="STZ56" s="913"/>
      <c r="SUA56" s="913"/>
      <c r="SUB56" s="913"/>
      <c r="SUC56" s="913"/>
      <c r="SUD56" s="913"/>
      <c r="SUE56" s="913"/>
      <c r="SUF56" s="913"/>
      <c r="SUG56" s="913"/>
      <c r="SUH56" s="913"/>
      <c r="SUI56" s="913"/>
      <c r="SUJ56" s="913"/>
      <c r="SUK56" s="913"/>
      <c r="SUL56" s="913"/>
      <c r="SUM56" s="913"/>
      <c r="SUN56" s="913"/>
      <c r="SUO56" s="913"/>
      <c r="SUP56" s="913"/>
      <c r="SUQ56" s="913"/>
      <c r="SUR56" s="913"/>
      <c r="SUS56" s="913"/>
      <c r="SUT56" s="913"/>
      <c r="SUU56" s="913"/>
      <c r="SUV56" s="913"/>
      <c r="SUW56" s="913"/>
      <c r="SUX56" s="913"/>
      <c r="SUY56" s="913"/>
      <c r="SUZ56" s="913"/>
      <c r="SVA56" s="913"/>
      <c r="SVB56" s="913"/>
      <c r="SVC56" s="913"/>
      <c r="SVD56" s="913"/>
      <c r="SVE56" s="913"/>
      <c r="SVF56" s="913"/>
      <c r="SVG56" s="913"/>
      <c r="SVH56" s="913"/>
      <c r="SVI56" s="913"/>
      <c r="SVJ56" s="913"/>
      <c r="SVK56" s="913"/>
      <c r="SVL56" s="913"/>
      <c r="SVM56" s="913"/>
      <c r="SVN56" s="913"/>
      <c r="SVO56" s="913"/>
      <c r="SVP56" s="913"/>
      <c r="SVQ56" s="913"/>
      <c r="SVR56" s="913"/>
      <c r="SVS56" s="913"/>
      <c r="SVT56" s="913"/>
      <c r="SVU56" s="913"/>
      <c r="SVV56" s="913"/>
      <c r="SVW56" s="913"/>
      <c r="SVX56" s="913"/>
      <c r="SVY56" s="913"/>
      <c r="SVZ56" s="913"/>
      <c r="SWA56" s="913"/>
      <c r="SWB56" s="913"/>
      <c r="SWC56" s="913"/>
      <c r="SWD56" s="913"/>
      <c r="SWE56" s="913"/>
      <c r="SWF56" s="913"/>
      <c r="SWG56" s="913"/>
      <c r="SWH56" s="913"/>
      <c r="SWI56" s="913"/>
      <c r="SWJ56" s="913"/>
      <c r="SWK56" s="913"/>
      <c r="SWL56" s="913"/>
      <c r="SWM56" s="913"/>
      <c r="SWN56" s="913"/>
      <c r="SWO56" s="913"/>
      <c r="SWP56" s="913"/>
      <c r="SWQ56" s="913"/>
      <c r="SWR56" s="913"/>
      <c r="SWS56" s="913"/>
      <c r="SWT56" s="913"/>
      <c r="SWU56" s="913"/>
      <c r="SWV56" s="913"/>
      <c r="SWW56" s="913"/>
      <c r="SWX56" s="913"/>
      <c r="SWY56" s="913"/>
      <c r="SWZ56" s="913"/>
      <c r="SXA56" s="913"/>
      <c r="SXB56" s="913"/>
      <c r="SXC56" s="913"/>
      <c r="SXD56" s="913"/>
      <c r="SXE56" s="913"/>
      <c r="SXF56" s="913"/>
      <c r="SXG56" s="913"/>
      <c r="SXH56" s="913"/>
      <c r="SXI56" s="913"/>
      <c r="SXJ56" s="913"/>
      <c r="SXK56" s="913"/>
      <c r="SXL56" s="913"/>
      <c r="SXM56" s="913"/>
      <c r="SXN56" s="913"/>
      <c r="SXO56" s="913"/>
      <c r="SXP56" s="913"/>
      <c r="SXQ56" s="913"/>
      <c r="SXR56" s="913"/>
      <c r="SXS56" s="913"/>
      <c r="SXT56" s="913"/>
      <c r="SXU56" s="913"/>
      <c r="SXV56" s="913"/>
      <c r="SXW56" s="913"/>
      <c r="SXX56" s="913"/>
      <c r="SXY56" s="913"/>
      <c r="SXZ56" s="913"/>
      <c r="SYA56" s="913"/>
      <c r="SYB56" s="913"/>
      <c r="SYC56" s="913"/>
      <c r="SYD56" s="913"/>
      <c r="SYE56" s="913"/>
      <c r="SYF56" s="913"/>
      <c r="SYG56" s="913"/>
      <c r="SYH56" s="913"/>
      <c r="SYI56" s="913"/>
      <c r="SYJ56" s="913"/>
      <c r="SYK56" s="913"/>
      <c r="SYL56" s="913"/>
      <c r="SYM56" s="913"/>
      <c r="SYN56" s="913"/>
      <c r="SYO56" s="913"/>
      <c r="SYP56" s="913"/>
      <c r="SYQ56" s="913"/>
      <c r="SYR56" s="913"/>
      <c r="SYS56" s="913"/>
      <c r="SYT56" s="913"/>
      <c r="SYU56" s="913"/>
      <c r="SYV56" s="913"/>
      <c r="SYW56" s="913"/>
      <c r="SYX56" s="913"/>
      <c r="SYY56" s="913"/>
      <c r="SYZ56" s="913"/>
      <c r="SZA56" s="913"/>
      <c r="SZB56" s="913"/>
      <c r="SZC56" s="913"/>
      <c r="SZD56" s="913"/>
      <c r="SZE56" s="913"/>
      <c r="SZF56" s="913"/>
      <c r="SZG56" s="913"/>
      <c r="SZH56" s="913"/>
      <c r="SZI56" s="913"/>
      <c r="SZJ56" s="913"/>
      <c r="SZK56" s="913"/>
      <c r="SZL56" s="913"/>
      <c r="SZM56" s="913"/>
      <c r="SZN56" s="913"/>
      <c r="SZO56" s="913"/>
      <c r="SZP56" s="913"/>
      <c r="SZQ56" s="913"/>
      <c r="SZR56" s="913"/>
      <c r="SZS56" s="913"/>
      <c r="SZT56" s="913"/>
      <c r="SZU56" s="913"/>
      <c r="SZV56" s="913"/>
      <c r="SZW56" s="913"/>
      <c r="SZX56" s="913"/>
      <c r="SZY56" s="913"/>
      <c r="SZZ56" s="913"/>
      <c r="TAA56" s="913"/>
      <c r="TAB56" s="913"/>
      <c r="TAC56" s="913"/>
      <c r="TAD56" s="913"/>
      <c r="TAE56" s="913"/>
      <c r="TAF56" s="913"/>
      <c r="TAG56" s="913"/>
      <c r="TAH56" s="913"/>
      <c r="TAI56" s="913"/>
      <c r="TAJ56" s="913"/>
      <c r="TAK56" s="913"/>
      <c r="TAL56" s="913"/>
      <c r="TAM56" s="913"/>
      <c r="TAN56" s="913"/>
      <c r="TAO56" s="913"/>
      <c r="TAP56" s="913"/>
      <c r="TAQ56" s="913"/>
      <c r="TAR56" s="913"/>
      <c r="TAS56" s="913"/>
      <c r="TAT56" s="913"/>
      <c r="TAU56" s="913"/>
      <c r="TAV56" s="913"/>
      <c r="TAW56" s="913"/>
      <c r="TAX56" s="913"/>
      <c r="TAY56" s="913"/>
      <c r="TAZ56" s="913"/>
      <c r="TBA56" s="913"/>
      <c r="TBB56" s="913"/>
      <c r="TBC56" s="913"/>
      <c r="TBD56" s="913"/>
      <c r="TBE56" s="913"/>
      <c r="TBF56" s="913"/>
      <c r="TBG56" s="913"/>
      <c r="TBH56" s="913"/>
      <c r="TBI56" s="913"/>
      <c r="TBJ56" s="913"/>
      <c r="TBK56" s="913"/>
      <c r="TBL56" s="913"/>
      <c r="TBM56" s="913"/>
      <c r="TBN56" s="913"/>
      <c r="TBO56" s="913"/>
      <c r="TBP56" s="913"/>
      <c r="TBQ56" s="913"/>
      <c r="TBR56" s="913"/>
      <c r="TBS56" s="913"/>
      <c r="TBT56" s="913"/>
      <c r="TBU56" s="913"/>
      <c r="TBV56" s="913"/>
      <c r="TBW56" s="913"/>
      <c r="TBX56" s="913"/>
      <c r="TBY56" s="913"/>
      <c r="TBZ56" s="913"/>
      <c r="TCA56" s="913"/>
      <c r="TCB56" s="913"/>
      <c r="TCC56" s="913"/>
      <c r="TCD56" s="913"/>
      <c r="TCE56" s="913"/>
      <c r="TCF56" s="913"/>
      <c r="TCG56" s="913"/>
      <c r="TCH56" s="913"/>
      <c r="TCI56" s="913"/>
      <c r="TCJ56" s="913"/>
      <c r="TCK56" s="913"/>
      <c r="TCL56" s="913"/>
      <c r="TCM56" s="913"/>
      <c r="TCN56" s="913"/>
      <c r="TCO56" s="913"/>
      <c r="TCP56" s="913"/>
      <c r="TCQ56" s="913"/>
      <c r="TCR56" s="913"/>
      <c r="TCS56" s="913"/>
      <c r="TCT56" s="913"/>
      <c r="TCU56" s="913"/>
      <c r="TCV56" s="913"/>
      <c r="TCW56" s="913"/>
      <c r="TCX56" s="913"/>
      <c r="TCY56" s="913"/>
      <c r="TCZ56" s="913"/>
      <c r="TDA56" s="913"/>
      <c r="TDB56" s="913"/>
      <c r="TDC56" s="913"/>
      <c r="TDD56" s="913"/>
      <c r="TDE56" s="913"/>
      <c r="TDF56" s="913"/>
      <c r="TDG56" s="913"/>
      <c r="TDH56" s="913"/>
      <c r="TDI56" s="913"/>
      <c r="TDJ56" s="913"/>
      <c r="TDK56" s="913"/>
      <c r="TDL56" s="913"/>
      <c r="TDM56" s="913"/>
      <c r="TDN56" s="913"/>
      <c r="TDO56" s="913"/>
      <c r="TDP56" s="913"/>
      <c r="TDQ56" s="913"/>
      <c r="TDR56" s="913"/>
      <c r="TDS56" s="913"/>
      <c r="TDT56" s="913"/>
      <c r="TDU56" s="913"/>
      <c r="TDV56" s="913"/>
      <c r="TDW56" s="913"/>
      <c r="TDX56" s="913"/>
      <c r="TDY56" s="913"/>
      <c r="TDZ56" s="913"/>
      <c r="TEA56" s="913"/>
      <c r="TEB56" s="913"/>
      <c r="TEC56" s="913"/>
      <c r="TED56" s="913"/>
      <c r="TEE56" s="913"/>
      <c r="TEF56" s="913"/>
      <c r="TEG56" s="913"/>
      <c r="TEH56" s="913"/>
      <c r="TEI56" s="913"/>
      <c r="TEJ56" s="913"/>
      <c r="TEK56" s="913"/>
      <c r="TEL56" s="913"/>
      <c r="TEM56" s="913"/>
      <c r="TEN56" s="913"/>
      <c r="TEO56" s="913"/>
      <c r="TEP56" s="913"/>
      <c r="TEQ56" s="913"/>
      <c r="TER56" s="913"/>
      <c r="TES56" s="913"/>
      <c r="TET56" s="913"/>
      <c r="TEU56" s="913"/>
      <c r="TEV56" s="913"/>
      <c r="TEW56" s="913"/>
      <c r="TEX56" s="913"/>
      <c r="TEY56" s="913"/>
      <c r="TEZ56" s="913"/>
      <c r="TFA56" s="913"/>
      <c r="TFB56" s="913"/>
      <c r="TFC56" s="913"/>
      <c r="TFD56" s="913"/>
      <c r="TFE56" s="913"/>
      <c r="TFF56" s="913"/>
      <c r="TFG56" s="913"/>
      <c r="TFH56" s="913"/>
      <c r="TFI56" s="913"/>
      <c r="TFJ56" s="913"/>
      <c r="TFK56" s="913"/>
      <c r="TFL56" s="913"/>
      <c r="TFM56" s="913"/>
      <c r="TFN56" s="913"/>
      <c r="TFO56" s="913"/>
      <c r="TFP56" s="913"/>
      <c r="TFQ56" s="913"/>
      <c r="TFR56" s="913"/>
      <c r="TFS56" s="913"/>
      <c r="TFT56" s="913"/>
      <c r="TFU56" s="913"/>
      <c r="TFV56" s="913"/>
      <c r="TFW56" s="913"/>
      <c r="TFX56" s="913"/>
      <c r="TFY56" s="913"/>
      <c r="TFZ56" s="913"/>
      <c r="TGA56" s="913"/>
      <c r="TGB56" s="913"/>
      <c r="TGC56" s="913"/>
      <c r="TGD56" s="913"/>
      <c r="TGE56" s="913"/>
      <c r="TGF56" s="913"/>
      <c r="TGG56" s="913"/>
      <c r="TGH56" s="913"/>
      <c r="TGI56" s="913"/>
      <c r="TGJ56" s="913"/>
      <c r="TGK56" s="913"/>
      <c r="TGL56" s="913"/>
      <c r="TGM56" s="913"/>
      <c r="TGN56" s="913"/>
      <c r="TGO56" s="913"/>
      <c r="TGP56" s="913"/>
      <c r="TGQ56" s="913"/>
      <c r="TGR56" s="913"/>
      <c r="TGS56" s="913"/>
      <c r="TGT56" s="913"/>
      <c r="TGU56" s="913"/>
      <c r="TGV56" s="913"/>
      <c r="TGW56" s="913"/>
      <c r="TGX56" s="913"/>
      <c r="TGY56" s="913"/>
      <c r="TGZ56" s="913"/>
      <c r="THA56" s="913"/>
      <c r="THB56" s="913"/>
      <c r="THC56" s="913"/>
      <c r="THD56" s="913"/>
      <c r="THE56" s="913"/>
      <c r="THF56" s="913"/>
      <c r="THG56" s="913"/>
      <c r="THH56" s="913"/>
      <c r="THI56" s="913"/>
      <c r="THJ56" s="913"/>
      <c r="THK56" s="913"/>
      <c r="THL56" s="913"/>
      <c r="THM56" s="913"/>
      <c r="THN56" s="913"/>
      <c r="THO56" s="913"/>
      <c r="THP56" s="913"/>
      <c r="THQ56" s="913"/>
      <c r="THR56" s="913"/>
      <c r="THS56" s="913"/>
      <c r="THT56" s="913"/>
      <c r="THU56" s="913"/>
      <c r="THV56" s="913"/>
      <c r="THW56" s="913"/>
      <c r="THX56" s="913"/>
      <c r="THY56" s="913"/>
      <c r="THZ56" s="913"/>
      <c r="TIA56" s="913"/>
      <c r="TIB56" s="913"/>
      <c r="TIC56" s="913"/>
      <c r="TID56" s="913"/>
      <c r="TIE56" s="913"/>
      <c r="TIF56" s="913"/>
      <c r="TIG56" s="913"/>
      <c r="TIH56" s="913"/>
      <c r="TII56" s="913"/>
      <c r="TIJ56" s="913"/>
      <c r="TIK56" s="913"/>
      <c r="TIL56" s="913"/>
      <c r="TIM56" s="913"/>
      <c r="TIN56" s="913"/>
      <c r="TIO56" s="913"/>
      <c r="TIP56" s="913"/>
      <c r="TIQ56" s="913"/>
      <c r="TIR56" s="913"/>
      <c r="TIS56" s="913"/>
      <c r="TIT56" s="913"/>
      <c r="TIU56" s="913"/>
      <c r="TIV56" s="913"/>
      <c r="TIW56" s="913"/>
      <c r="TIX56" s="913"/>
      <c r="TIY56" s="913"/>
      <c r="TIZ56" s="913"/>
      <c r="TJA56" s="913"/>
      <c r="TJB56" s="913"/>
      <c r="TJC56" s="913"/>
      <c r="TJD56" s="913"/>
      <c r="TJE56" s="913"/>
      <c r="TJF56" s="913"/>
      <c r="TJG56" s="913"/>
      <c r="TJH56" s="913"/>
      <c r="TJI56" s="913"/>
      <c r="TJJ56" s="913"/>
      <c r="TJK56" s="913"/>
      <c r="TJL56" s="913"/>
      <c r="TJM56" s="913"/>
      <c r="TJN56" s="913"/>
      <c r="TJO56" s="913"/>
      <c r="TJP56" s="913"/>
      <c r="TJQ56" s="913"/>
      <c r="TJR56" s="913"/>
      <c r="TJS56" s="913"/>
      <c r="TJT56" s="913"/>
      <c r="TJU56" s="913"/>
      <c r="TJV56" s="913"/>
      <c r="TJW56" s="913"/>
      <c r="TJX56" s="913"/>
      <c r="TJY56" s="913"/>
      <c r="TJZ56" s="913"/>
      <c r="TKA56" s="913"/>
      <c r="TKB56" s="913"/>
      <c r="TKC56" s="913"/>
      <c r="TKD56" s="913"/>
      <c r="TKE56" s="913"/>
      <c r="TKF56" s="913"/>
      <c r="TKG56" s="913"/>
      <c r="TKH56" s="913"/>
      <c r="TKI56" s="913"/>
      <c r="TKJ56" s="913"/>
      <c r="TKK56" s="913"/>
      <c r="TKL56" s="913"/>
      <c r="TKM56" s="913"/>
      <c r="TKN56" s="913"/>
      <c r="TKO56" s="913"/>
      <c r="TKP56" s="913"/>
      <c r="TKQ56" s="913"/>
      <c r="TKR56" s="913"/>
      <c r="TKS56" s="913"/>
      <c r="TKT56" s="913"/>
      <c r="TKU56" s="913"/>
      <c r="TKV56" s="913"/>
      <c r="TKW56" s="913"/>
      <c r="TKX56" s="913"/>
      <c r="TKY56" s="913"/>
      <c r="TKZ56" s="913"/>
      <c r="TLA56" s="913"/>
      <c r="TLB56" s="913"/>
      <c r="TLC56" s="913"/>
      <c r="TLD56" s="913"/>
      <c r="TLE56" s="913"/>
      <c r="TLF56" s="913"/>
      <c r="TLG56" s="913"/>
      <c r="TLH56" s="913"/>
      <c r="TLI56" s="913"/>
      <c r="TLJ56" s="913"/>
      <c r="TLK56" s="913"/>
      <c r="TLL56" s="913"/>
      <c r="TLM56" s="913"/>
      <c r="TLN56" s="913"/>
      <c r="TLO56" s="913"/>
      <c r="TLP56" s="913"/>
      <c r="TLQ56" s="913"/>
      <c r="TLR56" s="913"/>
      <c r="TLS56" s="913"/>
      <c r="TLT56" s="913"/>
      <c r="TLU56" s="913"/>
      <c r="TLV56" s="913"/>
      <c r="TLW56" s="913"/>
      <c r="TLX56" s="913"/>
      <c r="TLY56" s="913"/>
      <c r="TLZ56" s="913"/>
      <c r="TMA56" s="913"/>
      <c r="TMB56" s="913"/>
      <c r="TMC56" s="913"/>
      <c r="TMD56" s="913"/>
      <c r="TME56" s="913"/>
      <c r="TMF56" s="913"/>
      <c r="TMG56" s="913"/>
      <c r="TMH56" s="913"/>
      <c r="TMI56" s="913"/>
      <c r="TMJ56" s="913"/>
      <c r="TMK56" s="913"/>
      <c r="TML56" s="913"/>
      <c r="TMM56" s="913"/>
      <c r="TMN56" s="913"/>
      <c r="TMO56" s="913"/>
      <c r="TMP56" s="913"/>
      <c r="TMQ56" s="913"/>
      <c r="TMR56" s="913"/>
      <c r="TMS56" s="913"/>
      <c r="TMT56" s="913"/>
      <c r="TMU56" s="913"/>
      <c r="TMV56" s="913"/>
      <c r="TMW56" s="913"/>
      <c r="TMX56" s="913"/>
      <c r="TMY56" s="913"/>
      <c r="TMZ56" s="913"/>
      <c r="TNA56" s="913"/>
      <c r="TNB56" s="913"/>
      <c r="TNC56" s="913"/>
      <c r="TND56" s="913"/>
      <c r="TNE56" s="913"/>
      <c r="TNF56" s="913"/>
      <c r="TNG56" s="913"/>
      <c r="TNH56" s="913"/>
      <c r="TNI56" s="913"/>
      <c r="TNJ56" s="913"/>
      <c r="TNK56" s="913"/>
      <c r="TNL56" s="913"/>
      <c r="TNM56" s="913"/>
      <c r="TNN56" s="913"/>
      <c r="TNO56" s="913"/>
      <c r="TNP56" s="913"/>
      <c r="TNQ56" s="913"/>
      <c r="TNR56" s="913"/>
      <c r="TNS56" s="913"/>
      <c r="TNT56" s="913"/>
      <c r="TNU56" s="913"/>
      <c r="TNV56" s="913"/>
      <c r="TNW56" s="913"/>
      <c r="TNX56" s="913"/>
      <c r="TNY56" s="913"/>
      <c r="TNZ56" s="913"/>
      <c r="TOA56" s="913"/>
      <c r="TOB56" s="913"/>
      <c r="TOC56" s="913"/>
      <c r="TOD56" s="913"/>
      <c r="TOE56" s="913"/>
      <c r="TOF56" s="913"/>
      <c r="TOG56" s="913"/>
      <c r="TOH56" s="913"/>
      <c r="TOI56" s="913"/>
      <c r="TOJ56" s="913"/>
      <c r="TOK56" s="913"/>
      <c r="TOL56" s="913"/>
      <c r="TOM56" s="913"/>
      <c r="TON56" s="913"/>
      <c r="TOO56" s="913"/>
      <c r="TOP56" s="913"/>
      <c r="TOQ56" s="913"/>
      <c r="TOR56" s="913"/>
      <c r="TOS56" s="913"/>
      <c r="TOT56" s="913"/>
      <c r="TOU56" s="913"/>
      <c r="TOV56" s="913"/>
      <c r="TOW56" s="913"/>
      <c r="TOX56" s="913"/>
      <c r="TOY56" s="913"/>
      <c r="TOZ56" s="913"/>
      <c r="TPA56" s="913"/>
      <c r="TPB56" s="913"/>
      <c r="TPC56" s="913"/>
      <c r="TPD56" s="913"/>
      <c r="TPE56" s="913"/>
      <c r="TPF56" s="913"/>
      <c r="TPG56" s="913"/>
      <c r="TPH56" s="913"/>
      <c r="TPI56" s="913"/>
      <c r="TPJ56" s="913"/>
      <c r="TPK56" s="913"/>
      <c r="TPL56" s="913"/>
      <c r="TPM56" s="913"/>
      <c r="TPN56" s="913"/>
      <c r="TPO56" s="913"/>
      <c r="TPP56" s="913"/>
      <c r="TPQ56" s="913"/>
      <c r="TPR56" s="913"/>
      <c r="TPS56" s="913"/>
      <c r="TPT56" s="913"/>
      <c r="TPU56" s="913"/>
      <c r="TPV56" s="913"/>
      <c r="TPW56" s="913"/>
      <c r="TPX56" s="913"/>
      <c r="TPY56" s="913"/>
      <c r="TPZ56" s="913"/>
      <c r="TQA56" s="913"/>
      <c r="TQB56" s="913"/>
      <c r="TQC56" s="913"/>
      <c r="TQD56" s="913"/>
      <c r="TQE56" s="913"/>
      <c r="TQF56" s="913"/>
      <c r="TQG56" s="913"/>
      <c r="TQH56" s="913"/>
      <c r="TQI56" s="913"/>
      <c r="TQJ56" s="913"/>
      <c r="TQK56" s="913"/>
      <c r="TQL56" s="913"/>
      <c r="TQM56" s="913"/>
      <c r="TQN56" s="913"/>
      <c r="TQO56" s="913"/>
      <c r="TQP56" s="913"/>
      <c r="TQQ56" s="913"/>
      <c r="TQR56" s="913"/>
      <c r="TQS56" s="913"/>
      <c r="TQT56" s="913"/>
      <c r="TQU56" s="913"/>
      <c r="TQV56" s="913"/>
      <c r="TQW56" s="913"/>
      <c r="TQX56" s="913"/>
      <c r="TQY56" s="913"/>
      <c r="TQZ56" s="913"/>
      <c r="TRA56" s="913"/>
      <c r="TRB56" s="913"/>
      <c r="TRC56" s="913"/>
      <c r="TRD56" s="913"/>
      <c r="TRE56" s="913"/>
      <c r="TRF56" s="913"/>
      <c r="TRG56" s="913"/>
      <c r="TRH56" s="913"/>
      <c r="TRI56" s="913"/>
      <c r="TRJ56" s="913"/>
      <c r="TRK56" s="913"/>
      <c r="TRL56" s="913"/>
      <c r="TRM56" s="913"/>
      <c r="TRN56" s="913"/>
      <c r="TRO56" s="913"/>
      <c r="TRP56" s="913"/>
      <c r="TRQ56" s="913"/>
      <c r="TRR56" s="913"/>
      <c r="TRS56" s="913"/>
      <c r="TRT56" s="913"/>
      <c r="TRU56" s="913"/>
      <c r="TRV56" s="913"/>
      <c r="TRW56" s="913"/>
      <c r="TRX56" s="913"/>
      <c r="TRY56" s="913"/>
      <c r="TRZ56" s="913"/>
      <c r="TSA56" s="913"/>
      <c r="TSB56" s="913"/>
      <c r="TSC56" s="913"/>
      <c r="TSD56" s="913"/>
      <c r="TSE56" s="913"/>
      <c r="TSF56" s="913"/>
      <c r="TSG56" s="913"/>
      <c r="TSH56" s="913"/>
      <c r="TSI56" s="913"/>
      <c r="TSJ56" s="913"/>
      <c r="TSK56" s="913"/>
      <c r="TSL56" s="913"/>
      <c r="TSM56" s="913"/>
      <c r="TSN56" s="913"/>
      <c r="TSO56" s="913"/>
      <c r="TSP56" s="913"/>
      <c r="TSQ56" s="913"/>
      <c r="TSR56" s="913"/>
      <c r="TSS56" s="913"/>
      <c r="TST56" s="913"/>
      <c r="TSU56" s="913"/>
      <c r="TSV56" s="913"/>
      <c r="TSW56" s="913"/>
      <c r="TSX56" s="913"/>
      <c r="TSY56" s="913"/>
      <c r="TSZ56" s="913"/>
      <c r="TTA56" s="913"/>
      <c r="TTB56" s="913"/>
      <c r="TTC56" s="913"/>
      <c r="TTD56" s="913"/>
      <c r="TTE56" s="913"/>
      <c r="TTF56" s="913"/>
      <c r="TTG56" s="913"/>
      <c r="TTH56" s="913"/>
      <c r="TTI56" s="913"/>
      <c r="TTJ56" s="913"/>
      <c r="TTK56" s="913"/>
      <c r="TTL56" s="913"/>
      <c r="TTM56" s="913"/>
      <c r="TTN56" s="913"/>
      <c r="TTO56" s="913"/>
      <c r="TTP56" s="913"/>
      <c r="TTQ56" s="913"/>
      <c r="TTR56" s="913"/>
      <c r="TTS56" s="913"/>
      <c r="TTT56" s="913"/>
      <c r="TTU56" s="913"/>
      <c r="TTV56" s="913"/>
      <c r="TTW56" s="913"/>
      <c r="TTX56" s="913"/>
      <c r="TTY56" s="913"/>
      <c r="TTZ56" s="913"/>
      <c r="TUA56" s="913"/>
      <c r="TUB56" s="913"/>
      <c r="TUC56" s="913"/>
      <c r="TUD56" s="913"/>
      <c r="TUE56" s="913"/>
      <c r="TUF56" s="913"/>
      <c r="TUG56" s="913"/>
      <c r="TUH56" s="913"/>
      <c r="TUI56" s="913"/>
      <c r="TUJ56" s="913"/>
      <c r="TUK56" s="913"/>
      <c r="TUL56" s="913"/>
      <c r="TUM56" s="913"/>
      <c r="TUN56" s="913"/>
      <c r="TUO56" s="913"/>
      <c r="TUP56" s="913"/>
      <c r="TUQ56" s="913"/>
      <c r="TUR56" s="913"/>
      <c r="TUS56" s="913"/>
      <c r="TUT56" s="913"/>
      <c r="TUU56" s="913"/>
      <c r="TUV56" s="913"/>
      <c r="TUW56" s="913"/>
      <c r="TUX56" s="913"/>
      <c r="TUY56" s="913"/>
      <c r="TUZ56" s="913"/>
      <c r="TVA56" s="913"/>
      <c r="TVB56" s="913"/>
      <c r="TVC56" s="913"/>
      <c r="TVD56" s="913"/>
      <c r="TVE56" s="913"/>
      <c r="TVF56" s="913"/>
      <c r="TVG56" s="913"/>
      <c r="TVH56" s="913"/>
      <c r="TVI56" s="913"/>
      <c r="TVJ56" s="913"/>
      <c r="TVK56" s="913"/>
      <c r="TVL56" s="913"/>
      <c r="TVM56" s="913"/>
      <c r="TVN56" s="913"/>
      <c r="TVO56" s="913"/>
      <c r="TVP56" s="913"/>
      <c r="TVQ56" s="913"/>
      <c r="TVR56" s="913"/>
      <c r="TVS56" s="913"/>
      <c r="TVT56" s="913"/>
      <c r="TVU56" s="913"/>
      <c r="TVV56" s="913"/>
      <c r="TVW56" s="913"/>
      <c r="TVX56" s="913"/>
      <c r="TVY56" s="913"/>
      <c r="TVZ56" s="913"/>
      <c r="TWA56" s="913"/>
      <c r="TWB56" s="913"/>
      <c r="TWC56" s="913"/>
      <c r="TWD56" s="913"/>
      <c r="TWE56" s="913"/>
      <c r="TWF56" s="913"/>
      <c r="TWG56" s="913"/>
      <c r="TWH56" s="913"/>
      <c r="TWI56" s="913"/>
      <c r="TWJ56" s="913"/>
      <c r="TWK56" s="913"/>
      <c r="TWL56" s="913"/>
      <c r="TWM56" s="913"/>
      <c r="TWN56" s="913"/>
      <c r="TWO56" s="913"/>
      <c r="TWP56" s="913"/>
      <c r="TWQ56" s="913"/>
      <c r="TWR56" s="913"/>
      <c r="TWS56" s="913"/>
      <c r="TWT56" s="913"/>
      <c r="TWU56" s="913"/>
      <c r="TWV56" s="913"/>
      <c r="TWW56" s="913"/>
      <c r="TWX56" s="913"/>
      <c r="TWY56" s="913"/>
      <c r="TWZ56" s="913"/>
      <c r="TXA56" s="913"/>
      <c r="TXB56" s="913"/>
      <c r="TXC56" s="913"/>
      <c r="TXD56" s="913"/>
      <c r="TXE56" s="913"/>
      <c r="TXF56" s="913"/>
      <c r="TXG56" s="913"/>
      <c r="TXH56" s="913"/>
      <c r="TXI56" s="913"/>
      <c r="TXJ56" s="913"/>
      <c r="TXK56" s="913"/>
      <c r="TXL56" s="913"/>
      <c r="TXM56" s="913"/>
      <c r="TXN56" s="913"/>
      <c r="TXO56" s="913"/>
      <c r="TXP56" s="913"/>
      <c r="TXQ56" s="913"/>
      <c r="TXR56" s="913"/>
      <c r="TXS56" s="913"/>
      <c r="TXT56" s="913"/>
      <c r="TXU56" s="913"/>
      <c r="TXV56" s="913"/>
      <c r="TXW56" s="913"/>
      <c r="TXX56" s="913"/>
      <c r="TXY56" s="913"/>
      <c r="TXZ56" s="913"/>
      <c r="TYA56" s="913"/>
      <c r="TYB56" s="913"/>
      <c r="TYC56" s="913"/>
      <c r="TYD56" s="913"/>
      <c r="TYE56" s="913"/>
      <c r="TYF56" s="913"/>
      <c r="TYG56" s="913"/>
      <c r="TYH56" s="913"/>
      <c r="TYI56" s="913"/>
      <c r="TYJ56" s="913"/>
      <c r="TYK56" s="913"/>
      <c r="TYL56" s="913"/>
      <c r="TYM56" s="913"/>
      <c r="TYN56" s="913"/>
      <c r="TYO56" s="913"/>
      <c r="TYP56" s="913"/>
      <c r="TYQ56" s="913"/>
      <c r="TYR56" s="913"/>
      <c r="TYS56" s="913"/>
      <c r="TYT56" s="913"/>
      <c r="TYU56" s="913"/>
      <c r="TYV56" s="913"/>
      <c r="TYW56" s="913"/>
      <c r="TYX56" s="913"/>
      <c r="TYY56" s="913"/>
      <c r="TYZ56" s="913"/>
      <c r="TZA56" s="913"/>
      <c r="TZB56" s="913"/>
      <c r="TZC56" s="913"/>
      <c r="TZD56" s="913"/>
      <c r="TZE56" s="913"/>
      <c r="TZF56" s="913"/>
      <c r="TZG56" s="913"/>
      <c r="TZH56" s="913"/>
      <c r="TZI56" s="913"/>
      <c r="TZJ56" s="913"/>
      <c r="TZK56" s="913"/>
      <c r="TZL56" s="913"/>
      <c r="TZM56" s="913"/>
      <c r="TZN56" s="913"/>
      <c r="TZO56" s="913"/>
      <c r="TZP56" s="913"/>
      <c r="TZQ56" s="913"/>
      <c r="TZR56" s="913"/>
      <c r="TZS56" s="913"/>
      <c r="TZT56" s="913"/>
      <c r="TZU56" s="913"/>
      <c r="TZV56" s="913"/>
      <c r="TZW56" s="913"/>
      <c r="TZX56" s="913"/>
      <c r="TZY56" s="913"/>
      <c r="TZZ56" s="913"/>
      <c r="UAA56" s="913"/>
      <c r="UAB56" s="913"/>
      <c r="UAC56" s="913"/>
      <c r="UAD56" s="913"/>
      <c r="UAE56" s="913"/>
      <c r="UAF56" s="913"/>
      <c r="UAG56" s="913"/>
      <c r="UAH56" s="913"/>
      <c r="UAI56" s="913"/>
      <c r="UAJ56" s="913"/>
      <c r="UAK56" s="913"/>
      <c r="UAL56" s="913"/>
      <c r="UAM56" s="913"/>
      <c r="UAN56" s="913"/>
      <c r="UAO56" s="913"/>
      <c r="UAP56" s="913"/>
      <c r="UAQ56" s="913"/>
      <c r="UAR56" s="913"/>
      <c r="UAS56" s="913"/>
      <c r="UAT56" s="913"/>
      <c r="UAU56" s="913"/>
      <c r="UAV56" s="913"/>
      <c r="UAW56" s="913"/>
      <c r="UAX56" s="913"/>
      <c r="UAY56" s="913"/>
      <c r="UAZ56" s="913"/>
      <c r="UBA56" s="913"/>
      <c r="UBB56" s="913"/>
      <c r="UBC56" s="913"/>
      <c r="UBD56" s="913"/>
      <c r="UBE56" s="913"/>
      <c r="UBF56" s="913"/>
      <c r="UBG56" s="913"/>
      <c r="UBH56" s="913"/>
      <c r="UBI56" s="913"/>
      <c r="UBJ56" s="913"/>
      <c r="UBK56" s="913"/>
      <c r="UBL56" s="913"/>
      <c r="UBM56" s="913"/>
      <c r="UBN56" s="913"/>
      <c r="UBO56" s="913"/>
      <c r="UBP56" s="913"/>
      <c r="UBQ56" s="913"/>
      <c r="UBR56" s="913"/>
      <c r="UBS56" s="913"/>
      <c r="UBT56" s="913"/>
      <c r="UBU56" s="913"/>
      <c r="UBV56" s="913"/>
      <c r="UBW56" s="913"/>
      <c r="UBX56" s="913"/>
      <c r="UBY56" s="913"/>
      <c r="UBZ56" s="913"/>
      <c r="UCA56" s="913"/>
      <c r="UCB56" s="913"/>
      <c r="UCC56" s="913"/>
      <c r="UCD56" s="913"/>
      <c r="UCE56" s="913"/>
      <c r="UCF56" s="913"/>
      <c r="UCG56" s="913"/>
      <c r="UCH56" s="913"/>
      <c r="UCI56" s="913"/>
      <c r="UCJ56" s="913"/>
      <c r="UCK56" s="913"/>
      <c r="UCL56" s="913"/>
      <c r="UCM56" s="913"/>
      <c r="UCN56" s="913"/>
      <c r="UCO56" s="913"/>
      <c r="UCP56" s="913"/>
      <c r="UCQ56" s="913"/>
      <c r="UCR56" s="913"/>
      <c r="UCS56" s="913"/>
      <c r="UCT56" s="913"/>
      <c r="UCU56" s="913"/>
      <c r="UCV56" s="913"/>
      <c r="UCW56" s="913"/>
      <c r="UCX56" s="913"/>
      <c r="UCY56" s="913"/>
      <c r="UCZ56" s="913"/>
      <c r="UDA56" s="913"/>
      <c r="UDB56" s="913"/>
      <c r="UDC56" s="913"/>
      <c r="UDD56" s="913"/>
      <c r="UDE56" s="913"/>
      <c r="UDF56" s="913"/>
      <c r="UDG56" s="913"/>
      <c r="UDH56" s="913"/>
      <c r="UDI56" s="913"/>
      <c r="UDJ56" s="913"/>
      <c r="UDK56" s="913"/>
      <c r="UDL56" s="913"/>
      <c r="UDM56" s="913"/>
      <c r="UDN56" s="913"/>
      <c r="UDO56" s="913"/>
      <c r="UDP56" s="913"/>
      <c r="UDQ56" s="913"/>
      <c r="UDR56" s="913"/>
      <c r="UDS56" s="913"/>
      <c r="UDT56" s="913"/>
      <c r="UDU56" s="913"/>
      <c r="UDV56" s="913"/>
      <c r="UDW56" s="913"/>
      <c r="UDX56" s="913"/>
      <c r="UDY56" s="913"/>
      <c r="UDZ56" s="913"/>
      <c r="UEA56" s="913"/>
      <c r="UEB56" s="913"/>
      <c r="UEC56" s="913"/>
      <c r="UED56" s="913"/>
      <c r="UEE56" s="913"/>
      <c r="UEF56" s="913"/>
      <c r="UEG56" s="913"/>
      <c r="UEH56" s="913"/>
      <c r="UEI56" s="913"/>
      <c r="UEJ56" s="913"/>
      <c r="UEK56" s="913"/>
      <c r="UEL56" s="913"/>
      <c r="UEM56" s="913"/>
      <c r="UEN56" s="913"/>
      <c r="UEO56" s="913"/>
      <c r="UEP56" s="913"/>
      <c r="UEQ56" s="913"/>
      <c r="UER56" s="913"/>
      <c r="UES56" s="913"/>
      <c r="UET56" s="913"/>
      <c r="UEU56" s="913"/>
      <c r="UEV56" s="913"/>
      <c r="UEW56" s="913"/>
      <c r="UEX56" s="913"/>
      <c r="UEY56" s="913"/>
      <c r="UEZ56" s="913"/>
      <c r="UFA56" s="913"/>
      <c r="UFB56" s="913"/>
      <c r="UFC56" s="913"/>
      <c r="UFD56" s="913"/>
      <c r="UFE56" s="913"/>
      <c r="UFF56" s="913"/>
      <c r="UFG56" s="913"/>
      <c r="UFH56" s="913"/>
      <c r="UFI56" s="913"/>
      <c r="UFJ56" s="913"/>
      <c r="UFK56" s="913"/>
      <c r="UFL56" s="913"/>
      <c r="UFM56" s="913"/>
      <c r="UFN56" s="913"/>
      <c r="UFO56" s="913"/>
      <c r="UFP56" s="913"/>
      <c r="UFQ56" s="913"/>
      <c r="UFR56" s="913"/>
      <c r="UFS56" s="913"/>
      <c r="UFT56" s="913"/>
      <c r="UFU56" s="913"/>
      <c r="UFV56" s="913"/>
      <c r="UFW56" s="913"/>
      <c r="UFX56" s="913"/>
      <c r="UFY56" s="913"/>
      <c r="UFZ56" s="913"/>
      <c r="UGA56" s="913"/>
      <c r="UGB56" s="913"/>
      <c r="UGC56" s="913"/>
      <c r="UGD56" s="913"/>
      <c r="UGE56" s="913"/>
      <c r="UGF56" s="913"/>
      <c r="UGG56" s="913"/>
      <c r="UGH56" s="913"/>
      <c r="UGI56" s="913"/>
      <c r="UGJ56" s="913"/>
      <c r="UGK56" s="913"/>
      <c r="UGL56" s="913"/>
      <c r="UGM56" s="913"/>
      <c r="UGN56" s="913"/>
      <c r="UGO56" s="913"/>
      <c r="UGP56" s="913"/>
      <c r="UGQ56" s="913"/>
      <c r="UGR56" s="913"/>
      <c r="UGS56" s="913"/>
      <c r="UGT56" s="913"/>
      <c r="UGU56" s="913"/>
      <c r="UGV56" s="913"/>
      <c r="UGW56" s="913"/>
      <c r="UGX56" s="913"/>
      <c r="UGY56" s="913"/>
      <c r="UGZ56" s="913"/>
      <c r="UHA56" s="913"/>
      <c r="UHB56" s="913"/>
      <c r="UHC56" s="913"/>
      <c r="UHD56" s="913"/>
      <c r="UHE56" s="913"/>
      <c r="UHF56" s="913"/>
      <c r="UHG56" s="913"/>
      <c r="UHH56" s="913"/>
      <c r="UHI56" s="913"/>
      <c r="UHJ56" s="913"/>
      <c r="UHK56" s="913"/>
      <c r="UHL56" s="913"/>
      <c r="UHM56" s="913"/>
      <c r="UHN56" s="913"/>
      <c r="UHO56" s="913"/>
      <c r="UHP56" s="913"/>
      <c r="UHQ56" s="913"/>
      <c r="UHR56" s="913"/>
      <c r="UHS56" s="913"/>
      <c r="UHT56" s="913"/>
      <c r="UHU56" s="913"/>
      <c r="UHV56" s="913"/>
      <c r="UHW56" s="913"/>
      <c r="UHX56" s="913"/>
      <c r="UHY56" s="913"/>
      <c r="UHZ56" s="913"/>
      <c r="UIA56" s="913"/>
      <c r="UIB56" s="913"/>
      <c r="UIC56" s="913"/>
      <c r="UID56" s="913"/>
      <c r="UIE56" s="913"/>
      <c r="UIF56" s="913"/>
      <c r="UIG56" s="913"/>
      <c r="UIH56" s="913"/>
      <c r="UII56" s="913"/>
      <c r="UIJ56" s="913"/>
      <c r="UIK56" s="913"/>
      <c r="UIL56" s="913"/>
      <c r="UIM56" s="913"/>
      <c r="UIN56" s="913"/>
      <c r="UIO56" s="913"/>
      <c r="UIP56" s="913"/>
      <c r="UIQ56" s="913"/>
      <c r="UIR56" s="913"/>
      <c r="UIS56" s="913"/>
      <c r="UIT56" s="913"/>
      <c r="UIU56" s="913"/>
      <c r="UIV56" s="913"/>
      <c r="UIW56" s="913"/>
      <c r="UIX56" s="913"/>
      <c r="UIY56" s="913"/>
      <c r="UIZ56" s="913"/>
      <c r="UJA56" s="913"/>
      <c r="UJB56" s="913"/>
      <c r="UJC56" s="913"/>
      <c r="UJD56" s="913"/>
      <c r="UJE56" s="913"/>
      <c r="UJF56" s="913"/>
      <c r="UJG56" s="913"/>
      <c r="UJH56" s="913"/>
      <c r="UJI56" s="913"/>
      <c r="UJJ56" s="913"/>
      <c r="UJK56" s="913"/>
      <c r="UJL56" s="913"/>
      <c r="UJM56" s="913"/>
      <c r="UJN56" s="913"/>
      <c r="UJO56" s="913"/>
      <c r="UJP56" s="913"/>
      <c r="UJQ56" s="913"/>
      <c r="UJR56" s="913"/>
      <c r="UJS56" s="913"/>
      <c r="UJT56" s="913"/>
      <c r="UJU56" s="913"/>
      <c r="UJV56" s="913"/>
      <c r="UJW56" s="913"/>
      <c r="UJX56" s="913"/>
      <c r="UJY56" s="913"/>
      <c r="UJZ56" s="913"/>
      <c r="UKA56" s="913"/>
      <c r="UKB56" s="913"/>
      <c r="UKC56" s="913"/>
      <c r="UKD56" s="913"/>
      <c r="UKE56" s="913"/>
      <c r="UKF56" s="913"/>
      <c r="UKG56" s="913"/>
      <c r="UKH56" s="913"/>
      <c r="UKI56" s="913"/>
      <c r="UKJ56" s="913"/>
      <c r="UKK56" s="913"/>
      <c r="UKL56" s="913"/>
      <c r="UKM56" s="913"/>
      <c r="UKN56" s="913"/>
      <c r="UKO56" s="913"/>
      <c r="UKP56" s="913"/>
      <c r="UKQ56" s="913"/>
      <c r="UKR56" s="913"/>
      <c r="UKS56" s="913"/>
      <c r="UKT56" s="913"/>
      <c r="UKU56" s="913"/>
      <c r="UKV56" s="913"/>
      <c r="UKW56" s="913"/>
      <c r="UKX56" s="913"/>
      <c r="UKY56" s="913"/>
      <c r="UKZ56" s="913"/>
      <c r="ULA56" s="913"/>
      <c r="ULB56" s="913"/>
      <c r="ULC56" s="913"/>
      <c r="ULD56" s="913"/>
      <c r="ULE56" s="913"/>
      <c r="ULF56" s="913"/>
      <c r="ULG56" s="913"/>
      <c r="ULH56" s="913"/>
      <c r="ULI56" s="913"/>
      <c r="ULJ56" s="913"/>
      <c r="ULK56" s="913"/>
      <c r="ULL56" s="913"/>
      <c r="ULM56" s="913"/>
      <c r="ULN56" s="913"/>
      <c r="ULO56" s="913"/>
      <c r="ULP56" s="913"/>
      <c r="ULQ56" s="913"/>
      <c r="ULR56" s="913"/>
      <c r="ULS56" s="913"/>
      <c r="ULT56" s="913"/>
      <c r="ULU56" s="913"/>
      <c r="ULV56" s="913"/>
      <c r="ULW56" s="913"/>
      <c r="ULX56" s="913"/>
      <c r="ULY56" s="913"/>
      <c r="ULZ56" s="913"/>
      <c r="UMA56" s="913"/>
      <c r="UMB56" s="913"/>
      <c r="UMC56" s="913"/>
      <c r="UMD56" s="913"/>
      <c r="UME56" s="913"/>
      <c r="UMF56" s="913"/>
      <c r="UMG56" s="913"/>
      <c r="UMH56" s="913"/>
      <c r="UMI56" s="913"/>
      <c r="UMJ56" s="913"/>
      <c r="UMK56" s="913"/>
      <c r="UML56" s="913"/>
      <c r="UMM56" s="913"/>
      <c r="UMN56" s="913"/>
      <c r="UMO56" s="913"/>
      <c r="UMP56" s="913"/>
      <c r="UMQ56" s="913"/>
      <c r="UMR56" s="913"/>
      <c r="UMS56" s="913"/>
      <c r="UMT56" s="913"/>
      <c r="UMU56" s="913"/>
      <c r="UMV56" s="913"/>
      <c r="UMW56" s="913"/>
      <c r="UMX56" s="913"/>
      <c r="UMY56" s="913"/>
      <c r="UMZ56" s="913"/>
      <c r="UNA56" s="913"/>
      <c r="UNB56" s="913"/>
      <c r="UNC56" s="913"/>
      <c r="UND56" s="913"/>
      <c r="UNE56" s="913"/>
      <c r="UNF56" s="913"/>
      <c r="UNG56" s="913"/>
      <c r="UNH56" s="913"/>
      <c r="UNI56" s="913"/>
      <c r="UNJ56" s="913"/>
      <c r="UNK56" s="913"/>
      <c r="UNL56" s="913"/>
      <c r="UNM56" s="913"/>
      <c r="UNN56" s="913"/>
      <c r="UNO56" s="913"/>
      <c r="UNP56" s="913"/>
      <c r="UNQ56" s="913"/>
      <c r="UNR56" s="913"/>
      <c r="UNS56" s="913"/>
      <c r="UNT56" s="913"/>
      <c r="UNU56" s="913"/>
      <c r="UNV56" s="913"/>
      <c r="UNW56" s="913"/>
      <c r="UNX56" s="913"/>
      <c r="UNY56" s="913"/>
      <c r="UNZ56" s="913"/>
      <c r="UOA56" s="913"/>
      <c r="UOB56" s="913"/>
      <c r="UOC56" s="913"/>
      <c r="UOD56" s="913"/>
      <c r="UOE56" s="913"/>
      <c r="UOF56" s="913"/>
      <c r="UOG56" s="913"/>
      <c r="UOH56" s="913"/>
      <c r="UOI56" s="913"/>
      <c r="UOJ56" s="913"/>
      <c r="UOK56" s="913"/>
      <c r="UOL56" s="913"/>
      <c r="UOM56" s="913"/>
      <c r="UON56" s="913"/>
      <c r="UOO56" s="913"/>
      <c r="UOP56" s="913"/>
      <c r="UOQ56" s="913"/>
      <c r="UOR56" s="913"/>
      <c r="UOS56" s="913"/>
      <c r="UOT56" s="913"/>
      <c r="UOU56" s="913"/>
      <c r="UOV56" s="913"/>
      <c r="UOW56" s="913"/>
      <c r="UOX56" s="913"/>
      <c r="UOY56" s="913"/>
      <c r="UOZ56" s="913"/>
      <c r="UPA56" s="913"/>
      <c r="UPB56" s="913"/>
      <c r="UPC56" s="913"/>
      <c r="UPD56" s="913"/>
      <c r="UPE56" s="913"/>
      <c r="UPF56" s="913"/>
      <c r="UPG56" s="913"/>
      <c r="UPH56" s="913"/>
      <c r="UPI56" s="913"/>
      <c r="UPJ56" s="913"/>
      <c r="UPK56" s="913"/>
      <c r="UPL56" s="913"/>
      <c r="UPM56" s="913"/>
      <c r="UPN56" s="913"/>
      <c r="UPO56" s="913"/>
      <c r="UPP56" s="913"/>
      <c r="UPQ56" s="913"/>
      <c r="UPR56" s="913"/>
      <c r="UPS56" s="913"/>
      <c r="UPT56" s="913"/>
      <c r="UPU56" s="913"/>
      <c r="UPV56" s="913"/>
      <c r="UPW56" s="913"/>
      <c r="UPX56" s="913"/>
      <c r="UPY56" s="913"/>
      <c r="UPZ56" s="913"/>
      <c r="UQA56" s="913"/>
      <c r="UQB56" s="913"/>
      <c r="UQC56" s="913"/>
      <c r="UQD56" s="913"/>
      <c r="UQE56" s="913"/>
      <c r="UQF56" s="913"/>
      <c r="UQG56" s="913"/>
      <c r="UQH56" s="913"/>
      <c r="UQI56" s="913"/>
      <c r="UQJ56" s="913"/>
      <c r="UQK56" s="913"/>
      <c r="UQL56" s="913"/>
      <c r="UQM56" s="913"/>
      <c r="UQN56" s="913"/>
      <c r="UQO56" s="913"/>
      <c r="UQP56" s="913"/>
      <c r="UQQ56" s="913"/>
      <c r="UQR56" s="913"/>
      <c r="UQS56" s="913"/>
      <c r="UQT56" s="913"/>
      <c r="UQU56" s="913"/>
      <c r="UQV56" s="913"/>
      <c r="UQW56" s="913"/>
      <c r="UQX56" s="913"/>
      <c r="UQY56" s="913"/>
      <c r="UQZ56" s="913"/>
      <c r="URA56" s="913"/>
      <c r="URB56" s="913"/>
      <c r="URC56" s="913"/>
      <c r="URD56" s="913"/>
      <c r="URE56" s="913"/>
      <c r="URF56" s="913"/>
      <c r="URG56" s="913"/>
      <c r="URH56" s="913"/>
      <c r="URI56" s="913"/>
      <c r="URJ56" s="913"/>
      <c r="URK56" s="913"/>
      <c r="URL56" s="913"/>
      <c r="URM56" s="913"/>
      <c r="URN56" s="913"/>
      <c r="URO56" s="913"/>
      <c r="URP56" s="913"/>
      <c r="URQ56" s="913"/>
      <c r="URR56" s="913"/>
      <c r="URS56" s="913"/>
      <c r="URT56" s="913"/>
      <c r="URU56" s="913"/>
      <c r="URV56" s="913"/>
      <c r="URW56" s="913"/>
      <c r="URX56" s="913"/>
      <c r="URY56" s="913"/>
      <c r="URZ56" s="913"/>
      <c r="USA56" s="913"/>
      <c r="USB56" s="913"/>
      <c r="USC56" s="913"/>
      <c r="USD56" s="913"/>
      <c r="USE56" s="913"/>
      <c r="USF56" s="913"/>
      <c r="USG56" s="913"/>
      <c r="USH56" s="913"/>
      <c r="USI56" s="913"/>
      <c r="USJ56" s="913"/>
      <c r="USK56" s="913"/>
      <c r="USL56" s="913"/>
      <c r="USM56" s="913"/>
      <c r="USN56" s="913"/>
      <c r="USO56" s="913"/>
      <c r="USP56" s="913"/>
      <c r="USQ56" s="913"/>
      <c r="USR56" s="913"/>
      <c r="USS56" s="913"/>
      <c r="UST56" s="913"/>
      <c r="USU56" s="913"/>
      <c r="USV56" s="913"/>
      <c r="USW56" s="913"/>
      <c r="USX56" s="913"/>
      <c r="USY56" s="913"/>
      <c r="USZ56" s="913"/>
      <c r="UTA56" s="913"/>
      <c r="UTB56" s="913"/>
      <c r="UTC56" s="913"/>
      <c r="UTD56" s="913"/>
      <c r="UTE56" s="913"/>
      <c r="UTF56" s="913"/>
      <c r="UTG56" s="913"/>
      <c r="UTH56" s="913"/>
      <c r="UTI56" s="913"/>
      <c r="UTJ56" s="913"/>
      <c r="UTK56" s="913"/>
      <c r="UTL56" s="913"/>
      <c r="UTM56" s="913"/>
      <c r="UTN56" s="913"/>
      <c r="UTO56" s="913"/>
      <c r="UTP56" s="913"/>
      <c r="UTQ56" s="913"/>
      <c r="UTR56" s="913"/>
      <c r="UTS56" s="913"/>
      <c r="UTT56" s="913"/>
      <c r="UTU56" s="913"/>
      <c r="UTV56" s="913"/>
      <c r="UTW56" s="913"/>
      <c r="UTX56" s="913"/>
      <c r="UTY56" s="913"/>
      <c r="UTZ56" s="913"/>
      <c r="UUA56" s="913"/>
      <c r="UUB56" s="913"/>
      <c r="UUC56" s="913"/>
      <c r="UUD56" s="913"/>
      <c r="UUE56" s="913"/>
      <c r="UUF56" s="913"/>
      <c r="UUG56" s="913"/>
      <c r="UUH56" s="913"/>
      <c r="UUI56" s="913"/>
      <c r="UUJ56" s="913"/>
      <c r="UUK56" s="913"/>
      <c r="UUL56" s="913"/>
      <c r="UUM56" s="913"/>
      <c r="UUN56" s="913"/>
      <c r="UUO56" s="913"/>
      <c r="UUP56" s="913"/>
      <c r="UUQ56" s="913"/>
      <c r="UUR56" s="913"/>
      <c r="UUS56" s="913"/>
      <c r="UUT56" s="913"/>
      <c r="UUU56" s="913"/>
      <c r="UUV56" s="913"/>
      <c r="UUW56" s="913"/>
      <c r="UUX56" s="913"/>
      <c r="UUY56" s="913"/>
      <c r="UUZ56" s="913"/>
      <c r="UVA56" s="913"/>
      <c r="UVB56" s="913"/>
      <c r="UVC56" s="913"/>
      <c r="UVD56" s="913"/>
      <c r="UVE56" s="913"/>
      <c r="UVF56" s="913"/>
      <c r="UVG56" s="913"/>
      <c r="UVH56" s="913"/>
      <c r="UVI56" s="913"/>
      <c r="UVJ56" s="913"/>
      <c r="UVK56" s="913"/>
      <c r="UVL56" s="913"/>
      <c r="UVM56" s="913"/>
      <c r="UVN56" s="913"/>
      <c r="UVO56" s="913"/>
      <c r="UVP56" s="913"/>
      <c r="UVQ56" s="913"/>
      <c r="UVR56" s="913"/>
      <c r="UVS56" s="913"/>
      <c r="UVT56" s="913"/>
      <c r="UVU56" s="913"/>
      <c r="UVV56" s="913"/>
      <c r="UVW56" s="913"/>
      <c r="UVX56" s="913"/>
      <c r="UVY56" s="913"/>
      <c r="UVZ56" s="913"/>
      <c r="UWA56" s="913"/>
      <c r="UWB56" s="913"/>
      <c r="UWC56" s="913"/>
      <c r="UWD56" s="913"/>
      <c r="UWE56" s="913"/>
      <c r="UWF56" s="913"/>
      <c r="UWG56" s="913"/>
      <c r="UWH56" s="913"/>
      <c r="UWI56" s="913"/>
      <c r="UWJ56" s="913"/>
      <c r="UWK56" s="913"/>
      <c r="UWL56" s="913"/>
      <c r="UWM56" s="913"/>
      <c r="UWN56" s="913"/>
      <c r="UWO56" s="913"/>
      <c r="UWP56" s="913"/>
      <c r="UWQ56" s="913"/>
      <c r="UWR56" s="913"/>
      <c r="UWS56" s="913"/>
      <c r="UWT56" s="913"/>
      <c r="UWU56" s="913"/>
      <c r="UWV56" s="913"/>
      <c r="UWW56" s="913"/>
      <c r="UWX56" s="913"/>
      <c r="UWY56" s="913"/>
      <c r="UWZ56" s="913"/>
      <c r="UXA56" s="913"/>
      <c r="UXB56" s="913"/>
      <c r="UXC56" s="913"/>
      <c r="UXD56" s="913"/>
      <c r="UXE56" s="913"/>
      <c r="UXF56" s="913"/>
      <c r="UXG56" s="913"/>
      <c r="UXH56" s="913"/>
      <c r="UXI56" s="913"/>
      <c r="UXJ56" s="913"/>
      <c r="UXK56" s="913"/>
      <c r="UXL56" s="913"/>
      <c r="UXM56" s="913"/>
      <c r="UXN56" s="913"/>
      <c r="UXO56" s="913"/>
      <c r="UXP56" s="913"/>
      <c r="UXQ56" s="913"/>
      <c r="UXR56" s="913"/>
      <c r="UXS56" s="913"/>
      <c r="UXT56" s="913"/>
      <c r="UXU56" s="913"/>
      <c r="UXV56" s="913"/>
      <c r="UXW56" s="913"/>
      <c r="UXX56" s="913"/>
      <c r="UXY56" s="913"/>
      <c r="UXZ56" s="913"/>
      <c r="UYA56" s="913"/>
      <c r="UYB56" s="913"/>
      <c r="UYC56" s="913"/>
      <c r="UYD56" s="913"/>
      <c r="UYE56" s="913"/>
      <c r="UYF56" s="913"/>
      <c r="UYG56" s="913"/>
      <c r="UYH56" s="913"/>
      <c r="UYI56" s="913"/>
      <c r="UYJ56" s="913"/>
      <c r="UYK56" s="913"/>
      <c r="UYL56" s="913"/>
      <c r="UYM56" s="913"/>
      <c r="UYN56" s="913"/>
      <c r="UYO56" s="913"/>
      <c r="UYP56" s="913"/>
      <c r="UYQ56" s="913"/>
      <c r="UYR56" s="913"/>
      <c r="UYS56" s="913"/>
      <c r="UYT56" s="913"/>
      <c r="UYU56" s="913"/>
      <c r="UYV56" s="913"/>
      <c r="UYW56" s="913"/>
      <c r="UYX56" s="913"/>
      <c r="UYY56" s="913"/>
      <c r="UYZ56" s="913"/>
      <c r="UZA56" s="913"/>
      <c r="UZB56" s="913"/>
      <c r="UZC56" s="913"/>
      <c r="UZD56" s="913"/>
      <c r="UZE56" s="913"/>
      <c r="UZF56" s="913"/>
      <c r="UZG56" s="913"/>
      <c r="UZH56" s="913"/>
      <c r="UZI56" s="913"/>
      <c r="UZJ56" s="913"/>
      <c r="UZK56" s="913"/>
      <c r="UZL56" s="913"/>
      <c r="UZM56" s="913"/>
      <c r="UZN56" s="913"/>
      <c r="UZO56" s="913"/>
      <c r="UZP56" s="913"/>
      <c r="UZQ56" s="913"/>
      <c r="UZR56" s="913"/>
      <c r="UZS56" s="913"/>
      <c r="UZT56" s="913"/>
      <c r="UZU56" s="913"/>
      <c r="UZV56" s="913"/>
      <c r="UZW56" s="913"/>
      <c r="UZX56" s="913"/>
      <c r="UZY56" s="913"/>
      <c r="UZZ56" s="913"/>
      <c r="VAA56" s="913"/>
      <c r="VAB56" s="913"/>
      <c r="VAC56" s="913"/>
      <c r="VAD56" s="913"/>
      <c r="VAE56" s="913"/>
      <c r="VAF56" s="913"/>
      <c r="VAG56" s="913"/>
      <c r="VAH56" s="913"/>
      <c r="VAI56" s="913"/>
      <c r="VAJ56" s="913"/>
      <c r="VAK56" s="913"/>
      <c r="VAL56" s="913"/>
      <c r="VAM56" s="913"/>
      <c r="VAN56" s="913"/>
      <c r="VAO56" s="913"/>
      <c r="VAP56" s="913"/>
      <c r="VAQ56" s="913"/>
      <c r="VAR56" s="913"/>
      <c r="VAS56" s="913"/>
      <c r="VAT56" s="913"/>
      <c r="VAU56" s="913"/>
      <c r="VAV56" s="913"/>
      <c r="VAW56" s="913"/>
      <c r="VAX56" s="913"/>
      <c r="VAY56" s="913"/>
      <c r="VAZ56" s="913"/>
      <c r="VBA56" s="913"/>
      <c r="VBB56" s="913"/>
      <c r="VBC56" s="913"/>
      <c r="VBD56" s="913"/>
      <c r="VBE56" s="913"/>
      <c r="VBF56" s="913"/>
      <c r="VBG56" s="913"/>
      <c r="VBH56" s="913"/>
      <c r="VBI56" s="913"/>
      <c r="VBJ56" s="913"/>
      <c r="VBK56" s="913"/>
      <c r="VBL56" s="913"/>
      <c r="VBM56" s="913"/>
      <c r="VBN56" s="913"/>
      <c r="VBO56" s="913"/>
      <c r="VBP56" s="913"/>
      <c r="VBQ56" s="913"/>
      <c r="VBR56" s="913"/>
      <c r="VBS56" s="913"/>
      <c r="VBT56" s="913"/>
      <c r="VBU56" s="913"/>
      <c r="VBV56" s="913"/>
      <c r="VBW56" s="913"/>
      <c r="VBX56" s="913"/>
      <c r="VBY56" s="913"/>
      <c r="VBZ56" s="913"/>
      <c r="VCA56" s="913"/>
      <c r="VCB56" s="913"/>
      <c r="VCC56" s="913"/>
      <c r="VCD56" s="913"/>
      <c r="VCE56" s="913"/>
      <c r="VCF56" s="913"/>
      <c r="VCG56" s="913"/>
      <c r="VCH56" s="913"/>
      <c r="VCI56" s="913"/>
      <c r="VCJ56" s="913"/>
      <c r="VCK56" s="913"/>
      <c r="VCL56" s="913"/>
      <c r="VCM56" s="913"/>
      <c r="VCN56" s="913"/>
      <c r="VCO56" s="913"/>
      <c r="VCP56" s="913"/>
      <c r="VCQ56" s="913"/>
      <c r="VCR56" s="913"/>
      <c r="VCS56" s="913"/>
      <c r="VCT56" s="913"/>
      <c r="VCU56" s="913"/>
      <c r="VCV56" s="913"/>
      <c r="VCW56" s="913"/>
      <c r="VCX56" s="913"/>
      <c r="VCY56" s="913"/>
      <c r="VCZ56" s="913"/>
      <c r="VDA56" s="913"/>
      <c r="VDB56" s="913"/>
      <c r="VDC56" s="913"/>
      <c r="VDD56" s="913"/>
      <c r="VDE56" s="913"/>
      <c r="VDF56" s="913"/>
      <c r="VDG56" s="913"/>
      <c r="VDH56" s="913"/>
      <c r="VDI56" s="913"/>
      <c r="VDJ56" s="913"/>
      <c r="VDK56" s="913"/>
      <c r="VDL56" s="913"/>
      <c r="VDM56" s="913"/>
      <c r="VDN56" s="913"/>
      <c r="VDO56" s="913"/>
      <c r="VDP56" s="913"/>
      <c r="VDQ56" s="913"/>
      <c r="VDR56" s="913"/>
      <c r="VDS56" s="913"/>
      <c r="VDT56" s="913"/>
      <c r="VDU56" s="913"/>
      <c r="VDV56" s="913"/>
      <c r="VDW56" s="913"/>
      <c r="VDX56" s="913"/>
      <c r="VDY56" s="913"/>
      <c r="VDZ56" s="913"/>
      <c r="VEA56" s="913"/>
      <c r="VEB56" s="913"/>
      <c r="VEC56" s="913"/>
      <c r="VED56" s="913"/>
      <c r="VEE56" s="913"/>
      <c r="VEF56" s="913"/>
      <c r="VEG56" s="913"/>
      <c r="VEH56" s="913"/>
      <c r="VEI56" s="913"/>
      <c r="VEJ56" s="913"/>
      <c r="VEK56" s="913"/>
      <c r="VEL56" s="913"/>
      <c r="VEM56" s="913"/>
      <c r="VEN56" s="913"/>
      <c r="VEO56" s="913"/>
      <c r="VEP56" s="913"/>
      <c r="VEQ56" s="913"/>
      <c r="VER56" s="913"/>
      <c r="VES56" s="913"/>
      <c r="VET56" s="913"/>
      <c r="VEU56" s="913"/>
      <c r="VEV56" s="913"/>
      <c r="VEW56" s="913"/>
      <c r="VEX56" s="913"/>
      <c r="VEY56" s="913"/>
      <c r="VEZ56" s="913"/>
      <c r="VFA56" s="913"/>
      <c r="VFB56" s="913"/>
      <c r="VFC56" s="913"/>
      <c r="VFD56" s="913"/>
      <c r="VFE56" s="913"/>
      <c r="VFF56" s="913"/>
      <c r="VFG56" s="913"/>
      <c r="VFH56" s="913"/>
      <c r="VFI56" s="913"/>
      <c r="VFJ56" s="913"/>
      <c r="VFK56" s="913"/>
      <c r="VFL56" s="913"/>
      <c r="VFM56" s="913"/>
      <c r="VFN56" s="913"/>
      <c r="VFO56" s="913"/>
      <c r="VFP56" s="913"/>
      <c r="VFQ56" s="913"/>
      <c r="VFR56" s="913"/>
      <c r="VFS56" s="913"/>
      <c r="VFT56" s="913"/>
      <c r="VFU56" s="913"/>
      <c r="VFV56" s="913"/>
      <c r="VFW56" s="913"/>
      <c r="VFX56" s="913"/>
      <c r="VFY56" s="913"/>
      <c r="VFZ56" s="913"/>
      <c r="VGA56" s="913"/>
      <c r="VGB56" s="913"/>
      <c r="VGC56" s="913"/>
      <c r="VGD56" s="913"/>
      <c r="VGE56" s="913"/>
      <c r="VGF56" s="913"/>
      <c r="VGG56" s="913"/>
      <c r="VGH56" s="913"/>
      <c r="VGI56" s="913"/>
      <c r="VGJ56" s="913"/>
      <c r="VGK56" s="913"/>
      <c r="VGL56" s="913"/>
      <c r="VGM56" s="913"/>
      <c r="VGN56" s="913"/>
      <c r="VGO56" s="913"/>
      <c r="VGP56" s="913"/>
      <c r="VGQ56" s="913"/>
      <c r="VGR56" s="913"/>
      <c r="VGS56" s="913"/>
      <c r="VGT56" s="913"/>
      <c r="VGU56" s="913"/>
      <c r="VGV56" s="913"/>
      <c r="VGW56" s="913"/>
      <c r="VGX56" s="913"/>
      <c r="VGY56" s="913"/>
      <c r="VGZ56" s="913"/>
      <c r="VHA56" s="913"/>
      <c r="VHB56" s="913"/>
      <c r="VHC56" s="913"/>
      <c r="VHD56" s="913"/>
      <c r="VHE56" s="913"/>
      <c r="VHF56" s="913"/>
      <c r="VHG56" s="913"/>
      <c r="VHH56" s="913"/>
      <c r="VHI56" s="913"/>
      <c r="VHJ56" s="913"/>
      <c r="VHK56" s="913"/>
      <c r="VHL56" s="913"/>
      <c r="VHM56" s="913"/>
      <c r="VHN56" s="913"/>
      <c r="VHO56" s="913"/>
      <c r="VHP56" s="913"/>
      <c r="VHQ56" s="913"/>
      <c r="VHR56" s="913"/>
      <c r="VHS56" s="913"/>
      <c r="VHT56" s="913"/>
      <c r="VHU56" s="913"/>
      <c r="VHV56" s="913"/>
      <c r="VHW56" s="913"/>
      <c r="VHX56" s="913"/>
      <c r="VHY56" s="913"/>
      <c r="VHZ56" s="913"/>
      <c r="VIA56" s="913"/>
      <c r="VIB56" s="913"/>
      <c r="VIC56" s="913"/>
      <c r="VID56" s="913"/>
      <c r="VIE56" s="913"/>
      <c r="VIF56" s="913"/>
      <c r="VIG56" s="913"/>
      <c r="VIH56" s="913"/>
      <c r="VII56" s="913"/>
      <c r="VIJ56" s="913"/>
      <c r="VIK56" s="913"/>
      <c r="VIL56" s="913"/>
      <c r="VIM56" s="913"/>
      <c r="VIN56" s="913"/>
      <c r="VIO56" s="913"/>
      <c r="VIP56" s="913"/>
      <c r="VIQ56" s="913"/>
      <c r="VIR56" s="913"/>
      <c r="VIS56" s="913"/>
      <c r="VIT56" s="913"/>
      <c r="VIU56" s="913"/>
      <c r="VIV56" s="913"/>
      <c r="VIW56" s="913"/>
      <c r="VIX56" s="913"/>
      <c r="VIY56" s="913"/>
      <c r="VIZ56" s="913"/>
      <c r="VJA56" s="913"/>
      <c r="VJB56" s="913"/>
      <c r="VJC56" s="913"/>
      <c r="VJD56" s="913"/>
      <c r="VJE56" s="913"/>
      <c r="VJF56" s="913"/>
      <c r="VJG56" s="913"/>
      <c r="VJH56" s="913"/>
      <c r="VJI56" s="913"/>
      <c r="VJJ56" s="913"/>
      <c r="VJK56" s="913"/>
      <c r="VJL56" s="913"/>
      <c r="VJM56" s="913"/>
      <c r="VJN56" s="913"/>
      <c r="VJO56" s="913"/>
      <c r="VJP56" s="913"/>
      <c r="VJQ56" s="913"/>
      <c r="VJR56" s="913"/>
      <c r="VJS56" s="913"/>
      <c r="VJT56" s="913"/>
      <c r="VJU56" s="913"/>
      <c r="VJV56" s="913"/>
      <c r="VJW56" s="913"/>
      <c r="VJX56" s="913"/>
      <c r="VJY56" s="913"/>
      <c r="VJZ56" s="913"/>
      <c r="VKA56" s="913"/>
      <c r="VKB56" s="913"/>
      <c r="VKC56" s="913"/>
      <c r="VKD56" s="913"/>
      <c r="VKE56" s="913"/>
      <c r="VKF56" s="913"/>
      <c r="VKG56" s="913"/>
      <c r="VKH56" s="913"/>
      <c r="VKI56" s="913"/>
      <c r="VKJ56" s="913"/>
      <c r="VKK56" s="913"/>
      <c r="VKL56" s="913"/>
      <c r="VKM56" s="913"/>
      <c r="VKN56" s="913"/>
      <c r="VKO56" s="913"/>
      <c r="VKP56" s="913"/>
      <c r="VKQ56" s="913"/>
      <c r="VKR56" s="913"/>
      <c r="VKS56" s="913"/>
      <c r="VKT56" s="913"/>
      <c r="VKU56" s="913"/>
      <c r="VKV56" s="913"/>
      <c r="VKW56" s="913"/>
      <c r="VKX56" s="913"/>
      <c r="VKY56" s="913"/>
      <c r="VKZ56" s="913"/>
      <c r="VLA56" s="913"/>
      <c r="VLB56" s="913"/>
      <c r="VLC56" s="913"/>
      <c r="VLD56" s="913"/>
      <c r="VLE56" s="913"/>
      <c r="VLF56" s="913"/>
      <c r="VLG56" s="913"/>
      <c r="VLH56" s="913"/>
      <c r="VLI56" s="913"/>
      <c r="VLJ56" s="913"/>
      <c r="VLK56" s="913"/>
      <c r="VLL56" s="913"/>
      <c r="VLM56" s="913"/>
      <c r="VLN56" s="913"/>
      <c r="VLO56" s="913"/>
      <c r="VLP56" s="913"/>
      <c r="VLQ56" s="913"/>
      <c r="VLR56" s="913"/>
      <c r="VLS56" s="913"/>
      <c r="VLT56" s="913"/>
      <c r="VLU56" s="913"/>
      <c r="VLV56" s="913"/>
      <c r="VLW56" s="913"/>
      <c r="VLX56" s="913"/>
      <c r="VLY56" s="913"/>
      <c r="VLZ56" s="913"/>
      <c r="VMA56" s="913"/>
      <c r="VMB56" s="913"/>
      <c r="VMC56" s="913"/>
      <c r="VMD56" s="913"/>
      <c r="VME56" s="913"/>
      <c r="VMF56" s="913"/>
      <c r="VMG56" s="913"/>
      <c r="VMH56" s="913"/>
      <c r="VMI56" s="913"/>
      <c r="VMJ56" s="913"/>
      <c r="VMK56" s="913"/>
      <c r="VML56" s="913"/>
      <c r="VMM56" s="913"/>
      <c r="VMN56" s="913"/>
      <c r="VMO56" s="913"/>
      <c r="VMP56" s="913"/>
      <c r="VMQ56" s="913"/>
      <c r="VMR56" s="913"/>
      <c r="VMS56" s="913"/>
      <c r="VMT56" s="913"/>
      <c r="VMU56" s="913"/>
      <c r="VMV56" s="913"/>
      <c r="VMW56" s="913"/>
      <c r="VMX56" s="913"/>
      <c r="VMY56" s="913"/>
      <c r="VMZ56" s="913"/>
      <c r="VNA56" s="913"/>
      <c r="VNB56" s="913"/>
      <c r="VNC56" s="913"/>
      <c r="VND56" s="913"/>
      <c r="VNE56" s="913"/>
      <c r="VNF56" s="913"/>
      <c r="VNG56" s="913"/>
      <c r="VNH56" s="913"/>
      <c r="VNI56" s="913"/>
      <c r="VNJ56" s="913"/>
      <c r="VNK56" s="913"/>
      <c r="VNL56" s="913"/>
      <c r="VNM56" s="913"/>
      <c r="VNN56" s="913"/>
      <c r="VNO56" s="913"/>
      <c r="VNP56" s="913"/>
      <c r="VNQ56" s="913"/>
      <c r="VNR56" s="913"/>
      <c r="VNS56" s="913"/>
      <c r="VNT56" s="913"/>
      <c r="VNU56" s="913"/>
      <c r="VNV56" s="913"/>
      <c r="VNW56" s="913"/>
      <c r="VNX56" s="913"/>
      <c r="VNY56" s="913"/>
      <c r="VNZ56" s="913"/>
      <c r="VOA56" s="913"/>
      <c r="VOB56" s="913"/>
      <c r="VOC56" s="913"/>
      <c r="VOD56" s="913"/>
      <c r="VOE56" s="913"/>
      <c r="VOF56" s="913"/>
      <c r="VOG56" s="913"/>
      <c r="VOH56" s="913"/>
      <c r="VOI56" s="913"/>
      <c r="VOJ56" s="913"/>
      <c r="VOK56" s="913"/>
      <c r="VOL56" s="913"/>
      <c r="VOM56" s="913"/>
      <c r="VON56" s="913"/>
      <c r="VOO56" s="913"/>
      <c r="VOP56" s="913"/>
      <c r="VOQ56" s="913"/>
      <c r="VOR56" s="913"/>
      <c r="VOS56" s="913"/>
      <c r="VOT56" s="913"/>
      <c r="VOU56" s="913"/>
      <c r="VOV56" s="913"/>
      <c r="VOW56" s="913"/>
      <c r="VOX56" s="913"/>
      <c r="VOY56" s="913"/>
      <c r="VOZ56" s="913"/>
      <c r="VPA56" s="913"/>
      <c r="VPB56" s="913"/>
      <c r="VPC56" s="913"/>
      <c r="VPD56" s="913"/>
      <c r="VPE56" s="913"/>
      <c r="VPF56" s="913"/>
      <c r="VPG56" s="913"/>
      <c r="VPH56" s="913"/>
      <c r="VPI56" s="913"/>
      <c r="VPJ56" s="913"/>
      <c r="VPK56" s="913"/>
      <c r="VPL56" s="913"/>
      <c r="VPM56" s="913"/>
      <c r="VPN56" s="913"/>
      <c r="VPO56" s="913"/>
      <c r="VPP56" s="913"/>
      <c r="VPQ56" s="913"/>
      <c r="VPR56" s="913"/>
      <c r="VPS56" s="913"/>
      <c r="VPT56" s="913"/>
      <c r="VPU56" s="913"/>
      <c r="VPV56" s="913"/>
      <c r="VPW56" s="913"/>
      <c r="VPX56" s="913"/>
      <c r="VPY56" s="913"/>
      <c r="VPZ56" s="913"/>
      <c r="VQA56" s="913"/>
      <c r="VQB56" s="913"/>
      <c r="VQC56" s="913"/>
      <c r="VQD56" s="913"/>
      <c r="VQE56" s="913"/>
      <c r="VQF56" s="913"/>
      <c r="VQG56" s="913"/>
      <c r="VQH56" s="913"/>
      <c r="VQI56" s="913"/>
      <c r="VQJ56" s="913"/>
      <c r="VQK56" s="913"/>
      <c r="VQL56" s="913"/>
      <c r="VQM56" s="913"/>
      <c r="VQN56" s="913"/>
      <c r="VQO56" s="913"/>
      <c r="VQP56" s="913"/>
      <c r="VQQ56" s="913"/>
      <c r="VQR56" s="913"/>
      <c r="VQS56" s="913"/>
      <c r="VQT56" s="913"/>
      <c r="VQU56" s="913"/>
      <c r="VQV56" s="913"/>
      <c r="VQW56" s="913"/>
      <c r="VQX56" s="913"/>
      <c r="VQY56" s="913"/>
      <c r="VQZ56" s="913"/>
      <c r="VRA56" s="913"/>
      <c r="VRB56" s="913"/>
      <c r="VRC56" s="913"/>
      <c r="VRD56" s="913"/>
      <c r="VRE56" s="913"/>
      <c r="VRF56" s="913"/>
      <c r="VRG56" s="913"/>
      <c r="VRH56" s="913"/>
      <c r="VRI56" s="913"/>
      <c r="VRJ56" s="913"/>
      <c r="VRK56" s="913"/>
      <c r="VRL56" s="913"/>
      <c r="VRM56" s="913"/>
      <c r="VRN56" s="913"/>
      <c r="VRO56" s="913"/>
      <c r="VRP56" s="913"/>
      <c r="VRQ56" s="913"/>
      <c r="VRR56" s="913"/>
      <c r="VRS56" s="913"/>
      <c r="VRT56" s="913"/>
      <c r="VRU56" s="913"/>
      <c r="VRV56" s="913"/>
      <c r="VRW56" s="913"/>
      <c r="VRX56" s="913"/>
      <c r="VRY56" s="913"/>
      <c r="VRZ56" s="913"/>
      <c r="VSA56" s="913"/>
      <c r="VSB56" s="913"/>
      <c r="VSC56" s="913"/>
      <c r="VSD56" s="913"/>
      <c r="VSE56" s="913"/>
      <c r="VSF56" s="913"/>
      <c r="VSG56" s="913"/>
      <c r="VSH56" s="913"/>
      <c r="VSI56" s="913"/>
      <c r="VSJ56" s="913"/>
      <c r="VSK56" s="913"/>
      <c r="VSL56" s="913"/>
      <c r="VSM56" s="913"/>
      <c r="VSN56" s="913"/>
      <c r="VSO56" s="913"/>
      <c r="VSP56" s="913"/>
      <c r="VSQ56" s="913"/>
      <c r="VSR56" s="913"/>
      <c r="VSS56" s="913"/>
      <c r="VST56" s="913"/>
      <c r="VSU56" s="913"/>
      <c r="VSV56" s="913"/>
      <c r="VSW56" s="913"/>
      <c r="VSX56" s="913"/>
      <c r="VSY56" s="913"/>
      <c r="VSZ56" s="913"/>
      <c r="VTA56" s="913"/>
      <c r="VTB56" s="913"/>
      <c r="VTC56" s="913"/>
      <c r="VTD56" s="913"/>
      <c r="VTE56" s="913"/>
      <c r="VTF56" s="913"/>
      <c r="VTG56" s="913"/>
      <c r="VTH56" s="913"/>
      <c r="VTI56" s="913"/>
      <c r="VTJ56" s="913"/>
      <c r="VTK56" s="913"/>
      <c r="VTL56" s="913"/>
      <c r="VTM56" s="913"/>
      <c r="VTN56" s="913"/>
      <c r="VTO56" s="913"/>
      <c r="VTP56" s="913"/>
      <c r="VTQ56" s="913"/>
      <c r="VTR56" s="913"/>
      <c r="VTS56" s="913"/>
      <c r="VTT56" s="913"/>
      <c r="VTU56" s="913"/>
      <c r="VTV56" s="913"/>
      <c r="VTW56" s="913"/>
      <c r="VTX56" s="913"/>
      <c r="VTY56" s="913"/>
      <c r="VTZ56" s="913"/>
      <c r="VUA56" s="913"/>
      <c r="VUB56" s="913"/>
      <c r="VUC56" s="913"/>
      <c r="VUD56" s="913"/>
      <c r="VUE56" s="913"/>
      <c r="VUF56" s="913"/>
      <c r="VUG56" s="913"/>
      <c r="VUH56" s="913"/>
      <c r="VUI56" s="913"/>
      <c r="VUJ56" s="913"/>
      <c r="VUK56" s="913"/>
      <c r="VUL56" s="913"/>
      <c r="VUM56" s="913"/>
      <c r="VUN56" s="913"/>
      <c r="VUO56" s="913"/>
      <c r="VUP56" s="913"/>
      <c r="VUQ56" s="913"/>
      <c r="VUR56" s="913"/>
      <c r="VUS56" s="913"/>
      <c r="VUT56" s="913"/>
      <c r="VUU56" s="913"/>
      <c r="VUV56" s="913"/>
      <c r="VUW56" s="913"/>
      <c r="VUX56" s="913"/>
      <c r="VUY56" s="913"/>
      <c r="VUZ56" s="913"/>
      <c r="VVA56" s="913"/>
      <c r="VVB56" s="913"/>
      <c r="VVC56" s="913"/>
      <c r="VVD56" s="913"/>
      <c r="VVE56" s="913"/>
      <c r="VVF56" s="913"/>
      <c r="VVG56" s="913"/>
      <c r="VVH56" s="913"/>
      <c r="VVI56" s="913"/>
      <c r="VVJ56" s="913"/>
      <c r="VVK56" s="913"/>
      <c r="VVL56" s="913"/>
      <c r="VVM56" s="913"/>
      <c r="VVN56" s="913"/>
      <c r="VVO56" s="913"/>
      <c r="VVP56" s="913"/>
      <c r="VVQ56" s="913"/>
      <c r="VVR56" s="913"/>
      <c r="VVS56" s="913"/>
      <c r="VVT56" s="913"/>
      <c r="VVU56" s="913"/>
      <c r="VVV56" s="913"/>
      <c r="VVW56" s="913"/>
      <c r="VVX56" s="913"/>
      <c r="VVY56" s="913"/>
      <c r="VVZ56" s="913"/>
      <c r="VWA56" s="913"/>
      <c r="VWB56" s="913"/>
      <c r="VWC56" s="913"/>
      <c r="VWD56" s="913"/>
      <c r="VWE56" s="913"/>
      <c r="VWF56" s="913"/>
      <c r="VWG56" s="913"/>
      <c r="VWH56" s="913"/>
      <c r="VWI56" s="913"/>
      <c r="VWJ56" s="913"/>
      <c r="VWK56" s="913"/>
      <c r="VWL56" s="913"/>
      <c r="VWM56" s="913"/>
      <c r="VWN56" s="913"/>
      <c r="VWO56" s="913"/>
      <c r="VWP56" s="913"/>
      <c r="VWQ56" s="913"/>
      <c r="VWR56" s="913"/>
      <c r="VWS56" s="913"/>
      <c r="VWT56" s="913"/>
      <c r="VWU56" s="913"/>
      <c r="VWV56" s="913"/>
      <c r="VWW56" s="913"/>
      <c r="VWX56" s="913"/>
      <c r="VWY56" s="913"/>
      <c r="VWZ56" s="913"/>
      <c r="VXA56" s="913"/>
      <c r="VXB56" s="913"/>
      <c r="VXC56" s="913"/>
      <c r="VXD56" s="913"/>
      <c r="VXE56" s="913"/>
      <c r="VXF56" s="913"/>
      <c r="VXG56" s="913"/>
      <c r="VXH56" s="913"/>
      <c r="VXI56" s="913"/>
      <c r="VXJ56" s="913"/>
      <c r="VXK56" s="913"/>
      <c r="VXL56" s="913"/>
      <c r="VXM56" s="913"/>
      <c r="VXN56" s="913"/>
      <c r="VXO56" s="913"/>
      <c r="VXP56" s="913"/>
      <c r="VXQ56" s="913"/>
      <c r="VXR56" s="913"/>
      <c r="VXS56" s="913"/>
      <c r="VXT56" s="913"/>
      <c r="VXU56" s="913"/>
      <c r="VXV56" s="913"/>
      <c r="VXW56" s="913"/>
      <c r="VXX56" s="913"/>
      <c r="VXY56" s="913"/>
      <c r="VXZ56" s="913"/>
      <c r="VYA56" s="913"/>
      <c r="VYB56" s="913"/>
      <c r="VYC56" s="913"/>
      <c r="VYD56" s="913"/>
      <c r="VYE56" s="913"/>
      <c r="VYF56" s="913"/>
      <c r="VYG56" s="913"/>
      <c r="VYH56" s="913"/>
      <c r="VYI56" s="913"/>
      <c r="VYJ56" s="913"/>
      <c r="VYK56" s="913"/>
      <c r="VYL56" s="913"/>
      <c r="VYM56" s="913"/>
      <c r="VYN56" s="913"/>
      <c r="VYO56" s="913"/>
      <c r="VYP56" s="913"/>
      <c r="VYQ56" s="913"/>
      <c r="VYR56" s="913"/>
      <c r="VYS56" s="913"/>
      <c r="VYT56" s="913"/>
      <c r="VYU56" s="913"/>
      <c r="VYV56" s="913"/>
      <c r="VYW56" s="913"/>
      <c r="VYX56" s="913"/>
      <c r="VYY56" s="913"/>
      <c r="VYZ56" s="913"/>
      <c r="VZA56" s="913"/>
      <c r="VZB56" s="913"/>
      <c r="VZC56" s="913"/>
      <c r="VZD56" s="913"/>
      <c r="VZE56" s="913"/>
      <c r="VZF56" s="913"/>
      <c r="VZG56" s="913"/>
      <c r="VZH56" s="913"/>
      <c r="VZI56" s="913"/>
      <c r="VZJ56" s="913"/>
      <c r="VZK56" s="913"/>
      <c r="VZL56" s="913"/>
      <c r="VZM56" s="913"/>
      <c r="VZN56" s="913"/>
      <c r="VZO56" s="913"/>
      <c r="VZP56" s="913"/>
      <c r="VZQ56" s="913"/>
      <c r="VZR56" s="913"/>
      <c r="VZS56" s="913"/>
      <c r="VZT56" s="913"/>
      <c r="VZU56" s="913"/>
      <c r="VZV56" s="913"/>
      <c r="VZW56" s="913"/>
      <c r="VZX56" s="913"/>
      <c r="VZY56" s="913"/>
      <c r="VZZ56" s="913"/>
      <c r="WAA56" s="913"/>
      <c r="WAB56" s="913"/>
      <c r="WAC56" s="913"/>
      <c r="WAD56" s="913"/>
      <c r="WAE56" s="913"/>
      <c r="WAF56" s="913"/>
      <c r="WAG56" s="913"/>
      <c r="WAH56" s="913"/>
      <c r="WAI56" s="913"/>
      <c r="WAJ56" s="913"/>
      <c r="WAK56" s="913"/>
      <c r="WAL56" s="913"/>
      <c r="WAM56" s="913"/>
      <c r="WAN56" s="913"/>
      <c r="WAO56" s="913"/>
      <c r="WAP56" s="913"/>
      <c r="WAQ56" s="913"/>
      <c r="WAR56" s="913"/>
      <c r="WAS56" s="913"/>
      <c r="WAT56" s="913"/>
      <c r="WAU56" s="913"/>
      <c r="WAV56" s="913"/>
      <c r="WAW56" s="913"/>
      <c r="WAX56" s="913"/>
      <c r="WAY56" s="913"/>
      <c r="WAZ56" s="913"/>
      <c r="WBA56" s="913"/>
      <c r="WBB56" s="913"/>
      <c r="WBC56" s="913"/>
      <c r="WBD56" s="913"/>
      <c r="WBE56" s="913"/>
      <c r="WBF56" s="913"/>
      <c r="WBG56" s="913"/>
      <c r="WBH56" s="913"/>
      <c r="WBI56" s="913"/>
      <c r="WBJ56" s="913"/>
      <c r="WBK56" s="913"/>
      <c r="WBL56" s="913"/>
      <c r="WBM56" s="913"/>
      <c r="WBN56" s="913"/>
      <c r="WBO56" s="913"/>
      <c r="WBP56" s="913"/>
      <c r="WBQ56" s="913"/>
      <c r="WBR56" s="913"/>
      <c r="WBS56" s="913"/>
      <c r="WBT56" s="913"/>
      <c r="WBU56" s="913"/>
      <c r="WBV56" s="913"/>
      <c r="WBW56" s="913"/>
      <c r="WBX56" s="913"/>
      <c r="WBY56" s="913"/>
      <c r="WBZ56" s="913"/>
      <c r="WCA56" s="913"/>
      <c r="WCB56" s="913"/>
      <c r="WCC56" s="913"/>
      <c r="WCD56" s="913"/>
      <c r="WCE56" s="913"/>
      <c r="WCF56" s="913"/>
      <c r="WCG56" s="913"/>
      <c r="WCH56" s="913"/>
      <c r="WCI56" s="913"/>
      <c r="WCJ56" s="913"/>
      <c r="WCK56" s="913"/>
      <c r="WCL56" s="913"/>
      <c r="WCM56" s="913"/>
      <c r="WCN56" s="913"/>
      <c r="WCO56" s="913"/>
      <c r="WCP56" s="913"/>
      <c r="WCQ56" s="913"/>
      <c r="WCR56" s="913"/>
      <c r="WCS56" s="913"/>
      <c r="WCT56" s="913"/>
      <c r="WCU56" s="913"/>
      <c r="WCV56" s="913"/>
      <c r="WCW56" s="913"/>
      <c r="WCX56" s="913"/>
      <c r="WCY56" s="913"/>
      <c r="WCZ56" s="913"/>
      <c r="WDA56" s="913"/>
      <c r="WDB56" s="913"/>
      <c r="WDC56" s="913"/>
      <c r="WDD56" s="913"/>
      <c r="WDE56" s="913"/>
      <c r="WDF56" s="913"/>
      <c r="WDG56" s="913"/>
      <c r="WDH56" s="913"/>
      <c r="WDI56" s="913"/>
      <c r="WDJ56" s="913"/>
      <c r="WDK56" s="913"/>
      <c r="WDL56" s="913"/>
      <c r="WDM56" s="913"/>
      <c r="WDN56" s="913"/>
      <c r="WDO56" s="913"/>
      <c r="WDP56" s="913"/>
      <c r="WDQ56" s="913"/>
      <c r="WDR56" s="913"/>
      <c r="WDS56" s="913"/>
      <c r="WDT56" s="913"/>
      <c r="WDU56" s="913"/>
      <c r="WDV56" s="913"/>
      <c r="WDW56" s="913"/>
      <c r="WDX56" s="913"/>
      <c r="WDY56" s="913"/>
      <c r="WDZ56" s="913"/>
      <c r="WEA56" s="913"/>
      <c r="WEB56" s="913"/>
      <c r="WEC56" s="913"/>
      <c r="WED56" s="913"/>
      <c r="WEE56" s="913"/>
      <c r="WEF56" s="913"/>
      <c r="WEG56" s="913"/>
      <c r="WEH56" s="913"/>
      <c r="WEI56" s="913"/>
      <c r="WEJ56" s="913"/>
      <c r="WEK56" s="913"/>
      <c r="WEL56" s="913"/>
      <c r="WEM56" s="913"/>
      <c r="WEN56" s="913"/>
      <c r="WEO56" s="913"/>
      <c r="WEP56" s="913"/>
      <c r="WEQ56" s="913"/>
      <c r="WER56" s="913"/>
      <c r="WES56" s="913"/>
      <c r="WET56" s="913"/>
      <c r="WEU56" s="913"/>
      <c r="WEV56" s="913"/>
      <c r="WEW56" s="913"/>
      <c r="WEX56" s="913"/>
      <c r="WEY56" s="913"/>
      <c r="WEZ56" s="913"/>
      <c r="WFA56" s="913"/>
      <c r="WFB56" s="913"/>
      <c r="WFC56" s="913"/>
      <c r="WFD56" s="913"/>
      <c r="WFE56" s="913"/>
      <c r="WFF56" s="913"/>
      <c r="WFG56" s="913"/>
      <c r="WFH56" s="913"/>
      <c r="WFI56" s="913"/>
      <c r="WFJ56" s="913"/>
      <c r="WFK56" s="913"/>
      <c r="WFL56" s="913"/>
      <c r="WFM56" s="913"/>
      <c r="WFN56" s="913"/>
      <c r="WFO56" s="913"/>
      <c r="WFP56" s="913"/>
      <c r="WFQ56" s="913"/>
      <c r="WFR56" s="913"/>
      <c r="WFS56" s="913"/>
      <c r="WFT56" s="913"/>
      <c r="WFU56" s="913"/>
      <c r="WFV56" s="913"/>
      <c r="WFW56" s="913"/>
      <c r="WFX56" s="913"/>
      <c r="WFY56" s="913"/>
      <c r="WFZ56" s="913"/>
      <c r="WGA56" s="913"/>
      <c r="WGB56" s="913"/>
      <c r="WGC56" s="913"/>
      <c r="WGD56" s="913"/>
      <c r="WGE56" s="913"/>
      <c r="WGF56" s="913"/>
      <c r="WGG56" s="913"/>
      <c r="WGH56" s="913"/>
      <c r="WGI56" s="913"/>
      <c r="WGJ56" s="913"/>
      <c r="WGK56" s="913"/>
      <c r="WGL56" s="913"/>
      <c r="WGM56" s="913"/>
      <c r="WGN56" s="913"/>
      <c r="WGO56" s="913"/>
      <c r="WGP56" s="913"/>
      <c r="WGQ56" s="913"/>
      <c r="WGR56" s="913"/>
      <c r="WGS56" s="913"/>
      <c r="WGT56" s="913"/>
      <c r="WGU56" s="913"/>
      <c r="WGV56" s="913"/>
      <c r="WGW56" s="913"/>
      <c r="WGX56" s="913"/>
      <c r="WGY56" s="913"/>
      <c r="WGZ56" s="913"/>
      <c r="WHA56" s="913"/>
      <c r="WHB56" s="913"/>
      <c r="WHC56" s="913"/>
      <c r="WHD56" s="913"/>
      <c r="WHE56" s="913"/>
      <c r="WHF56" s="913"/>
      <c r="WHG56" s="913"/>
      <c r="WHH56" s="913"/>
      <c r="WHI56" s="913"/>
      <c r="WHJ56" s="913"/>
      <c r="WHK56" s="913"/>
      <c r="WHL56" s="913"/>
      <c r="WHM56" s="913"/>
      <c r="WHN56" s="913"/>
      <c r="WHO56" s="913"/>
      <c r="WHP56" s="913"/>
      <c r="WHQ56" s="913"/>
      <c r="WHR56" s="913"/>
      <c r="WHS56" s="913"/>
      <c r="WHT56" s="913"/>
      <c r="WHU56" s="913"/>
      <c r="WHV56" s="913"/>
      <c r="WHW56" s="913"/>
      <c r="WHX56" s="913"/>
      <c r="WHY56" s="913"/>
      <c r="WHZ56" s="913"/>
      <c r="WIA56" s="913"/>
      <c r="WIB56" s="913"/>
      <c r="WIC56" s="913"/>
      <c r="WID56" s="913"/>
      <c r="WIE56" s="913"/>
      <c r="WIF56" s="913"/>
      <c r="WIG56" s="913"/>
      <c r="WIH56" s="913"/>
      <c r="WII56" s="913"/>
      <c r="WIJ56" s="913"/>
      <c r="WIK56" s="913"/>
      <c r="WIL56" s="913"/>
      <c r="WIM56" s="913"/>
      <c r="WIN56" s="913"/>
      <c r="WIO56" s="913"/>
      <c r="WIP56" s="913"/>
      <c r="WIQ56" s="913"/>
      <c r="WIR56" s="913"/>
      <c r="WIS56" s="913"/>
      <c r="WIT56" s="913"/>
      <c r="WIU56" s="913"/>
      <c r="WIV56" s="913"/>
      <c r="WIW56" s="913"/>
      <c r="WIX56" s="913"/>
      <c r="WIY56" s="913"/>
      <c r="WIZ56" s="913"/>
      <c r="WJA56" s="913"/>
      <c r="WJB56" s="913"/>
      <c r="WJC56" s="913"/>
      <c r="WJD56" s="913"/>
      <c r="WJE56" s="913"/>
      <c r="WJF56" s="913"/>
      <c r="WJG56" s="913"/>
      <c r="WJH56" s="913"/>
      <c r="WJI56" s="913"/>
      <c r="WJJ56" s="913"/>
      <c r="WJK56" s="913"/>
      <c r="WJL56" s="913"/>
      <c r="WJM56" s="913"/>
      <c r="WJN56" s="913"/>
      <c r="WJO56" s="913"/>
      <c r="WJP56" s="913"/>
      <c r="WJQ56" s="913"/>
      <c r="WJR56" s="913"/>
      <c r="WJS56" s="913"/>
      <c r="WJT56" s="913"/>
      <c r="WJU56" s="913"/>
      <c r="WJV56" s="913"/>
      <c r="WJW56" s="913"/>
      <c r="WJX56" s="913"/>
      <c r="WJY56" s="913"/>
      <c r="WJZ56" s="913"/>
      <c r="WKA56" s="913"/>
      <c r="WKB56" s="913"/>
      <c r="WKC56" s="913"/>
      <c r="WKD56" s="913"/>
      <c r="WKE56" s="913"/>
      <c r="WKF56" s="913"/>
      <c r="WKG56" s="913"/>
      <c r="WKH56" s="913"/>
      <c r="WKI56" s="913"/>
      <c r="WKJ56" s="913"/>
      <c r="WKK56" s="913"/>
      <c r="WKL56" s="913"/>
      <c r="WKM56" s="913"/>
      <c r="WKN56" s="913"/>
      <c r="WKO56" s="913"/>
      <c r="WKP56" s="913"/>
      <c r="WKQ56" s="913"/>
      <c r="WKR56" s="913"/>
      <c r="WKS56" s="913"/>
      <c r="WKT56" s="913"/>
      <c r="WKU56" s="913"/>
      <c r="WKV56" s="913"/>
      <c r="WKW56" s="913"/>
      <c r="WKX56" s="913"/>
      <c r="WKY56" s="913"/>
      <c r="WKZ56" s="913"/>
      <c r="WLA56" s="913"/>
      <c r="WLB56" s="913"/>
      <c r="WLC56" s="913"/>
      <c r="WLD56" s="913"/>
      <c r="WLE56" s="913"/>
      <c r="WLF56" s="913"/>
      <c r="WLG56" s="913"/>
      <c r="WLH56" s="913"/>
      <c r="WLI56" s="913"/>
      <c r="WLJ56" s="913"/>
      <c r="WLK56" s="913"/>
      <c r="WLL56" s="913"/>
      <c r="WLM56" s="913"/>
      <c r="WLN56" s="913"/>
      <c r="WLO56" s="913"/>
      <c r="WLP56" s="913"/>
      <c r="WLQ56" s="913"/>
      <c r="WLR56" s="913"/>
      <c r="WLS56" s="913"/>
      <c r="WLT56" s="913"/>
      <c r="WLU56" s="913"/>
      <c r="WLV56" s="913"/>
      <c r="WLW56" s="913"/>
      <c r="WLX56" s="913"/>
      <c r="WLY56" s="913"/>
      <c r="WLZ56" s="913"/>
      <c r="WMA56" s="913"/>
      <c r="WMB56" s="913"/>
      <c r="WMC56" s="913"/>
      <c r="WMD56" s="913"/>
      <c r="WME56" s="913"/>
      <c r="WMF56" s="913"/>
      <c r="WMG56" s="913"/>
      <c r="WMH56" s="913"/>
      <c r="WMI56" s="913"/>
      <c r="WMJ56" s="913"/>
      <c r="WMK56" s="913"/>
      <c r="WML56" s="913"/>
      <c r="WMM56" s="913"/>
      <c r="WMN56" s="913"/>
      <c r="WMO56" s="913"/>
      <c r="WMP56" s="913"/>
      <c r="WMQ56" s="913"/>
      <c r="WMR56" s="913"/>
      <c r="WMS56" s="913"/>
      <c r="WMT56" s="913"/>
      <c r="WMU56" s="913"/>
      <c r="WMV56" s="913"/>
      <c r="WMW56" s="913"/>
      <c r="WMX56" s="913"/>
      <c r="WMY56" s="913"/>
      <c r="WMZ56" s="913"/>
      <c r="WNA56" s="913"/>
      <c r="WNB56" s="913"/>
      <c r="WNC56" s="913"/>
      <c r="WND56" s="913"/>
      <c r="WNE56" s="913"/>
      <c r="WNF56" s="913"/>
      <c r="WNG56" s="913"/>
      <c r="WNH56" s="913"/>
      <c r="WNI56" s="913"/>
      <c r="WNJ56" s="913"/>
      <c r="WNK56" s="913"/>
      <c r="WNL56" s="913"/>
      <c r="WNM56" s="913"/>
      <c r="WNN56" s="913"/>
      <c r="WNO56" s="913"/>
      <c r="WNP56" s="913"/>
      <c r="WNQ56" s="913"/>
      <c r="WNR56" s="913"/>
      <c r="WNS56" s="913"/>
      <c r="WNT56" s="913"/>
      <c r="WNU56" s="913"/>
      <c r="WNV56" s="913"/>
      <c r="WNW56" s="913"/>
      <c r="WNX56" s="913"/>
      <c r="WNY56" s="913"/>
      <c r="WNZ56" s="913"/>
      <c r="WOA56" s="913"/>
      <c r="WOB56" s="913"/>
      <c r="WOC56" s="913"/>
      <c r="WOD56" s="913"/>
      <c r="WOE56" s="913"/>
      <c r="WOF56" s="913"/>
      <c r="WOG56" s="913"/>
      <c r="WOH56" s="913"/>
      <c r="WOI56" s="913"/>
      <c r="WOJ56" s="913"/>
      <c r="WOK56" s="913"/>
      <c r="WOL56" s="913"/>
      <c r="WOM56" s="913"/>
      <c r="WON56" s="913"/>
      <c r="WOO56" s="913"/>
      <c r="WOP56" s="913"/>
      <c r="WOQ56" s="913"/>
      <c r="WOR56" s="913"/>
      <c r="WOS56" s="913"/>
      <c r="WOT56" s="913"/>
      <c r="WOU56" s="913"/>
      <c r="WOV56" s="913"/>
      <c r="WOW56" s="913"/>
      <c r="WOX56" s="913"/>
      <c r="WOY56" s="913"/>
      <c r="WOZ56" s="913"/>
      <c r="WPA56" s="913"/>
      <c r="WPB56" s="913"/>
      <c r="WPC56" s="913"/>
      <c r="WPD56" s="913"/>
      <c r="WPE56" s="913"/>
      <c r="WPF56" s="913"/>
      <c r="WPG56" s="913"/>
      <c r="WPH56" s="913"/>
      <c r="WPI56" s="913"/>
      <c r="WPJ56" s="913"/>
      <c r="WPK56" s="913"/>
      <c r="WPL56" s="913"/>
      <c r="WPM56" s="913"/>
      <c r="WPN56" s="913"/>
      <c r="WPO56" s="913"/>
      <c r="WPP56" s="913"/>
      <c r="WPQ56" s="913"/>
      <c r="WPR56" s="913"/>
      <c r="WPS56" s="913"/>
      <c r="WPT56" s="913"/>
      <c r="WPU56" s="913"/>
      <c r="WPV56" s="913"/>
      <c r="WPW56" s="913"/>
      <c r="WPX56" s="913"/>
      <c r="WPY56" s="913"/>
      <c r="WPZ56" s="913"/>
      <c r="WQA56" s="913"/>
      <c r="WQB56" s="913"/>
      <c r="WQC56" s="913"/>
      <c r="WQD56" s="913"/>
      <c r="WQE56" s="913"/>
      <c r="WQF56" s="913"/>
      <c r="WQG56" s="913"/>
      <c r="WQH56" s="913"/>
      <c r="WQI56" s="913"/>
      <c r="WQJ56" s="913"/>
      <c r="WQK56" s="913"/>
      <c r="WQL56" s="913"/>
      <c r="WQM56" s="913"/>
      <c r="WQN56" s="913"/>
      <c r="WQO56" s="913"/>
      <c r="WQP56" s="913"/>
      <c r="WQQ56" s="913"/>
      <c r="WQR56" s="913"/>
      <c r="WQS56" s="913"/>
      <c r="WQT56" s="913"/>
      <c r="WQU56" s="913"/>
      <c r="WQV56" s="913"/>
      <c r="WQW56" s="913"/>
      <c r="WQX56" s="913"/>
      <c r="WQY56" s="913"/>
      <c r="WQZ56" s="913"/>
      <c r="WRA56" s="913"/>
      <c r="WRB56" s="913"/>
      <c r="WRC56" s="913"/>
      <c r="WRD56" s="913"/>
      <c r="WRE56" s="913"/>
      <c r="WRF56" s="913"/>
      <c r="WRG56" s="913"/>
      <c r="WRH56" s="913"/>
      <c r="WRI56" s="913"/>
      <c r="WRJ56" s="913"/>
      <c r="WRK56" s="913"/>
      <c r="WRL56" s="913"/>
      <c r="WRM56" s="913"/>
      <c r="WRN56" s="913"/>
      <c r="WRO56" s="913"/>
      <c r="WRP56" s="913"/>
      <c r="WRQ56" s="913"/>
      <c r="WRR56" s="913"/>
      <c r="WRS56" s="913"/>
      <c r="WRT56" s="913"/>
      <c r="WRU56" s="913"/>
      <c r="WRV56" s="913"/>
      <c r="WRW56" s="913"/>
      <c r="WRX56" s="913"/>
      <c r="WRY56" s="913"/>
      <c r="WRZ56" s="913"/>
      <c r="WSA56" s="913"/>
      <c r="WSB56" s="913"/>
      <c r="WSC56" s="913"/>
      <c r="WSD56" s="913"/>
      <c r="WSE56" s="913"/>
      <c r="WSF56" s="913"/>
      <c r="WSG56" s="913"/>
      <c r="WSH56" s="913"/>
      <c r="WSI56" s="913"/>
      <c r="WSJ56" s="913"/>
      <c r="WSK56" s="913"/>
      <c r="WSL56" s="913"/>
      <c r="WSM56" s="913"/>
      <c r="WSN56" s="913"/>
      <c r="WSO56" s="913"/>
      <c r="WSP56" s="913"/>
      <c r="WSQ56" s="913"/>
      <c r="WSR56" s="913"/>
      <c r="WSS56" s="913"/>
      <c r="WST56" s="913"/>
      <c r="WSU56" s="913"/>
      <c r="WSV56" s="913"/>
      <c r="WSW56" s="913"/>
      <c r="WSX56" s="913"/>
      <c r="WSY56" s="913"/>
      <c r="WSZ56" s="913"/>
      <c r="WTA56" s="913"/>
      <c r="WTB56" s="913"/>
      <c r="WTC56" s="913"/>
      <c r="WTD56" s="913"/>
      <c r="WTE56" s="913"/>
      <c r="WTF56" s="913"/>
      <c r="WTG56" s="913"/>
      <c r="WTH56" s="913"/>
      <c r="WTI56" s="913"/>
      <c r="WTJ56" s="913"/>
      <c r="WTK56" s="913"/>
      <c r="WTL56" s="913"/>
      <c r="WTM56" s="913"/>
      <c r="WTN56" s="913"/>
      <c r="WTO56" s="913"/>
      <c r="WTP56" s="913"/>
      <c r="WTQ56" s="913"/>
      <c r="WTR56" s="913"/>
      <c r="WTS56" s="913"/>
      <c r="WTT56" s="913"/>
      <c r="WTU56" s="913"/>
      <c r="WTV56" s="913"/>
      <c r="WTW56" s="913"/>
      <c r="WTX56" s="913"/>
      <c r="WTY56" s="913"/>
      <c r="WTZ56" s="913"/>
      <c r="WUA56" s="913"/>
      <c r="WUB56" s="913"/>
      <c r="WUC56" s="913"/>
      <c r="WUD56" s="913"/>
      <c r="WUE56" s="913"/>
      <c r="WUF56" s="913"/>
      <c r="WUG56" s="913"/>
      <c r="WUH56" s="913"/>
      <c r="WUI56" s="913"/>
      <c r="WUJ56" s="913"/>
      <c r="WUK56" s="913"/>
      <c r="WUL56" s="913"/>
      <c r="WUM56" s="913"/>
      <c r="WUN56" s="913"/>
      <c r="WUO56" s="913"/>
      <c r="WUP56" s="913"/>
      <c r="WUQ56" s="913"/>
      <c r="WUR56" s="913"/>
      <c r="WUS56" s="913"/>
      <c r="WUT56" s="913"/>
      <c r="WUU56" s="913"/>
      <c r="WUV56" s="913"/>
      <c r="WUW56" s="913"/>
      <c r="WUX56" s="913"/>
      <c r="WUY56" s="913"/>
      <c r="WUZ56" s="913"/>
      <c r="WVA56" s="913"/>
      <c r="WVB56" s="913"/>
      <c r="WVC56" s="913"/>
      <c r="WVD56" s="913"/>
      <c r="WVE56" s="913"/>
      <c r="WVF56" s="913"/>
      <c r="WVG56" s="913"/>
      <c r="WVH56" s="913"/>
      <c r="WVI56" s="913"/>
      <c r="WVJ56" s="913"/>
      <c r="WVK56" s="913"/>
      <c r="WVL56" s="913"/>
      <c r="WVM56" s="913"/>
      <c r="WVN56" s="913"/>
      <c r="WVO56" s="913"/>
      <c r="WVP56" s="913"/>
      <c r="WVQ56" s="913"/>
      <c r="WVR56" s="913"/>
      <c r="WVS56" s="913"/>
      <c r="WVT56" s="913"/>
    </row>
  </sheetData>
  <mergeCells count="9">
    <mergeCell ref="B34:F34"/>
    <mergeCell ref="D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4803149606299202" right="0.511811023622047" top="0.511811023622047" bottom="0.511811023622047" header="0" footer="0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98C7-40A6-44DF-B27E-5697B9FB1E93}">
  <sheetPr>
    <tabColor theme="9" tint="0.59999389629810485"/>
    <pageSetUpPr fitToPage="1"/>
  </sheetPr>
  <dimension ref="A1:L46"/>
  <sheetViews>
    <sheetView view="pageBreakPreview" topLeftCell="A19" zoomScaleNormal="100" zoomScaleSheetLayoutView="100" workbookViewId="0">
      <selection activeCell="H1" sqref="H1:K1048576"/>
    </sheetView>
  </sheetViews>
  <sheetFormatPr defaultColWidth="9.44140625" defaultRowHeight="13.8" x14ac:dyDescent="0.25"/>
  <cols>
    <col min="1" max="1" width="8.109375" style="825" customWidth="1"/>
    <col min="2" max="2" width="10.33203125" style="721" customWidth="1"/>
    <col min="3" max="3" width="53.44140625" style="723" customWidth="1"/>
    <col min="4" max="4" width="8.109375" style="727" customWidth="1"/>
    <col min="5" max="5" width="9.109375" style="727" customWidth="1"/>
    <col min="6" max="6" width="11.33203125" style="728" customWidth="1"/>
    <col min="7" max="7" width="17" style="728" customWidth="1"/>
    <col min="8" max="8" width="12.6640625" style="723" hidden="1" customWidth="1"/>
    <col min="9" max="9" width="16.33203125" style="723" hidden="1" customWidth="1"/>
    <col min="10" max="10" width="13.5546875" style="723" hidden="1" customWidth="1"/>
    <col min="11" max="11" width="21" style="723" hidden="1" customWidth="1"/>
    <col min="12" max="254" width="9.44140625" style="723"/>
    <col min="255" max="255" width="3.88671875" style="723" bestFit="1" customWidth="1"/>
    <col min="256" max="256" width="8.6640625" style="723" customWidth="1"/>
    <col min="257" max="257" width="48.6640625" style="723" customWidth="1"/>
    <col min="258" max="258" width="11.5546875" style="723" customWidth="1"/>
    <col min="259" max="259" width="13.33203125" style="723" customWidth="1"/>
    <col min="260" max="260" width="11.44140625" style="723" customWidth="1"/>
    <col min="261" max="261" width="17" style="723" customWidth="1"/>
    <col min="262" max="262" width="0" style="723" hidden="1" customWidth="1"/>
    <col min="263" max="263" width="16.33203125" style="723" customWidth="1"/>
    <col min="264" max="264" width="13.5546875" style="723" bestFit="1" customWidth="1"/>
    <col min="265" max="265" width="9.44140625" style="723"/>
    <col min="266" max="266" width="13.5546875" style="723" bestFit="1" customWidth="1"/>
    <col min="267" max="510" width="9.44140625" style="723"/>
    <col min="511" max="511" width="3.88671875" style="723" bestFit="1" customWidth="1"/>
    <col min="512" max="512" width="8.6640625" style="723" customWidth="1"/>
    <col min="513" max="513" width="48.6640625" style="723" customWidth="1"/>
    <col min="514" max="514" width="11.5546875" style="723" customWidth="1"/>
    <col min="515" max="515" width="13.33203125" style="723" customWidth="1"/>
    <col min="516" max="516" width="11.44140625" style="723" customWidth="1"/>
    <col min="517" max="517" width="17" style="723" customWidth="1"/>
    <col min="518" max="518" width="0" style="723" hidden="1" customWidth="1"/>
    <col min="519" max="519" width="16.33203125" style="723" customWidth="1"/>
    <col min="520" max="520" width="13.5546875" style="723" bestFit="1" customWidth="1"/>
    <col min="521" max="521" width="9.44140625" style="723"/>
    <col min="522" max="522" width="13.5546875" style="723" bestFit="1" customWidth="1"/>
    <col min="523" max="766" width="9.44140625" style="723"/>
    <col min="767" max="767" width="3.88671875" style="723" bestFit="1" customWidth="1"/>
    <col min="768" max="768" width="8.6640625" style="723" customWidth="1"/>
    <col min="769" max="769" width="48.6640625" style="723" customWidth="1"/>
    <col min="770" max="770" width="11.5546875" style="723" customWidth="1"/>
    <col min="771" max="771" width="13.33203125" style="723" customWidth="1"/>
    <col min="772" max="772" width="11.44140625" style="723" customWidth="1"/>
    <col min="773" max="773" width="17" style="723" customWidth="1"/>
    <col min="774" max="774" width="0" style="723" hidden="1" customWidth="1"/>
    <col min="775" max="775" width="16.33203125" style="723" customWidth="1"/>
    <col min="776" max="776" width="13.5546875" style="723" bestFit="1" customWidth="1"/>
    <col min="777" max="777" width="9.44140625" style="723"/>
    <col min="778" max="778" width="13.5546875" style="723" bestFit="1" customWidth="1"/>
    <col min="779" max="1022" width="9.44140625" style="723"/>
    <col min="1023" max="1023" width="3.88671875" style="723" bestFit="1" customWidth="1"/>
    <col min="1024" max="1024" width="8.6640625" style="723" customWidth="1"/>
    <col min="1025" max="1025" width="48.6640625" style="723" customWidth="1"/>
    <col min="1026" max="1026" width="11.5546875" style="723" customWidth="1"/>
    <col min="1027" max="1027" width="13.33203125" style="723" customWidth="1"/>
    <col min="1028" max="1028" width="11.44140625" style="723" customWidth="1"/>
    <col min="1029" max="1029" width="17" style="723" customWidth="1"/>
    <col min="1030" max="1030" width="0" style="723" hidden="1" customWidth="1"/>
    <col min="1031" max="1031" width="16.33203125" style="723" customWidth="1"/>
    <col min="1032" max="1032" width="13.5546875" style="723" bestFit="1" customWidth="1"/>
    <col min="1033" max="1033" width="9.44140625" style="723"/>
    <col min="1034" max="1034" width="13.5546875" style="723" bestFit="1" customWidth="1"/>
    <col min="1035" max="1278" width="9.44140625" style="723"/>
    <col min="1279" max="1279" width="3.88671875" style="723" bestFit="1" customWidth="1"/>
    <col min="1280" max="1280" width="8.6640625" style="723" customWidth="1"/>
    <col min="1281" max="1281" width="48.6640625" style="723" customWidth="1"/>
    <col min="1282" max="1282" width="11.5546875" style="723" customWidth="1"/>
    <col min="1283" max="1283" width="13.33203125" style="723" customWidth="1"/>
    <col min="1284" max="1284" width="11.44140625" style="723" customWidth="1"/>
    <col min="1285" max="1285" width="17" style="723" customWidth="1"/>
    <col min="1286" max="1286" width="0" style="723" hidden="1" customWidth="1"/>
    <col min="1287" max="1287" width="16.33203125" style="723" customWidth="1"/>
    <col min="1288" max="1288" width="13.5546875" style="723" bestFit="1" customWidth="1"/>
    <col min="1289" max="1289" width="9.44140625" style="723"/>
    <col min="1290" max="1290" width="13.5546875" style="723" bestFit="1" customWidth="1"/>
    <col min="1291" max="1534" width="9.44140625" style="723"/>
    <col min="1535" max="1535" width="3.88671875" style="723" bestFit="1" customWidth="1"/>
    <col min="1536" max="1536" width="8.6640625" style="723" customWidth="1"/>
    <col min="1537" max="1537" width="48.6640625" style="723" customWidth="1"/>
    <col min="1538" max="1538" width="11.5546875" style="723" customWidth="1"/>
    <col min="1539" max="1539" width="13.33203125" style="723" customWidth="1"/>
    <col min="1540" max="1540" width="11.44140625" style="723" customWidth="1"/>
    <col min="1541" max="1541" width="17" style="723" customWidth="1"/>
    <col min="1542" max="1542" width="0" style="723" hidden="1" customWidth="1"/>
    <col min="1543" max="1543" width="16.33203125" style="723" customWidth="1"/>
    <col min="1544" max="1544" width="13.5546875" style="723" bestFit="1" customWidth="1"/>
    <col min="1545" max="1545" width="9.44140625" style="723"/>
    <col min="1546" max="1546" width="13.5546875" style="723" bestFit="1" customWidth="1"/>
    <col min="1547" max="1790" width="9.44140625" style="723"/>
    <col min="1791" max="1791" width="3.88671875" style="723" bestFit="1" customWidth="1"/>
    <col min="1792" max="1792" width="8.6640625" style="723" customWidth="1"/>
    <col min="1793" max="1793" width="48.6640625" style="723" customWidth="1"/>
    <col min="1794" max="1794" width="11.5546875" style="723" customWidth="1"/>
    <col min="1795" max="1795" width="13.33203125" style="723" customWidth="1"/>
    <col min="1796" max="1796" width="11.44140625" style="723" customWidth="1"/>
    <col min="1797" max="1797" width="17" style="723" customWidth="1"/>
    <col min="1798" max="1798" width="0" style="723" hidden="1" customWidth="1"/>
    <col min="1799" max="1799" width="16.33203125" style="723" customWidth="1"/>
    <col min="1800" max="1800" width="13.5546875" style="723" bestFit="1" customWidth="1"/>
    <col min="1801" max="1801" width="9.44140625" style="723"/>
    <col min="1802" max="1802" width="13.5546875" style="723" bestFit="1" customWidth="1"/>
    <col min="1803" max="2046" width="9.44140625" style="723"/>
    <col min="2047" max="2047" width="3.88671875" style="723" bestFit="1" customWidth="1"/>
    <col min="2048" max="2048" width="8.6640625" style="723" customWidth="1"/>
    <col min="2049" max="2049" width="48.6640625" style="723" customWidth="1"/>
    <col min="2050" max="2050" width="11.5546875" style="723" customWidth="1"/>
    <col min="2051" max="2051" width="13.33203125" style="723" customWidth="1"/>
    <col min="2052" max="2052" width="11.44140625" style="723" customWidth="1"/>
    <col min="2053" max="2053" width="17" style="723" customWidth="1"/>
    <col min="2054" max="2054" width="0" style="723" hidden="1" customWidth="1"/>
    <col min="2055" max="2055" width="16.33203125" style="723" customWidth="1"/>
    <col min="2056" max="2056" width="13.5546875" style="723" bestFit="1" customWidth="1"/>
    <col min="2057" max="2057" width="9.44140625" style="723"/>
    <col min="2058" max="2058" width="13.5546875" style="723" bestFit="1" customWidth="1"/>
    <col min="2059" max="2302" width="9.44140625" style="723"/>
    <col min="2303" max="2303" width="3.88671875" style="723" bestFit="1" customWidth="1"/>
    <col min="2304" max="2304" width="8.6640625" style="723" customWidth="1"/>
    <col min="2305" max="2305" width="48.6640625" style="723" customWidth="1"/>
    <col min="2306" max="2306" width="11.5546875" style="723" customWidth="1"/>
    <col min="2307" max="2307" width="13.33203125" style="723" customWidth="1"/>
    <col min="2308" max="2308" width="11.44140625" style="723" customWidth="1"/>
    <col min="2309" max="2309" width="17" style="723" customWidth="1"/>
    <col min="2310" max="2310" width="0" style="723" hidden="1" customWidth="1"/>
    <col min="2311" max="2311" width="16.33203125" style="723" customWidth="1"/>
    <col min="2312" max="2312" width="13.5546875" style="723" bestFit="1" customWidth="1"/>
    <col min="2313" max="2313" width="9.44140625" style="723"/>
    <col min="2314" max="2314" width="13.5546875" style="723" bestFit="1" customWidth="1"/>
    <col min="2315" max="2558" width="9.44140625" style="723"/>
    <col min="2559" max="2559" width="3.88671875" style="723" bestFit="1" customWidth="1"/>
    <col min="2560" max="2560" width="8.6640625" style="723" customWidth="1"/>
    <col min="2561" max="2561" width="48.6640625" style="723" customWidth="1"/>
    <col min="2562" max="2562" width="11.5546875" style="723" customWidth="1"/>
    <col min="2563" max="2563" width="13.33203125" style="723" customWidth="1"/>
    <col min="2564" max="2564" width="11.44140625" style="723" customWidth="1"/>
    <col min="2565" max="2565" width="17" style="723" customWidth="1"/>
    <col min="2566" max="2566" width="0" style="723" hidden="1" customWidth="1"/>
    <col min="2567" max="2567" width="16.33203125" style="723" customWidth="1"/>
    <col min="2568" max="2568" width="13.5546875" style="723" bestFit="1" customWidth="1"/>
    <col min="2569" max="2569" width="9.44140625" style="723"/>
    <col min="2570" max="2570" width="13.5546875" style="723" bestFit="1" customWidth="1"/>
    <col min="2571" max="2814" width="9.44140625" style="723"/>
    <col min="2815" max="2815" width="3.88671875" style="723" bestFit="1" customWidth="1"/>
    <col min="2816" max="2816" width="8.6640625" style="723" customWidth="1"/>
    <col min="2817" max="2817" width="48.6640625" style="723" customWidth="1"/>
    <col min="2818" max="2818" width="11.5546875" style="723" customWidth="1"/>
    <col min="2819" max="2819" width="13.33203125" style="723" customWidth="1"/>
    <col min="2820" max="2820" width="11.44140625" style="723" customWidth="1"/>
    <col min="2821" max="2821" width="17" style="723" customWidth="1"/>
    <col min="2822" max="2822" width="0" style="723" hidden="1" customWidth="1"/>
    <col min="2823" max="2823" width="16.33203125" style="723" customWidth="1"/>
    <col min="2824" max="2824" width="13.5546875" style="723" bestFit="1" customWidth="1"/>
    <col min="2825" max="2825" width="9.44140625" style="723"/>
    <col min="2826" max="2826" width="13.5546875" style="723" bestFit="1" customWidth="1"/>
    <col min="2827" max="3070" width="9.44140625" style="723"/>
    <col min="3071" max="3071" width="3.88671875" style="723" bestFit="1" customWidth="1"/>
    <col min="3072" max="3072" width="8.6640625" style="723" customWidth="1"/>
    <col min="3073" max="3073" width="48.6640625" style="723" customWidth="1"/>
    <col min="3074" max="3074" width="11.5546875" style="723" customWidth="1"/>
    <col min="3075" max="3075" width="13.33203125" style="723" customWidth="1"/>
    <col min="3076" max="3076" width="11.44140625" style="723" customWidth="1"/>
    <col min="3077" max="3077" width="17" style="723" customWidth="1"/>
    <col min="3078" max="3078" width="0" style="723" hidden="1" customWidth="1"/>
    <col min="3079" max="3079" width="16.33203125" style="723" customWidth="1"/>
    <col min="3080" max="3080" width="13.5546875" style="723" bestFit="1" customWidth="1"/>
    <col min="3081" max="3081" width="9.44140625" style="723"/>
    <col min="3082" max="3082" width="13.5546875" style="723" bestFit="1" customWidth="1"/>
    <col min="3083" max="3326" width="9.44140625" style="723"/>
    <col min="3327" max="3327" width="3.88671875" style="723" bestFit="1" customWidth="1"/>
    <col min="3328" max="3328" width="8.6640625" style="723" customWidth="1"/>
    <col min="3329" max="3329" width="48.6640625" style="723" customWidth="1"/>
    <col min="3330" max="3330" width="11.5546875" style="723" customWidth="1"/>
    <col min="3331" max="3331" width="13.33203125" style="723" customWidth="1"/>
    <col min="3332" max="3332" width="11.44140625" style="723" customWidth="1"/>
    <col min="3333" max="3333" width="17" style="723" customWidth="1"/>
    <col min="3334" max="3334" width="0" style="723" hidden="1" customWidth="1"/>
    <col min="3335" max="3335" width="16.33203125" style="723" customWidth="1"/>
    <col min="3336" max="3336" width="13.5546875" style="723" bestFit="1" customWidth="1"/>
    <col min="3337" max="3337" width="9.44140625" style="723"/>
    <col min="3338" max="3338" width="13.5546875" style="723" bestFit="1" customWidth="1"/>
    <col min="3339" max="3582" width="9.44140625" style="723"/>
    <col min="3583" max="3583" width="3.88671875" style="723" bestFit="1" customWidth="1"/>
    <col min="3584" max="3584" width="8.6640625" style="723" customWidth="1"/>
    <col min="3585" max="3585" width="48.6640625" style="723" customWidth="1"/>
    <col min="3586" max="3586" width="11.5546875" style="723" customWidth="1"/>
    <col min="3587" max="3587" width="13.33203125" style="723" customWidth="1"/>
    <col min="3588" max="3588" width="11.44140625" style="723" customWidth="1"/>
    <col min="3589" max="3589" width="17" style="723" customWidth="1"/>
    <col min="3590" max="3590" width="0" style="723" hidden="1" customWidth="1"/>
    <col min="3591" max="3591" width="16.33203125" style="723" customWidth="1"/>
    <col min="3592" max="3592" width="13.5546875" style="723" bestFit="1" customWidth="1"/>
    <col min="3593" max="3593" width="9.44140625" style="723"/>
    <col min="3594" max="3594" width="13.5546875" style="723" bestFit="1" customWidth="1"/>
    <col min="3595" max="3838" width="9.44140625" style="723"/>
    <col min="3839" max="3839" width="3.88671875" style="723" bestFit="1" customWidth="1"/>
    <col min="3840" max="3840" width="8.6640625" style="723" customWidth="1"/>
    <col min="3841" max="3841" width="48.6640625" style="723" customWidth="1"/>
    <col min="3842" max="3842" width="11.5546875" style="723" customWidth="1"/>
    <col min="3843" max="3843" width="13.33203125" style="723" customWidth="1"/>
    <col min="3844" max="3844" width="11.44140625" style="723" customWidth="1"/>
    <col min="3845" max="3845" width="17" style="723" customWidth="1"/>
    <col min="3846" max="3846" width="0" style="723" hidden="1" customWidth="1"/>
    <col min="3847" max="3847" width="16.33203125" style="723" customWidth="1"/>
    <col min="3848" max="3848" width="13.5546875" style="723" bestFit="1" customWidth="1"/>
    <col min="3849" max="3849" width="9.44140625" style="723"/>
    <col min="3850" max="3850" width="13.5546875" style="723" bestFit="1" customWidth="1"/>
    <col min="3851" max="4094" width="9.44140625" style="723"/>
    <col min="4095" max="4095" width="3.88671875" style="723" bestFit="1" customWidth="1"/>
    <col min="4096" max="4096" width="8.6640625" style="723" customWidth="1"/>
    <col min="4097" max="4097" width="48.6640625" style="723" customWidth="1"/>
    <col min="4098" max="4098" width="11.5546875" style="723" customWidth="1"/>
    <col min="4099" max="4099" width="13.33203125" style="723" customWidth="1"/>
    <col min="4100" max="4100" width="11.44140625" style="723" customWidth="1"/>
    <col min="4101" max="4101" width="17" style="723" customWidth="1"/>
    <col min="4102" max="4102" width="0" style="723" hidden="1" customWidth="1"/>
    <col min="4103" max="4103" width="16.33203125" style="723" customWidth="1"/>
    <col min="4104" max="4104" width="13.5546875" style="723" bestFit="1" customWidth="1"/>
    <col min="4105" max="4105" width="9.44140625" style="723"/>
    <col min="4106" max="4106" width="13.5546875" style="723" bestFit="1" customWidth="1"/>
    <col min="4107" max="4350" width="9.44140625" style="723"/>
    <col min="4351" max="4351" width="3.88671875" style="723" bestFit="1" customWidth="1"/>
    <col min="4352" max="4352" width="8.6640625" style="723" customWidth="1"/>
    <col min="4353" max="4353" width="48.6640625" style="723" customWidth="1"/>
    <col min="4354" max="4354" width="11.5546875" style="723" customWidth="1"/>
    <col min="4355" max="4355" width="13.33203125" style="723" customWidth="1"/>
    <col min="4356" max="4356" width="11.44140625" style="723" customWidth="1"/>
    <col min="4357" max="4357" width="17" style="723" customWidth="1"/>
    <col min="4358" max="4358" width="0" style="723" hidden="1" customWidth="1"/>
    <col min="4359" max="4359" width="16.33203125" style="723" customWidth="1"/>
    <col min="4360" max="4360" width="13.5546875" style="723" bestFit="1" customWidth="1"/>
    <col min="4361" max="4361" width="9.44140625" style="723"/>
    <col min="4362" max="4362" width="13.5546875" style="723" bestFit="1" customWidth="1"/>
    <col min="4363" max="4606" width="9.44140625" style="723"/>
    <col min="4607" max="4607" width="3.88671875" style="723" bestFit="1" customWidth="1"/>
    <col min="4608" max="4608" width="8.6640625" style="723" customWidth="1"/>
    <col min="4609" max="4609" width="48.6640625" style="723" customWidth="1"/>
    <col min="4610" max="4610" width="11.5546875" style="723" customWidth="1"/>
    <col min="4611" max="4611" width="13.33203125" style="723" customWidth="1"/>
    <col min="4612" max="4612" width="11.44140625" style="723" customWidth="1"/>
    <col min="4613" max="4613" width="17" style="723" customWidth="1"/>
    <col min="4614" max="4614" width="0" style="723" hidden="1" customWidth="1"/>
    <col min="4615" max="4615" width="16.33203125" style="723" customWidth="1"/>
    <col min="4616" max="4616" width="13.5546875" style="723" bestFit="1" customWidth="1"/>
    <col min="4617" max="4617" width="9.44140625" style="723"/>
    <col min="4618" max="4618" width="13.5546875" style="723" bestFit="1" customWidth="1"/>
    <col min="4619" max="4862" width="9.44140625" style="723"/>
    <col min="4863" max="4863" width="3.88671875" style="723" bestFit="1" customWidth="1"/>
    <col min="4864" max="4864" width="8.6640625" style="723" customWidth="1"/>
    <col min="4865" max="4865" width="48.6640625" style="723" customWidth="1"/>
    <col min="4866" max="4866" width="11.5546875" style="723" customWidth="1"/>
    <col min="4867" max="4867" width="13.33203125" style="723" customWidth="1"/>
    <col min="4868" max="4868" width="11.44140625" style="723" customWidth="1"/>
    <col min="4869" max="4869" width="17" style="723" customWidth="1"/>
    <col min="4870" max="4870" width="0" style="723" hidden="1" customWidth="1"/>
    <col min="4871" max="4871" width="16.33203125" style="723" customWidth="1"/>
    <col min="4872" max="4872" width="13.5546875" style="723" bestFit="1" customWidth="1"/>
    <col min="4873" max="4873" width="9.44140625" style="723"/>
    <col min="4874" max="4874" width="13.5546875" style="723" bestFit="1" customWidth="1"/>
    <col min="4875" max="5118" width="9.44140625" style="723"/>
    <col min="5119" max="5119" width="3.88671875" style="723" bestFit="1" customWidth="1"/>
    <col min="5120" max="5120" width="8.6640625" style="723" customWidth="1"/>
    <col min="5121" max="5121" width="48.6640625" style="723" customWidth="1"/>
    <col min="5122" max="5122" width="11.5546875" style="723" customWidth="1"/>
    <col min="5123" max="5123" width="13.33203125" style="723" customWidth="1"/>
    <col min="5124" max="5124" width="11.44140625" style="723" customWidth="1"/>
    <col min="5125" max="5125" width="17" style="723" customWidth="1"/>
    <col min="5126" max="5126" width="0" style="723" hidden="1" customWidth="1"/>
    <col min="5127" max="5127" width="16.33203125" style="723" customWidth="1"/>
    <col min="5128" max="5128" width="13.5546875" style="723" bestFit="1" customWidth="1"/>
    <col min="5129" max="5129" width="9.44140625" style="723"/>
    <col min="5130" max="5130" width="13.5546875" style="723" bestFit="1" customWidth="1"/>
    <col min="5131" max="5374" width="9.44140625" style="723"/>
    <col min="5375" max="5375" width="3.88671875" style="723" bestFit="1" customWidth="1"/>
    <col min="5376" max="5376" width="8.6640625" style="723" customWidth="1"/>
    <col min="5377" max="5377" width="48.6640625" style="723" customWidth="1"/>
    <col min="5378" max="5378" width="11.5546875" style="723" customWidth="1"/>
    <col min="5379" max="5379" width="13.33203125" style="723" customWidth="1"/>
    <col min="5380" max="5380" width="11.44140625" style="723" customWidth="1"/>
    <col min="5381" max="5381" width="17" style="723" customWidth="1"/>
    <col min="5382" max="5382" width="0" style="723" hidden="1" customWidth="1"/>
    <col min="5383" max="5383" width="16.33203125" style="723" customWidth="1"/>
    <col min="5384" max="5384" width="13.5546875" style="723" bestFit="1" customWidth="1"/>
    <col min="5385" max="5385" width="9.44140625" style="723"/>
    <col min="5386" max="5386" width="13.5546875" style="723" bestFit="1" customWidth="1"/>
    <col min="5387" max="5630" width="9.44140625" style="723"/>
    <col min="5631" max="5631" width="3.88671875" style="723" bestFit="1" customWidth="1"/>
    <col min="5632" max="5632" width="8.6640625" style="723" customWidth="1"/>
    <col min="5633" max="5633" width="48.6640625" style="723" customWidth="1"/>
    <col min="5634" max="5634" width="11.5546875" style="723" customWidth="1"/>
    <col min="5635" max="5635" width="13.33203125" style="723" customWidth="1"/>
    <col min="5636" max="5636" width="11.44140625" style="723" customWidth="1"/>
    <col min="5637" max="5637" width="17" style="723" customWidth="1"/>
    <col min="5638" max="5638" width="0" style="723" hidden="1" customWidth="1"/>
    <col min="5639" max="5639" width="16.33203125" style="723" customWidth="1"/>
    <col min="5640" max="5640" width="13.5546875" style="723" bestFit="1" customWidth="1"/>
    <col min="5641" max="5641" width="9.44140625" style="723"/>
    <col min="5642" max="5642" width="13.5546875" style="723" bestFit="1" customWidth="1"/>
    <col min="5643" max="5886" width="9.44140625" style="723"/>
    <col min="5887" max="5887" width="3.88671875" style="723" bestFit="1" customWidth="1"/>
    <col min="5888" max="5888" width="8.6640625" style="723" customWidth="1"/>
    <col min="5889" max="5889" width="48.6640625" style="723" customWidth="1"/>
    <col min="5890" max="5890" width="11.5546875" style="723" customWidth="1"/>
    <col min="5891" max="5891" width="13.33203125" style="723" customWidth="1"/>
    <col min="5892" max="5892" width="11.44140625" style="723" customWidth="1"/>
    <col min="5893" max="5893" width="17" style="723" customWidth="1"/>
    <col min="5894" max="5894" width="0" style="723" hidden="1" customWidth="1"/>
    <col min="5895" max="5895" width="16.33203125" style="723" customWidth="1"/>
    <col min="5896" max="5896" width="13.5546875" style="723" bestFit="1" customWidth="1"/>
    <col min="5897" max="5897" width="9.44140625" style="723"/>
    <col min="5898" max="5898" width="13.5546875" style="723" bestFit="1" customWidth="1"/>
    <col min="5899" max="6142" width="9.44140625" style="723"/>
    <col min="6143" max="6143" width="3.88671875" style="723" bestFit="1" customWidth="1"/>
    <col min="6144" max="6144" width="8.6640625" style="723" customWidth="1"/>
    <col min="6145" max="6145" width="48.6640625" style="723" customWidth="1"/>
    <col min="6146" max="6146" width="11.5546875" style="723" customWidth="1"/>
    <col min="6147" max="6147" width="13.33203125" style="723" customWidth="1"/>
    <col min="6148" max="6148" width="11.44140625" style="723" customWidth="1"/>
    <col min="6149" max="6149" width="17" style="723" customWidth="1"/>
    <col min="6150" max="6150" width="0" style="723" hidden="1" customWidth="1"/>
    <col min="6151" max="6151" width="16.33203125" style="723" customWidth="1"/>
    <col min="6152" max="6152" width="13.5546875" style="723" bestFit="1" customWidth="1"/>
    <col min="6153" max="6153" width="9.44140625" style="723"/>
    <col min="6154" max="6154" width="13.5546875" style="723" bestFit="1" customWidth="1"/>
    <col min="6155" max="6398" width="9.44140625" style="723"/>
    <col min="6399" max="6399" width="3.88671875" style="723" bestFit="1" customWidth="1"/>
    <col min="6400" max="6400" width="8.6640625" style="723" customWidth="1"/>
    <col min="6401" max="6401" width="48.6640625" style="723" customWidth="1"/>
    <col min="6402" max="6402" width="11.5546875" style="723" customWidth="1"/>
    <col min="6403" max="6403" width="13.33203125" style="723" customWidth="1"/>
    <col min="6404" max="6404" width="11.44140625" style="723" customWidth="1"/>
    <col min="6405" max="6405" width="17" style="723" customWidth="1"/>
    <col min="6406" max="6406" width="0" style="723" hidden="1" customWidth="1"/>
    <col min="6407" max="6407" width="16.33203125" style="723" customWidth="1"/>
    <col min="6408" max="6408" width="13.5546875" style="723" bestFit="1" customWidth="1"/>
    <col min="6409" max="6409" width="9.44140625" style="723"/>
    <col min="6410" max="6410" width="13.5546875" style="723" bestFit="1" customWidth="1"/>
    <col min="6411" max="6654" width="9.44140625" style="723"/>
    <col min="6655" max="6655" width="3.88671875" style="723" bestFit="1" customWidth="1"/>
    <col min="6656" max="6656" width="8.6640625" style="723" customWidth="1"/>
    <col min="6657" max="6657" width="48.6640625" style="723" customWidth="1"/>
    <col min="6658" max="6658" width="11.5546875" style="723" customWidth="1"/>
    <col min="6659" max="6659" width="13.33203125" style="723" customWidth="1"/>
    <col min="6660" max="6660" width="11.44140625" style="723" customWidth="1"/>
    <col min="6661" max="6661" width="17" style="723" customWidth="1"/>
    <col min="6662" max="6662" width="0" style="723" hidden="1" customWidth="1"/>
    <col min="6663" max="6663" width="16.33203125" style="723" customWidth="1"/>
    <col min="6664" max="6664" width="13.5546875" style="723" bestFit="1" customWidth="1"/>
    <col min="6665" max="6665" width="9.44140625" style="723"/>
    <col min="6666" max="6666" width="13.5546875" style="723" bestFit="1" customWidth="1"/>
    <col min="6667" max="6910" width="9.44140625" style="723"/>
    <col min="6911" max="6911" width="3.88671875" style="723" bestFit="1" customWidth="1"/>
    <col min="6912" max="6912" width="8.6640625" style="723" customWidth="1"/>
    <col min="6913" max="6913" width="48.6640625" style="723" customWidth="1"/>
    <col min="6914" max="6914" width="11.5546875" style="723" customWidth="1"/>
    <col min="6915" max="6915" width="13.33203125" style="723" customWidth="1"/>
    <col min="6916" max="6916" width="11.44140625" style="723" customWidth="1"/>
    <col min="6917" max="6917" width="17" style="723" customWidth="1"/>
    <col min="6918" max="6918" width="0" style="723" hidden="1" customWidth="1"/>
    <col min="6919" max="6919" width="16.33203125" style="723" customWidth="1"/>
    <col min="6920" max="6920" width="13.5546875" style="723" bestFit="1" customWidth="1"/>
    <col min="6921" max="6921" width="9.44140625" style="723"/>
    <col min="6922" max="6922" width="13.5546875" style="723" bestFit="1" customWidth="1"/>
    <col min="6923" max="7166" width="9.44140625" style="723"/>
    <col min="7167" max="7167" width="3.88671875" style="723" bestFit="1" customWidth="1"/>
    <col min="7168" max="7168" width="8.6640625" style="723" customWidth="1"/>
    <col min="7169" max="7169" width="48.6640625" style="723" customWidth="1"/>
    <col min="7170" max="7170" width="11.5546875" style="723" customWidth="1"/>
    <col min="7171" max="7171" width="13.33203125" style="723" customWidth="1"/>
    <col min="7172" max="7172" width="11.44140625" style="723" customWidth="1"/>
    <col min="7173" max="7173" width="17" style="723" customWidth="1"/>
    <col min="7174" max="7174" width="0" style="723" hidden="1" customWidth="1"/>
    <col min="7175" max="7175" width="16.33203125" style="723" customWidth="1"/>
    <col min="7176" max="7176" width="13.5546875" style="723" bestFit="1" customWidth="1"/>
    <col min="7177" max="7177" width="9.44140625" style="723"/>
    <col min="7178" max="7178" width="13.5546875" style="723" bestFit="1" customWidth="1"/>
    <col min="7179" max="7422" width="9.44140625" style="723"/>
    <col min="7423" max="7423" width="3.88671875" style="723" bestFit="1" customWidth="1"/>
    <col min="7424" max="7424" width="8.6640625" style="723" customWidth="1"/>
    <col min="7425" max="7425" width="48.6640625" style="723" customWidth="1"/>
    <col min="7426" max="7426" width="11.5546875" style="723" customWidth="1"/>
    <col min="7427" max="7427" width="13.33203125" style="723" customWidth="1"/>
    <col min="7428" max="7428" width="11.44140625" style="723" customWidth="1"/>
    <col min="7429" max="7429" width="17" style="723" customWidth="1"/>
    <col min="7430" max="7430" width="0" style="723" hidden="1" customWidth="1"/>
    <col min="7431" max="7431" width="16.33203125" style="723" customWidth="1"/>
    <col min="7432" max="7432" width="13.5546875" style="723" bestFit="1" customWidth="1"/>
    <col min="7433" max="7433" width="9.44140625" style="723"/>
    <col min="7434" max="7434" width="13.5546875" style="723" bestFit="1" customWidth="1"/>
    <col min="7435" max="7678" width="9.44140625" style="723"/>
    <col min="7679" max="7679" width="3.88671875" style="723" bestFit="1" customWidth="1"/>
    <col min="7680" max="7680" width="8.6640625" style="723" customWidth="1"/>
    <col min="7681" max="7681" width="48.6640625" style="723" customWidth="1"/>
    <col min="7682" max="7682" width="11.5546875" style="723" customWidth="1"/>
    <col min="7683" max="7683" width="13.33203125" style="723" customWidth="1"/>
    <col min="7684" max="7684" width="11.44140625" style="723" customWidth="1"/>
    <col min="7685" max="7685" width="17" style="723" customWidth="1"/>
    <col min="7686" max="7686" width="0" style="723" hidden="1" customWidth="1"/>
    <col min="7687" max="7687" width="16.33203125" style="723" customWidth="1"/>
    <col min="7688" max="7688" width="13.5546875" style="723" bestFit="1" customWidth="1"/>
    <col min="7689" max="7689" width="9.44140625" style="723"/>
    <col min="7690" max="7690" width="13.5546875" style="723" bestFit="1" customWidth="1"/>
    <col min="7691" max="7934" width="9.44140625" style="723"/>
    <col min="7935" max="7935" width="3.88671875" style="723" bestFit="1" customWidth="1"/>
    <col min="7936" max="7936" width="8.6640625" style="723" customWidth="1"/>
    <col min="7937" max="7937" width="48.6640625" style="723" customWidth="1"/>
    <col min="7938" max="7938" width="11.5546875" style="723" customWidth="1"/>
    <col min="7939" max="7939" width="13.33203125" style="723" customWidth="1"/>
    <col min="7940" max="7940" width="11.44140625" style="723" customWidth="1"/>
    <col min="7941" max="7941" width="17" style="723" customWidth="1"/>
    <col min="7942" max="7942" width="0" style="723" hidden="1" customWidth="1"/>
    <col min="7943" max="7943" width="16.33203125" style="723" customWidth="1"/>
    <col min="7944" max="7944" width="13.5546875" style="723" bestFit="1" customWidth="1"/>
    <col min="7945" max="7945" width="9.44140625" style="723"/>
    <col min="7946" max="7946" width="13.5546875" style="723" bestFit="1" customWidth="1"/>
    <col min="7947" max="8190" width="9.44140625" style="723"/>
    <col min="8191" max="8191" width="3.88671875" style="723" bestFit="1" customWidth="1"/>
    <col min="8192" max="8192" width="8.6640625" style="723" customWidth="1"/>
    <col min="8193" max="8193" width="48.6640625" style="723" customWidth="1"/>
    <col min="8194" max="8194" width="11.5546875" style="723" customWidth="1"/>
    <col min="8195" max="8195" width="13.33203125" style="723" customWidth="1"/>
    <col min="8196" max="8196" width="11.44140625" style="723" customWidth="1"/>
    <col min="8197" max="8197" width="17" style="723" customWidth="1"/>
    <col min="8198" max="8198" width="0" style="723" hidden="1" customWidth="1"/>
    <col min="8199" max="8199" width="16.33203125" style="723" customWidth="1"/>
    <col min="8200" max="8200" width="13.5546875" style="723" bestFit="1" customWidth="1"/>
    <col min="8201" max="8201" width="9.44140625" style="723"/>
    <col min="8202" max="8202" width="13.5546875" style="723" bestFit="1" customWidth="1"/>
    <col min="8203" max="8446" width="9.44140625" style="723"/>
    <col min="8447" max="8447" width="3.88671875" style="723" bestFit="1" customWidth="1"/>
    <col min="8448" max="8448" width="8.6640625" style="723" customWidth="1"/>
    <col min="8449" max="8449" width="48.6640625" style="723" customWidth="1"/>
    <col min="8450" max="8450" width="11.5546875" style="723" customWidth="1"/>
    <col min="8451" max="8451" width="13.33203125" style="723" customWidth="1"/>
    <col min="8452" max="8452" width="11.44140625" style="723" customWidth="1"/>
    <col min="8453" max="8453" width="17" style="723" customWidth="1"/>
    <col min="8454" max="8454" width="0" style="723" hidden="1" customWidth="1"/>
    <col min="8455" max="8455" width="16.33203125" style="723" customWidth="1"/>
    <col min="8456" max="8456" width="13.5546875" style="723" bestFit="1" customWidth="1"/>
    <col min="8457" max="8457" width="9.44140625" style="723"/>
    <col min="8458" max="8458" width="13.5546875" style="723" bestFit="1" customWidth="1"/>
    <col min="8459" max="8702" width="9.44140625" style="723"/>
    <col min="8703" max="8703" width="3.88671875" style="723" bestFit="1" customWidth="1"/>
    <col min="8704" max="8704" width="8.6640625" style="723" customWidth="1"/>
    <col min="8705" max="8705" width="48.6640625" style="723" customWidth="1"/>
    <col min="8706" max="8706" width="11.5546875" style="723" customWidth="1"/>
    <col min="8707" max="8707" width="13.33203125" style="723" customWidth="1"/>
    <col min="8708" max="8708" width="11.44140625" style="723" customWidth="1"/>
    <col min="8709" max="8709" width="17" style="723" customWidth="1"/>
    <col min="8710" max="8710" width="0" style="723" hidden="1" customWidth="1"/>
    <col min="8711" max="8711" width="16.33203125" style="723" customWidth="1"/>
    <col min="8712" max="8712" width="13.5546875" style="723" bestFit="1" customWidth="1"/>
    <col min="8713" max="8713" width="9.44140625" style="723"/>
    <col min="8714" max="8714" width="13.5546875" style="723" bestFit="1" customWidth="1"/>
    <col min="8715" max="8958" width="9.44140625" style="723"/>
    <col min="8959" max="8959" width="3.88671875" style="723" bestFit="1" customWidth="1"/>
    <col min="8960" max="8960" width="8.6640625" style="723" customWidth="1"/>
    <col min="8961" max="8961" width="48.6640625" style="723" customWidth="1"/>
    <col min="8962" max="8962" width="11.5546875" style="723" customWidth="1"/>
    <col min="8963" max="8963" width="13.33203125" style="723" customWidth="1"/>
    <col min="8964" max="8964" width="11.44140625" style="723" customWidth="1"/>
    <col min="8965" max="8965" width="17" style="723" customWidth="1"/>
    <col min="8966" max="8966" width="0" style="723" hidden="1" customWidth="1"/>
    <col min="8967" max="8967" width="16.33203125" style="723" customWidth="1"/>
    <col min="8968" max="8968" width="13.5546875" style="723" bestFit="1" customWidth="1"/>
    <col min="8969" max="8969" width="9.44140625" style="723"/>
    <col min="8970" max="8970" width="13.5546875" style="723" bestFit="1" customWidth="1"/>
    <col min="8971" max="9214" width="9.44140625" style="723"/>
    <col min="9215" max="9215" width="3.88671875" style="723" bestFit="1" customWidth="1"/>
    <col min="9216" max="9216" width="8.6640625" style="723" customWidth="1"/>
    <col min="9217" max="9217" width="48.6640625" style="723" customWidth="1"/>
    <col min="9218" max="9218" width="11.5546875" style="723" customWidth="1"/>
    <col min="9219" max="9219" width="13.33203125" style="723" customWidth="1"/>
    <col min="9220" max="9220" width="11.44140625" style="723" customWidth="1"/>
    <col min="9221" max="9221" width="17" style="723" customWidth="1"/>
    <col min="9222" max="9222" width="0" style="723" hidden="1" customWidth="1"/>
    <col min="9223" max="9223" width="16.33203125" style="723" customWidth="1"/>
    <col min="9224" max="9224" width="13.5546875" style="723" bestFit="1" customWidth="1"/>
    <col min="9225" max="9225" width="9.44140625" style="723"/>
    <col min="9226" max="9226" width="13.5546875" style="723" bestFit="1" customWidth="1"/>
    <col min="9227" max="9470" width="9.44140625" style="723"/>
    <col min="9471" max="9471" width="3.88671875" style="723" bestFit="1" customWidth="1"/>
    <col min="9472" max="9472" width="8.6640625" style="723" customWidth="1"/>
    <col min="9473" max="9473" width="48.6640625" style="723" customWidth="1"/>
    <col min="9474" max="9474" width="11.5546875" style="723" customWidth="1"/>
    <col min="9475" max="9475" width="13.33203125" style="723" customWidth="1"/>
    <col min="9476" max="9476" width="11.44140625" style="723" customWidth="1"/>
    <col min="9477" max="9477" width="17" style="723" customWidth="1"/>
    <col min="9478" max="9478" width="0" style="723" hidden="1" customWidth="1"/>
    <col min="9479" max="9479" width="16.33203125" style="723" customWidth="1"/>
    <col min="9480" max="9480" width="13.5546875" style="723" bestFit="1" customWidth="1"/>
    <col min="9481" max="9481" width="9.44140625" style="723"/>
    <col min="9482" max="9482" width="13.5546875" style="723" bestFit="1" customWidth="1"/>
    <col min="9483" max="9726" width="9.44140625" style="723"/>
    <col min="9727" max="9727" width="3.88671875" style="723" bestFit="1" customWidth="1"/>
    <col min="9728" max="9728" width="8.6640625" style="723" customWidth="1"/>
    <col min="9729" max="9729" width="48.6640625" style="723" customWidth="1"/>
    <col min="9730" max="9730" width="11.5546875" style="723" customWidth="1"/>
    <col min="9731" max="9731" width="13.33203125" style="723" customWidth="1"/>
    <col min="9732" max="9732" width="11.44140625" style="723" customWidth="1"/>
    <col min="9733" max="9733" width="17" style="723" customWidth="1"/>
    <col min="9734" max="9734" width="0" style="723" hidden="1" customWidth="1"/>
    <col min="9735" max="9735" width="16.33203125" style="723" customWidth="1"/>
    <col min="9736" max="9736" width="13.5546875" style="723" bestFit="1" customWidth="1"/>
    <col min="9737" max="9737" width="9.44140625" style="723"/>
    <col min="9738" max="9738" width="13.5546875" style="723" bestFit="1" customWidth="1"/>
    <col min="9739" max="9982" width="9.44140625" style="723"/>
    <col min="9983" max="9983" width="3.88671875" style="723" bestFit="1" customWidth="1"/>
    <col min="9984" max="9984" width="8.6640625" style="723" customWidth="1"/>
    <col min="9985" max="9985" width="48.6640625" style="723" customWidth="1"/>
    <col min="9986" max="9986" width="11.5546875" style="723" customWidth="1"/>
    <col min="9987" max="9987" width="13.33203125" style="723" customWidth="1"/>
    <col min="9988" max="9988" width="11.44140625" style="723" customWidth="1"/>
    <col min="9989" max="9989" width="17" style="723" customWidth="1"/>
    <col min="9990" max="9990" width="0" style="723" hidden="1" customWidth="1"/>
    <col min="9991" max="9991" width="16.33203125" style="723" customWidth="1"/>
    <col min="9992" max="9992" width="13.5546875" style="723" bestFit="1" customWidth="1"/>
    <col min="9993" max="9993" width="9.44140625" style="723"/>
    <col min="9994" max="9994" width="13.5546875" style="723" bestFit="1" customWidth="1"/>
    <col min="9995" max="10238" width="9.44140625" style="723"/>
    <col min="10239" max="10239" width="3.88671875" style="723" bestFit="1" customWidth="1"/>
    <col min="10240" max="10240" width="8.6640625" style="723" customWidth="1"/>
    <col min="10241" max="10241" width="48.6640625" style="723" customWidth="1"/>
    <col min="10242" max="10242" width="11.5546875" style="723" customWidth="1"/>
    <col min="10243" max="10243" width="13.33203125" style="723" customWidth="1"/>
    <col min="10244" max="10244" width="11.44140625" style="723" customWidth="1"/>
    <col min="10245" max="10245" width="17" style="723" customWidth="1"/>
    <col min="10246" max="10246" width="0" style="723" hidden="1" customWidth="1"/>
    <col min="10247" max="10247" width="16.33203125" style="723" customWidth="1"/>
    <col min="10248" max="10248" width="13.5546875" style="723" bestFit="1" customWidth="1"/>
    <col min="10249" max="10249" width="9.44140625" style="723"/>
    <col min="10250" max="10250" width="13.5546875" style="723" bestFit="1" customWidth="1"/>
    <col min="10251" max="10494" width="9.44140625" style="723"/>
    <col min="10495" max="10495" width="3.88671875" style="723" bestFit="1" customWidth="1"/>
    <col min="10496" max="10496" width="8.6640625" style="723" customWidth="1"/>
    <col min="10497" max="10497" width="48.6640625" style="723" customWidth="1"/>
    <col min="10498" max="10498" width="11.5546875" style="723" customWidth="1"/>
    <col min="10499" max="10499" width="13.33203125" style="723" customWidth="1"/>
    <col min="10500" max="10500" width="11.44140625" style="723" customWidth="1"/>
    <col min="10501" max="10501" width="17" style="723" customWidth="1"/>
    <col min="10502" max="10502" width="0" style="723" hidden="1" customWidth="1"/>
    <col min="10503" max="10503" width="16.33203125" style="723" customWidth="1"/>
    <col min="10504" max="10504" width="13.5546875" style="723" bestFit="1" customWidth="1"/>
    <col min="10505" max="10505" width="9.44140625" style="723"/>
    <col min="10506" max="10506" width="13.5546875" style="723" bestFit="1" customWidth="1"/>
    <col min="10507" max="10750" width="9.44140625" style="723"/>
    <col min="10751" max="10751" width="3.88671875" style="723" bestFit="1" customWidth="1"/>
    <col min="10752" max="10752" width="8.6640625" style="723" customWidth="1"/>
    <col min="10753" max="10753" width="48.6640625" style="723" customWidth="1"/>
    <col min="10754" max="10754" width="11.5546875" style="723" customWidth="1"/>
    <col min="10755" max="10755" width="13.33203125" style="723" customWidth="1"/>
    <col min="10756" max="10756" width="11.44140625" style="723" customWidth="1"/>
    <col min="10757" max="10757" width="17" style="723" customWidth="1"/>
    <col min="10758" max="10758" width="0" style="723" hidden="1" customWidth="1"/>
    <col min="10759" max="10759" width="16.33203125" style="723" customWidth="1"/>
    <col min="10760" max="10760" width="13.5546875" style="723" bestFit="1" customWidth="1"/>
    <col min="10761" max="10761" width="9.44140625" style="723"/>
    <col min="10762" max="10762" width="13.5546875" style="723" bestFit="1" customWidth="1"/>
    <col min="10763" max="11006" width="9.44140625" style="723"/>
    <col min="11007" max="11007" width="3.88671875" style="723" bestFit="1" customWidth="1"/>
    <col min="11008" max="11008" width="8.6640625" style="723" customWidth="1"/>
    <col min="11009" max="11009" width="48.6640625" style="723" customWidth="1"/>
    <col min="11010" max="11010" width="11.5546875" style="723" customWidth="1"/>
    <col min="11011" max="11011" width="13.33203125" style="723" customWidth="1"/>
    <col min="11012" max="11012" width="11.44140625" style="723" customWidth="1"/>
    <col min="11013" max="11013" width="17" style="723" customWidth="1"/>
    <col min="11014" max="11014" width="0" style="723" hidden="1" customWidth="1"/>
    <col min="11015" max="11015" width="16.33203125" style="723" customWidth="1"/>
    <col min="11016" max="11016" width="13.5546875" style="723" bestFit="1" customWidth="1"/>
    <col min="11017" max="11017" width="9.44140625" style="723"/>
    <col min="11018" max="11018" width="13.5546875" style="723" bestFit="1" customWidth="1"/>
    <col min="11019" max="11262" width="9.44140625" style="723"/>
    <col min="11263" max="11263" width="3.88671875" style="723" bestFit="1" customWidth="1"/>
    <col min="11264" max="11264" width="8.6640625" style="723" customWidth="1"/>
    <col min="11265" max="11265" width="48.6640625" style="723" customWidth="1"/>
    <col min="11266" max="11266" width="11.5546875" style="723" customWidth="1"/>
    <col min="11267" max="11267" width="13.33203125" style="723" customWidth="1"/>
    <col min="11268" max="11268" width="11.44140625" style="723" customWidth="1"/>
    <col min="11269" max="11269" width="17" style="723" customWidth="1"/>
    <col min="11270" max="11270" width="0" style="723" hidden="1" customWidth="1"/>
    <col min="11271" max="11271" width="16.33203125" style="723" customWidth="1"/>
    <col min="11272" max="11272" width="13.5546875" style="723" bestFit="1" customWidth="1"/>
    <col min="11273" max="11273" width="9.44140625" style="723"/>
    <col min="11274" max="11274" width="13.5546875" style="723" bestFit="1" customWidth="1"/>
    <col min="11275" max="11518" width="9.44140625" style="723"/>
    <col min="11519" max="11519" width="3.88671875" style="723" bestFit="1" customWidth="1"/>
    <col min="11520" max="11520" width="8.6640625" style="723" customWidth="1"/>
    <col min="11521" max="11521" width="48.6640625" style="723" customWidth="1"/>
    <col min="11522" max="11522" width="11.5546875" style="723" customWidth="1"/>
    <col min="11523" max="11523" width="13.33203125" style="723" customWidth="1"/>
    <col min="11524" max="11524" width="11.44140625" style="723" customWidth="1"/>
    <col min="11525" max="11525" width="17" style="723" customWidth="1"/>
    <col min="11526" max="11526" width="0" style="723" hidden="1" customWidth="1"/>
    <col min="11527" max="11527" width="16.33203125" style="723" customWidth="1"/>
    <col min="11528" max="11528" width="13.5546875" style="723" bestFit="1" customWidth="1"/>
    <col min="11529" max="11529" width="9.44140625" style="723"/>
    <col min="11530" max="11530" width="13.5546875" style="723" bestFit="1" customWidth="1"/>
    <col min="11531" max="11774" width="9.44140625" style="723"/>
    <col min="11775" max="11775" width="3.88671875" style="723" bestFit="1" customWidth="1"/>
    <col min="11776" max="11776" width="8.6640625" style="723" customWidth="1"/>
    <col min="11777" max="11777" width="48.6640625" style="723" customWidth="1"/>
    <col min="11778" max="11778" width="11.5546875" style="723" customWidth="1"/>
    <col min="11779" max="11779" width="13.33203125" style="723" customWidth="1"/>
    <col min="11780" max="11780" width="11.44140625" style="723" customWidth="1"/>
    <col min="11781" max="11781" width="17" style="723" customWidth="1"/>
    <col min="11782" max="11782" width="0" style="723" hidden="1" customWidth="1"/>
    <col min="11783" max="11783" width="16.33203125" style="723" customWidth="1"/>
    <col min="11784" max="11784" width="13.5546875" style="723" bestFit="1" customWidth="1"/>
    <col min="11785" max="11785" width="9.44140625" style="723"/>
    <col min="11786" max="11786" width="13.5546875" style="723" bestFit="1" customWidth="1"/>
    <col min="11787" max="12030" width="9.44140625" style="723"/>
    <col min="12031" max="12031" width="3.88671875" style="723" bestFit="1" customWidth="1"/>
    <col min="12032" max="12032" width="8.6640625" style="723" customWidth="1"/>
    <col min="12033" max="12033" width="48.6640625" style="723" customWidth="1"/>
    <col min="12034" max="12034" width="11.5546875" style="723" customWidth="1"/>
    <col min="12035" max="12035" width="13.33203125" style="723" customWidth="1"/>
    <col min="12036" max="12036" width="11.44140625" style="723" customWidth="1"/>
    <col min="12037" max="12037" width="17" style="723" customWidth="1"/>
    <col min="12038" max="12038" width="0" style="723" hidden="1" customWidth="1"/>
    <col min="12039" max="12039" width="16.33203125" style="723" customWidth="1"/>
    <col min="12040" max="12040" width="13.5546875" style="723" bestFit="1" customWidth="1"/>
    <col min="12041" max="12041" width="9.44140625" style="723"/>
    <col min="12042" max="12042" width="13.5546875" style="723" bestFit="1" customWidth="1"/>
    <col min="12043" max="12286" width="9.44140625" style="723"/>
    <col min="12287" max="12287" width="3.88671875" style="723" bestFit="1" customWidth="1"/>
    <col min="12288" max="12288" width="8.6640625" style="723" customWidth="1"/>
    <col min="12289" max="12289" width="48.6640625" style="723" customWidth="1"/>
    <col min="12290" max="12290" width="11.5546875" style="723" customWidth="1"/>
    <col min="12291" max="12291" width="13.33203125" style="723" customWidth="1"/>
    <col min="12292" max="12292" width="11.44140625" style="723" customWidth="1"/>
    <col min="12293" max="12293" width="17" style="723" customWidth="1"/>
    <col min="12294" max="12294" width="0" style="723" hidden="1" customWidth="1"/>
    <col min="12295" max="12295" width="16.33203125" style="723" customWidth="1"/>
    <col min="12296" max="12296" width="13.5546875" style="723" bestFit="1" customWidth="1"/>
    <col min="12297" max="12297" width="9.44140625" style="723"/>
    <col min="12298" max="12298" width="13.5546875" style="723" bestFit="1" customWidth="1"/>
    <col min="12299" max="12542" width="9.44140625" style="723"/>
    <col min="12543" max="12543" width="3.88671875" style="723" bestFit="1" customWidth="1"/>
    <col min="12544" max="12544" width="8.6640625" style="723" customWidth="1"/>
    <col min="12545" max="12545" width="48.6640625" style="723" customWidth="1"/>
    <col min="12546" max="12546" width="11.5546875" style="723" customWidth="1"/>
    <col min="12547" max="12547" width="13.33203125" style="723" customWidth="1"/>
    <col min="12548" max="12548" width="11.44140625" style="723" customWidth="1"/>
    <col min="12549" max="12549" width="17" style="723" customWidth="1"/>
    <col min="12550" max="12550" width="0" style="723" hidden="1" customWidth="1"/>
    <col min="12551" max="12551" width="16.33203125" style="723" customWidth="1"/>
    <col min="12552" max="12552" width="13.5546875" style="723" bestFit="1" customWidth="1"/>
    <col min="12553" max="12553" width="9.44140625" style="723"/>
    <col min="12554" max="12554" width="13.5546875" style="723" bestFit="1" customWidth="1"/>
    <col min="12555" max="12798" width="9.44140625" style="723"/>
    <col min="12799" max="12799" width="3.88671875" style="723" bestFit="1" customWidth="1"/>
    <col min="12800" max="12800" width="8.6640625" style="723" customWidth="1"/>
    <col min="12801" max="12801" width="48.6640625" style="723" customWidth="1"/>
    <col min="12802" max="12802" width="11.5546875" style="723" customWidth="1"/>
    <col min="12803" max="12803" width="13.33203125" style="723" customWidth="1"/>
    <col min="12804" max="12804" width="11.44140625" style="723" customWidth="1"/>
    <col min="12805" max="12805" width="17" style="723" customWidth="1"/>
    <col min="12806" max="12806" width="0" style="723" hidden="1" customWidth="1"/>
    <col min="12807" max="12807" width="16.33203125" style="723" customWidth="1"/>
    <col min="12808" max="12808" width="13.5546875" style="723" bestFit="1" customWidth="1"/>
    <col min="12809" max="12809" width="9.44140625" style="723"/>
    <col min="12810" max="12810" width="13.5546875" style="723" bestFit="1" customWidth="1"/>
    <col min="12811" max="13054" width="9.44140625" style="723"/>
    <col min="13055" max="13055" width="3.88671875" style="723" bestFit="1" customWidth="1"/>
    <col min="13056" max="13056" width="8.6640625" style="723" customWidth="1"/>
    <col min="13057" max="13057" width="48.6640625" style="723" customWidth="1"/>
    <col min="13058" max="13058" width="11.5546875" style="723" customWidth="1"/>
    <col min="13059" max="13059" width="13.33203125" style="723" customWidth="1"/>
    <col min="13060" max="13060" width="11.44140625" style="723" customWidth="1"/>
    <col min="13061" max="13061" width="17" style="723" customWidth="1"/>
    <col min="13062" max="13062" width="0" style="723" hidden="1" customWidth="1"/>
    <col min="13063" max="13063" width="16.33203125" style="723" customWidth="1"/>
    <col min="13064" max="13064" width="13.5546875" style="723" bestFit="1" customWidth="1"/>
    <col min="13065" max="13065" width="9.44140625" style="723"/>
    <col min="13066" max="13066" width="13.5546875" style="723" bestFit="1" customWidth="1"/>
    <col min="13067" max="13310" width="9.44140625" style="723"/>
    <col min="13311" max="13311" width="3.88671875" style="723" bestFit="1" customWidth="1"/>
    <col min="13312" max="13312" width="8.6640625" style="723" customWidth="1"/>
    <col min="13313" max="13313" width="48.6640625" style="723" customWidth="1"/>
    <col min="13314" max="13314" width="11.5546875" style="723" customWidth="1"/>
    <col min="13315" max="13315" width="13.33203125" style="723" customWidth="1"/>
    <col min="13316" max="13316" width="11.44140625" style="723" customWidth="1"/>
    <col min="13317" max="13317" width="17" style="723" customWidth="1"/>
    <col min="13318" max="13318" width="0" style="723" hidden="1" customWidth="1"/>
    <col min="13319" max="13319" width="16.33203125" style="723" customWidth="1"/>
    <col min="13320" max="13320" width="13.5546875" style="723" bestFit="1" customWidth="1"/>
    <col min="13321" max="13321" width="9.44140625" style="723"/>
    <col min="13322" max="13322" width="13.5546875" style="723" bestFit="1" customWidth="1"/>
    <col min="13323" max="13566" width="9.44140625" style="723"/>
    <col min="13567" max="13567" width="3.88671875" style="723" bestFit="1" customWidth="1"/>
    <col min="13568" max="13568" width="8.6640625" style="723" customWidth="1"/>
    <col min="13569" max="13569" width="48.6640625" style="723" customWidth="1"/>
    <col min="13570" max="13570" width="11.5546875" style="723" customWidth="1"/>
    <col min="13571" max="13571" width="13.33203125" style="723" customWidth="1"/>
    <col min="13572" max="13572" width="11.44140625" style="723" customWidth="1"/>
    <col min="13573" max="13573" width="17" style="723" customWidth="1"/>
    <col min="13574" max="13574" width="0" style="723" hidden="1" customWidth="1"/>
    <col min="13575" max="13575" width="16.33203125" style="723" customWidth="1"/>
    <col min="13576" max="13576" width="13.5546875" style="723" bestFit="1" customWidth="1"/>
    <col min="13577" max="13577" width="9.44140625" style="723"/>
    <col min="13578" max="13578" width="13.5546875" style="723" bestFit="1" customWidth="1"/>
    <col min="13579" max="13822" width="9.44140625" style="723"/>
    <col min="13823" max="13823" width="3.88671875" style="723" bestFit="1" customWidth="1"/>
    <col min="13824" max="13824" width="8.6640625" style="723" customWidth="1"/>
    <col min="13825" max="13825" width="48.6640625" style="723" customWidth="1"/>
    <col min="13826" max="13826" width="11.5546875" style="723" customWidth="1"/>
    <col min="13827" max="13827" width="13.33203125" style="723" customWidth="1"/>
    <col min="13828" max="13828" width="11.44140625" style="723" customWidth="1"/>
    <col min="13829" max="13829" width="17" style="723" customWidth="1"/>
    <col min="13830" max="13830" width="0" style="723" hidden="1" customWidth="1"/>
    <col min="13831" max="13831" width="16.33203125" style="723" customWidth="1"/>
    <col min="13832" max="13832" width="13.5546875" style="723" bestFit="1" customWidth="1"/>
    <col min="13833" max="13833" width="9.44140625" style="723"/>
    <col min="13834" max="13834" width="13.5546875" style="723" bestFit="1" customWidth="1"/>
    <col min="13835" max="14078" width="9.44140625" style="723"/>
    <col min="14079" max="14079" width="3.88671875" style="723" bestFit="1" customWidth="1"/>
    <col min="14080" max="14080" width="8.6640625" style="723" customWidth="1"/>
    <col min="14081" max="14081" width="48.6640625" style="723" customWidth="1"/>
    <col min="14082" max="14082" width="11.5546875" style="723" customWidth="1"/>
    <col min="14083" max="14083" width="13.33203125" style="723" customWidth="1"/>
    <col min="14084" max="14084" width="11.44140625" style="723" customWidth="1"/>
    <col min="14085" max="14085" width="17" style="723" customWidth="1"/>
    <col min="14086" max="14086" width="0" style="723" hidden="1" customWidth="1"/>
    <col min="14087" max="14087" width="16.33203125" style="723" customWidth="1"/>
    <col min="14088" max="14088" width="13.5546875" style="723" bestFit="1" customWidth="1"/>
    <col min="14089" max="14089" width="9.44140625" style="723"/>
    <col min="14090" max="14090" width="13.5546875" style="723" bestFit="1" customWidth="1"/>
    <col min="14091" max="14334" width="9.44140625" style="723"/>
    <col min="14335" max="14335" width="3.88671875" style="723" bestFit="1" customWidth="1"/>
    <col min="14336" max="14336" width="8.6640625" style="723" customWidth="1"/>
    <col min="14337" max="14337" width="48.6640625" style="723" customWidth="1"/>
    <col min="14338" max="14338" width="11.5546875" style="723" customWidth="1"/>
    <col min="14339" max="14339" width="13.33203125" style="723" customWidth="1"/>
    <col min="14340" max="14340" width="11.44140625" style="723" customWidth="1"/>
    <col min="14341" max="14341" width="17" style="723" customWidth="1"/>
    <col min="14342" max="14342" width="0" style="723" hidden="1" customWidth="1"/>
    <col min="14343" max="14343" width="16.33203125" style="723" customWidth="1"/>
    <col min="14344" max="14344" width="13.5546875" style="723" bestFit="1" customWidth="1"/>
    <col min="14345" max="14345" width="9.44140625" style="723"/>
    <col min="14346" max="14346" width="13.5546875" style="723" bestFit="1" customWidth="1"/>
    <col min="14347" max="14590" width="9.44140625" style="723"/>
    <col min="14591" max="14591" width="3.88671875" style="723" bestFit="1" customWidth="1"/>
    <col min="14592" max="14592" width="8.6640625" style="723" customWidth="1"/>
    <col min="14593" max="14593" width="48.6640625" style="723" customWidth="1"/>
    <col min="14594" max="14594" width="11.5546875" style="723" customWidth="1"/>
    <col min="14595" max="14595" width="13.33203125" style="723" customWidth="1"/>
    <col min="14596" max="14596" width="11.44140625" style="723" customWidth="1"/>
    <col min="14597" max="14597" width="17" style="723" customWidth="1"/>
    <col min="14598" max="14598" width="0" style="723" hidden="1" customWidth="1"/>
    <col min="14599" max="14599" width="16.33203125" style="723" customWidth="1"/>
    <col min="14600" max="14600" width="13.5546875" style="723" bestFit="1" customWidth="1"/>
    <col min="14601" max="14601" width="9.44140625" style="723"/>
    <col min="14602" max="14602" width="13.5546875" style="723" bestFit="1" customWidth="1"/>
    <col min="14603" max="14846" width="9.44140625" style="723"/>
    <col min="14847" max="14847" width="3.88671875" style="723" bestFit="1" customWidth="1"/>
    <col min="14848" max="14848" width="8.6640625" style="723" customWidth="1"/>
    <col min="14849" max="14849" width="48.6640625" style="723" customWidth="1"/>
    <col min="14850" max="14850" width="11.5546875" style="723" customWidth="1"/>
    <col min="14851" max="14851" width="13.33203125" style="723" customWidth="1"/>
    <col min="14852" max="14852" width="11.44140625" style="723" customWidth="1"/>
    <col min="14853" max="14853" width="17" style="723" customWidth="1"/>
    <col min="14854" max="14854" width="0" style="723" hidden="1" customWidth="1"/>
    <col min="14855" max="14855" width="16.33203125" style="723" customWidth="1"/>
    <col min="14856" max="14856" width="13.5546875" style="723" bestFit="1" customWidth="1"/>
    <col min="14857" max="14857" width="9.44140625" style="723"/>
    <col min="14858" max="14858" width="13.5546875" style="723" bestFit="1" customWidth="1"/>
    <col min="14859" max="15102" width="9.44140625" style="723"/>
    <col min="15103" max="15103" width="3.88671875" style="723" bestFit="1" customWidth="1"/>
    <col min="15104" max="15104" width="8.6640625" style="723" customWidth="1"/>
    <col min="15105" max="15105" width="48.6640625" style="723" customWidth="1"/>
    <col min="15106" max="15106" width="11.5546875" style="723" customWidth="1"/>
    <col min="15107" max="15107" width="13.33203125" style="723" customWidth="1"/>
    <col min="15108" max="15108" width="11.44140625" style="723" customWidth="1"/>
    <col min="15109" max="15109" width="17" style="723" customWidth="1"/>
    <col min="15110" max="15110" width="0" style="723" hidden="1" customWidth="1"/>
    <col min="15111" max="15111" width="16.33203125" style="723" customWidth="1"/>
    <col min="15112" max="15112" width="13.5546875" style="723" bestFit="1" customWidth="1"/>
    <col min="15113" max="15113" width="9.44140625" style="723"/>
    <col min="15114" max="15114" width="13.5546875" style="723" bestFit="1" customWidth="1"/>
    <col min="15115" max="15358" width="9.44140625" style="723"/>
    <col min="15359" max="15359" width="3.88671875" style="723" bestFit="1" customWidth="1"/>
    <col min="15360" max="15360" width="8.6640625" style="723" customWidth="1"/>
    <col min="15361" max="15361" width="48.6640625" style="723" customWidth="1"/>
    <col min="15362" max="15362" width="11.5546875" style="723" customWidth="1"/>
    <col min="15363" max="15363" width="13.33203125" style="723" customWidth="1"/>
    <col min="15364" max="15364" width="11.44140625" style="723" customWidth="1"/>
    <col min="15365" max="15365" width="17" style="723" customWidth="1"/>
    <col min="15366" max="15366" width="0" style="723" hidden="1" customWidth="1"/>
    <col min="15367" max="15367" width="16.33203125" style="723" customWidth="1"/>
    <col min="15368" max="15368" width="13.5546875" style="723" bestFit="1" customWidth="1"/>
    <col min="15369" max="15369" width="9.44140625" style="723"/>
    <col min="15370" max="15370" width="13.5546875" style="723" bestFit="1" customWidth="1"/>
    <col min="15371" max="15614" width="9.44140625" style="723"/>
    <col min="15615" max="15615" width="3.88671875" style="723" bestFit="1" customWidth="1"/>
    <col min="15616" max="15616" width="8.6640625" style="723" customWidth="1"/>
    <col min="15617" max="15617" width="48.6640625" style="723" customWidth="1"/>
    <col min="15618" max="15618" width="11.5546875" style="723" customWidth="1"/>
    <col min="15619" max="15619" width="13.33203125" style="723" customWidth="1"/>
    <col min="15620" max="15620" width="11.44140625" style="723" customWidth="1"/>
    <col min="15621" max="15621" width="17" style="723" customWidth="1"/>
    <col min="15622" max="15622" width="0" style="723" hidden="1" customWidth="1"/>
    <col min="15623" max="15623" width="16.33203125" style="723" customWidth="1"/>
    <col min="15624" max="15624" width="13.5546875" style="723" bestFit="1" customWidth="1"/>
    <col min="15625" max="15625" width="9.44140625" style="723"/>
    <col min="15626" max="15626" width="13.5546875" style="723" bestFit="1" customWidth="1"/>
    <col min="15627" max="15870" width="9.44140625" style="723"/>
    <col min="15871" max="15871" width="3.88671875" style="723" bestFit="1" customWidth="1"/>
    <col min="15872" max="15872" width="8.6640625" style="723" customWidth="1"/>
    <col min="15873" max="15873" width="48.6640625" style="723" customWidth="1"/>
    <col min="15874" max="15874" width="11.5546875" style="723" customWidth="1"/>
    <col min="15875" max="15875" width="13.33203125" style="723" customWidth="1"/>
    <col min="15876" max="15876" width="11.44140625" style="723" customWidth="1"/>
    <col min="15877" max="15877" width="17" style="723" customWidth="1"/>
    <col min="15878" max="15878" width="0" style="723" hidden="1" customWidth="1"/>
    <col min="15879" max="15879" width="16.33203125" style="723" customWidth="1"/>
    <col min="15880" max="15880" width="13.5546875" style="723" bestFit="1" customWidth="1"/>
    <col min="15881" max="15881" width="9.44140625" style="723"/>
    <col min="15882" max="15882" width="13.5546875" style="723" bestFit="1" customWidth="1"/>
    <col min="15883" max="16126" width="9.44140625" style="723"/>
    <col min="16127" max="16127" width="3.88671875" style="723" bestFit="1" customWidth="1"/>
    <col min="16128" max="16128" width="8.6640625" style="723" customWidth="1"/>
    <col min="16129" max="16129" width="48.6640625" style="723" customWidth="1"/>
    <col min="16130" max="16130" width="11.5546875" style="723" customWidth="1"/>
    <col min="16131" max="16131" width="13.33203125" style="723" customWidth="1"/>
    <col min="16132" max="16132" width="11.44140625" style="723" customWidth="1"/>
    <col min="16133" max="16133" width="17" style="723" customWidth="1"/>
    <col min="16134" max="16134" width="0" style="723" hidden="1" customWidth="1"/>
    <col min="16135" max="16135" width="16.33203125" style="723" customWidth="1"/>
    <col min="16136" max="16136" width="13.5546875" style="723" bestFit="1" customWidth="1"/>
    <col min="16137" max="16137" width="9.44140625" style="723"/>
    <col min="16138" max="16138" width="13.5546875" style="723" bestFit="1" customWidth="1"/>
    <col min="16139" max="16384" width="9.44140625" style="723"/>
  </cols>
  <sheetData>
    <row r="1" spans="1:12" s="851" customFormat="1" ht="71.25" customHeight="1" thickBot="1" x14ac:dyDescent="0.3">
      <c r="A1" s="1046" t="str">
        <f>"BILL NO. "&amp;J3&amp;" - SITE CLEARING"</f>
        <v>BILL NO. 2 - SITE CLEARING</v>
      </c>
      <c r="B1" s="1047"/>
      <c r="C1" s="1047"/>
      <c r="D1" s="1048" t="str">
        <f>'BOQ summary'!$A$2</f>
        <v>REDUCTION OF LANDSLIDE  VULNERABILITY  BY MITIGATION MEASURES BETWEEN CULVERT NO. 31/1 AND 31/2 ON HATTON - MASKELIYA - DELHOUSE ROAD B – 149</v>
      </c>
      <c r="E1" s="1048"/>
      <c r="F1" s="1048"/>
      <c r="G1" s="1049"/>
      <c r="H1" s="754"/>
      <c r="I1" s="755"/>
      <c r="J1" s="755"/>
    </row>
    <row r="2" spans="1:12" s="821" customFormat="1" ht="18" customHeight="1" x14ac:dyDescent="0.25">
      <c r="A2" s="1050" t="s">
        <v>26</v>
      </c>
      <c r="B2" s="1052" t="s">
        <v>14</v>
      </c>
      <c r="C2" s="1052" t="s">
        <v>0</v>
      </c>
      <c r="D2" s="1052" t="s">
        <v>1</v>
      </c>
      <c r="E2" s="1052" t="s">
        <v>13</v>
      </c>
      <c r="F2" s="1054" t="s">
        <v>2</v>
      </c>
      <c r="G2" s="1056" t="s">
        <v>3</v>
      </c>
      <c r="I2" s="790">
        <f>'BOQ summary'!$I$2</f>
        <v>140</v>
      </c>
      <c r="J2" s="791"/>
    </row>
    <row r="3" spans="1:12" s="821" customFormat="1" ht="18" customHeight="1" thickBot="1" x14ac:dyDescent="0.3">
      <c r="A3" s="1051"/>
      <c r="B3" s="1053"/>
      <c r="C3" s="1053"/>
      <c r="D3" s="1053"/>
      <c r="E3" s="1053"/>
      <c r="F3" s="1055"/>
      <c r="G3" s="1057"/>
      <c r="I3" s="792">
        <v>0</v>
      </c>
      <c r="J3" s="793">
        <v>2</v>
      </c>
    </row>
    <row r="4" spans="1:12" s="821" customFormat="1" ht="24.9" customHeight="1" x14ac:dyDescent="0.25">
      <c r="A4" s="866">
        <f>$J$3+0.1</f>
        <v>2.1</v>
      </c>
      <c r="B4" s="716"/>
      <c r="C4" s="717" t="s">
        <v>24</v>
      </c>
      <c r="D4" s="716"/>
      <c r="E4" s="716"/>
      <c r="F4" s="718"/>
      <c r="G4" s="924"/>
      <c r="I4"/>
      <c r="J4"/>
      <c r="K4"/>
      <c r="L4"/>
    </row>
    <row r="5" spans="1:12" s="818" customFormat="1" ht="45" customHeight="1" x14ac:dyDescent="0.25">
      <c r="A5" s="867">
        <f>A4+0.01</f>
        <v>2.11</v>
      </c>
      <c r="B5" s="845" t="s">
        <v>5</v>
      </c>
      <c r="C5" s="823" t="s">
        <v>742</v>
      </c>
      <c r="D5" s="845" t="s">
        <v>6</v>
      </c>
      <c r="E5" s="822">
        <v>470</v>
      </c>
      <c r="F5" s="846"/>
      <c r="G5" s="925">
        <f>F5*E5</f>
        <v>0</v>
      </c>
      <c r="H5" s="818">
        <f>('Bill No 4'!I6+'Bill No 4'!L6)*2</f>
        <v>464.54853593602763</v>
      </c>
      <c r="I5" s="818">
        <f>248+534+637+742+411</f>
        <v>2572</v>
      </c>
      <c r="J5"/>
      <c r="K5"/>
      <c r="L5"/>
    </row>
    <row r="6" spans="1:12" s="818" customFormat="1" ht="24.9" customHeight="1" x14ac:dyDescent="0.25">
      <c r="A6" s="866">
        <f>A4+0.1</f>
        <v>2.2000000000000002</v>
      </c>
      <c r="B6" s="845"/>
      <c r="C6" s="820" t="s">
        <v>25</v>
      </c>
      <c r="D6" s="845"/>
      <c r="E6" s="822"/>
      <c r="F6" s="846"/>
      <c r="G6" s="925"/>
      <c r="I6"/>
      <c r="J6"/>
      <c r="K6"/>
      <c r="L6"/>
    </row>
    <row r="7" spans="1:12" s="851" customFormat="1" ht="24.9" customHeight="1" x14ac:dyDescent="0.25">
      <c r="A7" s="867">
        <f>A6+0.01</f>
        <v>2.21</v>
      </c>
      <c r="B7" s="847" t="s">
        <v>7</v>
      </c>
      <c r="C7" s="848" t="s">
        <v>11</v>
      </c>
      <c r="D7" s="847" t="s">
        <v>4</v>
      </c>
      <c r="E7" s="822">
        <v>2</v>
      </c>
      <c r="F7" s="846"/>
      <c r="G7" s="925">
        <f t="shared" ref="G7:G15" si="0">F7*E7</f>
        <v>0</v>
      </c>
      <c r="H7" s="851">
        <v>2</v>
      </c>
      <c r="I7"/>
      <c r="J7"/>
      <c r="K7"/>
      <c r="L7"/>
    </row>
    <row r="8" spans="1:12" s="851" customFormat="1" ht="24.9" customHeight="1" x14ac:dyDescent="0.25">
      <c r="A8" s="867">
        <f t="shared" ref="A8:A12" si="1">A7+0.01</f>
        <v>2.2199999999999998</v>
      </c>
      <c r="B8" s="847" t="s">
        <v>8</v>
      </c>
      <c r="C8" s="848" t="s">
        <v>12</v>
      </c>
      <c r="D8" s="847" t="s">
        <v>4</v>
      </c>
      <c r="E8" s="822">
        <v>2</v>
      </c>
      <c r="F8" s="846"/>
      <c r="G8" s="925">
        <f t="shared" si="0"/>
        <v>0</v>
      </c>
      <c r="H8" s="851">
        <v>4</v>
      </c>
      <c r="I8"/>
      <c r="J8"/>
      <c r="K8"/>
      <c r="L8"/>
    </row>
    <row r="9" spans="1:12" s="851" customFormat="1" ht="24.9" customHeight="1" x14ac:dyDescent="0.25">
      <c r="A9" s="867">
        <f t="shared" si="1"/>
        <v>2.2299999999999995</v>
      </c>
      <c r="B9" s="847" t="s">
        <v>33</v>
      </c>
      <c r="C9" s="823" t="s">
        <v>34</v>
      </c>
      <c r="D9" s="845" t="s">
        <v>4</v>
      </c>
      <c r="E9" s="822">
        <v>2</v>
      </c>
      <c r="F9" s="846"/>
      <c r="G9" s="925">
        <f t="shared" si="0"/>
        <v>0</v>
      </c>
      <c r="H9" s="851">
        <v>2</v>
      </c>
      <c r="I9"/>
      <c r="J9"/>
    </row>
    <row r="10" spans="1:12" s="851" customFormat="1" ht="24.9" customHeight="1" x14ac:dyDescent="0.25">
      <c r="A10" s="867">
        <f t="shared" si="1"/>
        <v>2.2399999999999993</v>
      </c>
      <c r="B10" s="847" t="s">
        <v>347</v>
      </c>
      <c r="C10" s="823" t="s">
        <v>348</v>
      </c>
      <c r="D10" s="845" t="s">
        <v>4</v>
      </c>
      <c r="E10" s="822">
        <v>1</v>
      </c>
      <c r="F10" s="846"/>
      <c r="G10" s="925">
        <f t="shared" si="0"/>
        <v>0</v>
      </c>
      <c r="H10" s="851">
        <v>1</v>
      </c>
      <c r="I10"/>
      <c r="J10"/>
    </row>
    <row r="11" spans="1:12" s="851" customFormat="1" ht="24.9" customHeight="1" x14ac:dyDescent="0.25">
      <c r="A11" s="867">
        <f t="shared" si="1"/>
        <v>2.2499999999999991</v>
      </c>
      <c r="B11" s="847" t="s">
        <v>39</v>
      </c>
      <c r="C11" s="823" t="s">
        <v>743</v>
      </c>
      <c r="D11" s="845" t="s">
        <v>4</v>
      </c>
      <c r="E11" s="822">
        <v>1</v>
      </c>
      <c r="F11" s="846"/>
      <c r="G11" s="925">
        <f t="shared" si="0"/>
        <v>0</v>
      </c>
      <c r="H11" s="851">
        <v>2</v>
      </c>
      <c r="I11" s="719"/>
    </row>
    <row r="12" spans="1:12" s="851" customFormat="1" ht="24.9" customHeight="1" x14ac:dyDescent="0.25">
      <c r="A12" s="867">
        <f t="shared" si="1"/>
        <v>2.2599999999999989</v>
      </c>
      <c r="B12" s="847" t="s">
        <v>35</v>
      </c>
      <c r="C12" s="848" t="s">
        <v>36</v>
      </c>
      <c r="D12" s="845" t="s">
        <v>4</v>
      </c>
      <c r="E12" s="822">
        <v>1</v>
      </c>
      <c r="F12" s="846"/>
      <c r="G12" s="925">
        <f t="shared" si="0"/>
        <v>0</v>
      </c>
      <c r="H12" s="851">
        <v>2</v>
      </c>
      <c r="I12" s="719"/>
    </row>
    <row r="13" spans="1:12" s="851" customFormat="1" ht="24.9" customHeight="1" x14ac:dyDescent="0.25">
      <c r="A13" s="866">
        <f>A6+0.1</f>
        <v>2.3000000000000003</v>
      </c>
      <c r="B13" s="847"/>
      <c r="C13" s="820" t="s">
        <v>744</v>
      </c>
      <c r="D13" s="847"/>
      <c r="E13" s="822"/>
      <c r="F13" s="846"/>
      <c r="G13" s="925"/>
      <c r="I13" s="719"/>
    </row>
    <row r="14" spans="1:12" s="851" customFormat="1" ht="24.9" customHeight="1" x14ac:dyDescent="0.25">
      <c r="A14" s="867">
        <f>A13+0.01</f>
        <v>2.31</v>
      </c>
      <c r="B14" s="847" t="s">
        <v>30</v>
      </c>
      <c r="C14" s="848" t="s">
        <v>793</v>
      </c>
      <c r="D14" s="847" t="s">
        <v>9</v>
      </c>
      <c r="E14" s="822">
        <v>2</v>
      </c>
      <c r="F14" s="846"/>
      <c r="G14" s="925">
        <f t="shared" si="0"/>
        <v>0</v>
      </c>
      <c r="I14" s="719"/>
    </row>
    <row r="15" spans="1:12" s="851" customFormat="1" ht="24.9" customHeight="1" x14ac:dyDescent="0.25">
      <c r="A15" s="867">
        <f>A14+0.01</f>
        <v>2.3199999999999998</v>
      </c>
      <c r="B15" s="847" t="s">
        <v>30</v>
      </c>
      <c r="C15" s="848" t="s">
        <v>746</v>
      </c>
      <c r="D15" s="847" t="s">
        <v>9</v>
      </c>
      <c r="E15" s="822">
        <v>2</v>
      </c>
      <c r="F15" s="765"/>
      <c r="G15" s="925">
        <f t="shared" si="0"/>
        <v>0</v>
      </c>
      <c r="I15" s="719"/>
    </row>
    <row r="16" spans="1:12" s="824" customFormat="1" ht="30" customHeight="1" thickBot="1" x14ac:dyDescent="0.3">
      <c r="A16" s="926"/>
      <c r="B16" s="1043" t="str">
        <f>"TOTAL OF "&amp;$A$1&amp;" (TRANSFERRED TO SUMMARY)"</f>
        <v>TOTAL OF BILL NO. 2 - SITE CLEARING (TRANSFERRED TO SUMMARY)</v>
      </c>
      <c r="C16" s="1044"/>
      <c r="D16" s="1044"/>
      <c r="E16" s="1044"/>
      <c r="F16" s="1045"/>
      <c r="G16" s="927">
        <f>SUM(G5:G15)</f>
        <v>0</v>
      </c>
      <c r="H16" s="720"/>
    </row>
    <row r="17" spans="1:9" ht="13.2" x14ac:dyDescent="0.25">
      <c r="A17" s="721"/>
      <c r="C17" s="821"/>
      <c r="D17" s="721"/>
      <c r="E17" s="721"/>
      <c r="F17" s="722"/>
      <c r="G17" s="722"/>
    </row>
    <row r="18" spans="1:9" ht="13.2" x14ac:dyDescent="0.25">
      <c r="A18" s="724"/>
      <c r="C18" s="821"/>
      <c r="D18" s="721"/>
      <c r="E18" s="721"/>
      <c r="F18" s="722"/>
      <c r="G18" s="722"/>
    </row>
    <row r="19" spans="1:9" ht="13.2" x14ac:dyDescent="0.25">
      <c r="A19" s="721"/>
      <c r="C19" s="821"/>
      <c r="D19" s="721"/>
      <c r="E19" s="721"/>
      <c r="F19" s="722"/>
      <c r="G19"/>
      <c r="H19"/>
      <c r="I19"/>
    </row>
    <row r="20" spans="1:9" x14ac:dyDescent="0.25">
      <c r="C20" s="821"/>
      <c r="D20" s="721"/>
      <c r="E20" s="721"/>
      <c r="F20" s="722"/>
      <c r="G20"/>
      <c r="H20"/>
      <c r="I20"/>
    </row>
    <row r="21" spans="1:9" x14ac:dyDescent="0.25">
      <c r="A21" s="726"/>
      <c r="C21" s="821"/>
      <c r="D21" s="721"/>
      <c r="E21" s="721"/>
      <c r="F21" s="722"/>
      <c r="G21"/>
      <c r="H21"/>
      <c r="I21"/>
    </row>
    <row r="22" spans="1:9" x14ac:dyDescent="0.25">
      <c r="C22" s="821"/>
      <c r="D22" s="721"/>
      <c r="E22" s="721"/>
      <c r="F22" s="722"/>
      <c r="G22"/>
      <c r="H22"/>
      <c r="I22"/>
    </row>
    <row r="23" spans="1:9" x14ac:dyDescent="0.25">
      <c r="C23" s="821"/>
      <c r="D23" s="721"/>
      <c r="E23" s="721"/>
      <c r="F23" s="722"/>
      <c r="G23" s="722"/>
    </row>
    <row r="24" spans="1:9" x14ac:dyDescent="0.25">
      <c r="C24" s="821"/>
      <c r="D24" s="721"/>
      <c r="E24" s="721"/>
      <c r="F24" s="722"/>
      <c r="G24" s="722"/>
    </row>
    <row r="25" spans="1:9" x14ac:dyDescent="0.25">
      <c r="C25" s="821"/>
      <c r="D25" s="721"/>
      <c r="E25" s="721"/>
      <c r="F25" s="722"/>
      <c r="G25" s="722"/>
    </row>
    <row r="26" spans="1:9" x14ac:dyDescent="0.25">
      <c r="C26" s="821"/>
      <c r="D26" s="721"/>
      <c r="E26" s="721"/>
      <c r="F26" s="722"/>
      <c r="G26" s="722"/>
    </row>
    <row r="27" spans="1:9" x14ac:dyDescent="0.25">
      <c r="C27" s="821"/>
      <c r="D27" s="721"/>
      <c r="E27" s="721"/>
      <c r="F27" s="722"/>
      <c r="G27" s="725"/>
    </row>
    <row r="28" spans="1:9" x14ac:dyDescent="0.25">
      <c r="C28" s="821"/>
      <c r="D28" s="721"/>
      <c r="E28" s="721"/>
      <c r="F28" s="722"/>
      <c r="G28" s="725"/>
    </row>
    <row r="29" spans="1:9" x14ac:dyDescent="0.25">
      <c r="C29" s="821"/>
      <c r="D29" s="721"/>
      <c r="E29" s="721"/>
      <c r="F29" s="722"/>
      <c r="G29" s="725"/>
    </row>
    <row r="30" spans="1:9" x14ac:dyDescent="0.25">
      <c r="C30" s="821"/>
      <c r="D30" s="721"/>
      <c r="E30" s="721"/>
      <c r="F30" s="722"/>
      <c r="G30" s="725"/>
    </row>
    <row r="31" spans="1:9" x14ac:dyDescent="0.25">
      <c r="C31" s="821"/>
      <c r="D31" s="721"/>
      <c r="E31" s="721"/>
      <c r="F31" s="722"/>
      <c r="G31" s="725"/>
    </row>
    <row r="32" spans="1:9" x14ac:dyDescent="0.25">
      <c r="C32" s="821"/>
      <c r="D32" s="721"/>
      <c r="E32" s="721"/>
      <c r="F32" s="722"/>
      <c r="G32" s="725"/>
    </row>
    <row r="33" spans="3:7" x14ac:dyDescent="0.25">
      <c r="C33" s="821"/>
      <c r="D33" s="721"/>
      <c r="E33" s="721"/>
      <c r="F33" s="722"/>
      <c r="G33" s="725"/>
    </row>
    <row r="34" spans="3:7" x14ac:dyDescent="0.25">
      <c r="C34" s="821"/>
      <c r="D34" s="721"/>
      <c r="E34" s="721"/>
      <c r="F34" s="722"/>
      <c r="G34" s="725"/>
    </row>
    <row r="35" spans="3:7" x14ac:dyDescent="0.25">
      <c r="C35" s="821"/>
      <c r="D35" s="721"/>
      <c r="E35" s="721"/>
      <c r="F35" s="722"/>
      <c r="G35" s="725"/>
    </row>
    <row r="36" spans="3:7" x14ac:dyDescent="0.25">
      <c r="G36" s="729"/>
    </row>
    <row r="37" spans="3:7" x14ac:dyDescent="0.25">
      <c r="G37" s="729"/>
    </row>
    <row r="38" spans="3:7" x14ac:dyDescent="0.25">
      <c r="G38" s="729"/>
    </row>
    <row r="39" spans="3:7" x14ac:dyDescent="0.25">
      <c r="G39" s="729"/>
    </row>
    <row r="40" spans="3:7" x14ac:dyDescent="0.25">
      <c r="G40" s="729"/>
    </row>
    <row r="41" spans="3:7" x14ac:dyDescent="0.25">
      <c r="G41" s="729"/>
    </row>
    <row r="42" spans="3:7" x14ac:dyDescent="0.25">
      <c r="G42" s="729"/>
    </row>
    <row r="43" spans="3:7" x14ac:dyDescent="0.25">
      <c r="G43" s="729"/>
    </row>
    <row r="44" spans="3:7" x14ac:dyDescent="0.25">
      <c r="G44" s="729"/>
    </row>
    <row r="45" spans="3:7" x14ac:dyDescent="0.25">
      <c r="G45" s="729"/>
    </row>
    <row r="46" spans="3:7" x14ac:dyDescent="0.25">
      <c r="G46" s="729"/>
    </row>
  </sheetData>
  <mergeCells count="10">
    <mergeCell ref="B16:F16"/>
    <mergeCell ref="A1:C1"/>
    <mergeCell ref="D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4803149606299202" right="0.511811023622047" top="0.511811023622047" bottom="0.511811023622047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6CAB-BF14-465C-BA0F-81E4F6134370}">
  <sheetPr>
    <tabColor theme="9" tint="0.59999389629810485"/>
    <pageSetUpPr fitToPage="1"/>
  </sheetPr>
  <dimension ref="A1:P43"/>
  <sheetViews>
    <sheetView view="pageBreakPreview" topLeftCell="D1" zoomScaleNormal="100" zoomScaleSheetLayoutView="100" workbookViewId="0">
      <selection activeCell="H1" sqref="H1:T1048576"/>
    </sheetView>
  </sheetViews>
  <sheetFormatPr defaultColWidth="9.44140625" defaultRowHeight="13.8" x14ac:dyDescent="0.25"/>
  <cols>
    <col min="1" max="1" width="8.109375" style="826" customWidth="1"/>
    <col min="2" max="2" width="10.33203125" style="747" customWidth="1"/>
    <col min="3" max="3" width="53.44140625" style="745" customWidth="1"/>
    <col min="4" max="4" width="8.109375" style="747" customWidth="1"/>
    <col min="5" max="5" width="9.109375" style="747" customWidth="1"/>
    <col min="6" max="6" width="11.33203125" style="748" customWidth="1"/>
    <col min="7" max="7" width="18.6640625" style="748" customWidth="1"/>
    <col min="8" max="8" width="12.6640625" style="745" hidden="1" customWidth="1"/>
    <col min="9" max="9" width="16.33203125" style="746" hidden="1" customWidth="1"/>
    <col min="10" max="10" width="13.5546875" style="745" hidden="1" customWidth="1"/>
    <col min="11" max="20" width="0" style="745" hidden="1" customWidth="1"/>
    <col min="21" max="16384" width="9.44140625" style="745"/>
  </cols>
  <sheetData>
    <row r="1" spans="1:16" s="851" customFormat="1" ht="71.25" customHeight="1" thickBot="1" x14ac:dyDescent="0.3">
      <c r="A1" s="1046" t="str">
        <f>"BILL NO. "&amp;J3&amp;" - EARTHWORKS"</f>
        <v>BILL NO. 3 - EARTHWORKS</v>
      </c>
      <c r="B1" s="1047"/>
      <c r="C1" s="1047"/>
      <c r="D1" s="1048" t="str">
        <f>'Bill No 2'!D1:G1</f>
        <v>REDUCTION OF LANDSLIDE  VULNERABILITY  BY MITIGATION MEASURES BETWEEN CULVERT NO. 31/1 AND 31/2 ON HATTON - MASKELIYA - DELHOUSE ROAD B – 149</v>
      </c>
      <c r="E1" s="1048"/>
      <c r="F1" s="1048"/>
      <c r="G1" s="1049"/>
      <c r="H1" s="754"/>
      <c r="I1" s="755"/>
      <c r="J1" s="755"/>
    </row>
    <row r="2" spans="1:16" s="719" customFormat="1" ht="18" customHeight="1" x14ac:dyDescent="0.25">
      <c r="A2" s="1050" t="s">
        <v>26</v>
      </c>
      <c r="B2" s="1058" t="s">
        <v>14</v>
      </c>
      <c r="C2" s="1058" t="s">
        <v>0</v>
      </c>
      <c r="D2" s="1058" t="s">
        <v>1</v>
      </c>
      <c r="E2" s="1058" t="s">
        <v>13</v>
      </c>
      <c r="F2" s="1060" t="s">
        <v>2</v>
      </c>
      <c r="G2" s="1062" t="s">
        <v>3</v>
      </c>
      <c r="I2" s="790">
        <f>'BOQ summary'!$I$2</f>
        <v>140</v>
      </c>
      <c r="J2" s="791"/>
    </row>
    <row r="3" spans="1:16" s="719" customFormat="1" ht="18" customHeight="1" thickBot="1" x14ac:dyDescent="0.3">
      <c r="A3" s="1051"/>
      <c r="B3" s="1059"/>
      <c r="C3" s="1059"/>
      <c r="D3" s="1059"/>
      <c r="E3" s="1059"/>
      <c r="F3" s="1061"/>
      <c r="G3" s="1063"/>
      <c r="I3" s="792"/>
      <c r="J3" s="793">
        <v>3</v>
      </c>
    </row>
    <row r="4" spans="1:16" s="730" customFormat="1" ht="24.9" customHeight="1" x14ac:dyDescent="0.25">
      <c r="A4" s="866">
        <f>$J$3+0.1</f>
        <v>3.1</v>
      </c>
      <c r="B4" s="847"/>
      <c r="C4" s="820" t="s">
        <v>790</v>
      </c>
      <c r="D4" s="847"/>
      <c r="E4" s="733"/>
      <c r="F4" s="846"/>
      <c r="G4" s="928"/>
      <c r="I4" s="731"/>
    </row>
    <row r="5" spans="1:16" s="730" customFormat="1" ht="39" customHeight="1" x14ac:dyDescent="0.25">
      <c r="A5" s="867">
        <f>A4+0.01</f>
        <v>3.11</v>
      </c>
      <c r="B5" s="847" t="s">
        <v>344</v>
      </c>
      <c r="C5" s="848" t="s">
        <v>786</v>
      </c>
      <c r="D5" s="847" t="s">
        <v>349</v>
      </c>
      <c r="E5" s="822">
        <v>8345</v>
      </c>
      <c r="F5" s="846"/>
      <c r="G5" s="925">
        <f>F5*E5</f>
        <v>0</v>
      </c>
      <c r="H5" s="730">
        <f>N10*1.1-H6-H7</f>
        <v>8342.8290000000015</v>
      </c>
      <c r="I5" s="810"/>
      <c r="J5" s="803"/>
      <c r="K5" s="803"/>
      <c r="L5" s="803"/>
      <c r="M5" s="803"/>
      <c r="N5" s="803"/>
      <c r="O5" s="803"/>
      <c r="P5" s="803"/>
    </row>
    <row r="6" spans="1:16" s="719" customFormat="1" ht="39" customHeight="1" x14ac:dyDescent="0.25">
      <c r="A6" s="867">
        <f t="shared" ref="A6:A7" si="0">A5+0.01</f>
        <v>3.1199999999999997</v>
      </c>
      <c r="B6" s="847" t="s">
        <v>43</v>
      </c>
      <c r="C6" s="734" t="s">
        <v>747</v>
      </c>
      <c r="D6" s="847" t="s">
        <v>9</v>
      </c>
      <c r="E6" s="735">
        <v>445</v>
      </c>
      <c r="F6" s="846"/>
      <c r="G6" s="925">
        <f t="shared" ref="G6:G11" si="1">F6*E6</f>
        <v>0</v>
      </c>
      <c r="H6" s="719">
        <f>N10*0.05*1.1</f>
        <v>443.7675000000001</v>
      </c>
      <c r="I6" s="732"/>
      <c r="J6" s="802"/>
      <c r="K6" s="802"/>
      <c r="L6" s="860"/>
      <c r="M6" s="802"/>
      <c r="N6" s="802"/>
      <c r="O6" s="802"/>
      <c r="P6" s="802"/>
    </row>
    <row r="7" spans="1:16" s="719" customFormat="1" ht="32.25" customHeight="1" x14ac:dyDescent="0.25">
      <c r="A7" s="867">
        <f t="shared" si="0"/>
        <v>3.1299999999999994</v>
      </c>
      <c r="B7" s="847" t="s">
        <v>187</v>
      </c>
      <c r="C7" s="734" t="s">
        <v>748</v>
      </c>
      <c r="D7" s="847" t="s">
        <v>9</v>
      </c>
      <c r="E7" s="735">
        <v>90</v>
      </c>
      <c r="F7" s="846"/>
      <c r="G7" s="925">
        <f t="shared" si="1"/>
        <v>0</v>
      </c>
      <c r="H7" s="719">
        <f>N10*0.01*1.1</f>
        <v>88.753500000000031</v>
      </c>
      <c r="I7" s="732"/>
      <c r="J7" s="802"/>
      <c r="K7" s="802"/>
      <c r="L7" s="860"/>
      <c r="M7" s="802"/>
      <c r="N7" s="802"/>
      <c r="O7" s="802"/>
      <c r="P7" s="802"/>
    </row>
    <row r="8" spans="1:16" s="730" customFormat="1" ht="24.9" customHeight="1" x14ac:dyDescent="0.25">
      <c r="A8" s="866">
        <f>A4+0.1</f>
        <v>3.2</v>
      </c>
      <c r="B8" s="847"/>
      <c r="C8" s="820" t="s">
        <v>46</v>
      </c>
      <c r="D8" s="847"/>
      <c r="E8" s="822"/>
      <c r="F8" s="846"/>
      <c r="G8" s="925"/>
      <c r="I8" s="838"/>
      <c r="J8" s="803"/>
      <c r="K8" s="803"/>
      <c r="L8" s="803"/>
      <c r="M8" s="803"/>
      <c r="N8" s="802"/>
      <c r="O8" s="802"/>
      <c r="P8" s="802"/>
    </row>
    <row r="9" spans="1:16" s="851" customFormat="1" ht="51" customHeight="1" x14ac:dyDescent="0.25">
      <c r="A9" s="867">
        <f>A8+0.01</f>
        <v>3.21</v>
      </c>
      <c r="B9" s="847" t="s">
        <v>345</v>
      </c>
      <c r="C9" s="848" t="s">
        <v>745</v>
      </c>
      <c r="D9" s="847" t="s">
        <v>9</v>
      </c>
      <c r="E9" s="822">
        <v>335</v>
      </c>
      <c r="F9" s="846"/>
      <c r="G9" s="925">
        <f t="shared" si="1"/>
        <v>0</v>
      </c>
      <c r="H9" s="755">
        <f>'Bill No 4'!H4-(H10+H11)</f>
        <v>330.77610000000004</v>
      </c>
      <c r="I9" s="838"/>
      <c r="J9" s="804"/>
      <c r="K9" s="804"/>
      <c r="L9" s="804"/>
      <c r="M9" s="803"/>
      <c r="N9" s="802"/>
      <c r="O9" s="802"/>
      <c r="P9" s="802"/>
    </row>
    <row r="10" spans="1:16" s="851" customFormat="1" ht="44.4" customHeight="1" x14ac:dyDescent="0.25">
      <c r="A10" s="867">
        <f t="shared" ref="A10:A11" si="2">A9+0.01</f>
        <v>3.2199999999999998</v>
      </c>
      <c r="B10" s="847" t="s">
        <v>44</v>
      </c>
      <c r="C10" s="734" t="s">
        <v>741</v>
      </c>
      <c r="D10" s="847" t="s">
        <v>9</v>
      </c>
      <c r="E10" s="822">
        <v>20</v>
      </c>
      <c r="F10" s="846"/>
      <c r="G10" s="925">
        <f t="shared" si="1"/>
        <v>0</v>
      </c>
      <c r="H10" s="851">
        <f>(P10+'Bill No 4'!H4)*0.05*1.1</f>
        <v>19.478250000000006</v>
      </c>
      <c r="I10" s="732"/>
      <c r="J10" s="804"/>
      <c r="K10" s="738"/>
      <c r="L10" s="738"/>
      <c r="M10" s="861" t="s">
        <v>782</v>
      </c>
      <c r="N10" s="862">
        <f>14670*0.55</f>
        <v>8068.5000000000009</v>
      </c>
      <c r="O10" s="862">
        <f>SUM(O6:O9)</f>
        <v>0</v>
      </c>
      <c r="P10" s="862">
        <f>SUM(P6:P9)</f>
        <v>0</v>
      </c>
    </row>
    <row r="11" spans="1:16" s="851" customFormat="1" ht="45.6" customHeight="1" x14ac:dyDescent="0.25">
      <c r="A11" s="867">
        <f t="shared" si="2"/>
        <v>3.2299999999999995</v>
      </c>
      <c r="B11" s="847" t="s">
        <v>47</v>
      </c>
      <c r="C11" s="734" t="s">
        <v>735</v>
      </c>
      <c r="D11" s="847" t="s">
        <v>9</v>
      </c>
      <c r="E11" s="822">
        <v>4</v>
      </c>
      <c r="F11" s="846"/>
      <c r="G11" s="925">
        <f t="shared" si="1"/>
        <v>0</v>
      </c>
      <c r="H11" s="851">
        <f>(P10+'Bill No 4'!H4)*0.01*1.1</f>
        <v>3.8956500000000007</v>
      </c>
      <c r="I11" s="732"/>
      <c r="J11" s="737"/>
      <c r="K11" s="738"/>
      <c r="L11" s="738"/>
    </row>
    <row r="12" spans="1:16" s="741" customFormat="1" ht="30" customHeight="1" thickBot="1" x14ac:dyDescent="0.3">
      <c r="A12" s="926"/>
      <c r="B12" s="1043" t="str">
        <f>"TOTAL OF "&amp;$A$1&amp;" (TRANSFERRED TO SUMMARY)"</f>
        <v>TOTAL OF BILL NO. 3 - EARTHWORKS (TRANSFERRED TO SUMMARY)</v>
      </c>
      <c r="C12" s="1044"/>
      <c r="D12" s="1044"/>
      <c r="E12" s="1044"/>
      <c r="F12" s="1045"/>
      <c r="G12" s="929">
        <f>SUM(G5:G11)</f>
        <v>0</v>
      </c>
      <c r="H12" s="739"/>
      <c r="I12" s="740"/>
    </row>
    <row r="13" spans="1:16" ht="13.2" x14ac:dyDescent="0.25">
      <c r="A13" s="721"/>
      <c r="B13" s="742"/>
      <c r="C13" s="743"/>
      <c r="D13" s="742"/>
      <c r="E13" s="742"/>
      <c r="F13" s="744"/>
      <c r="G13" s="744"/>
    </row>
    <row r="14" spans="1:16" ht="13.2" x14ac:dyDescent="0.25">
      <c r="A14" s="724"/>
      <c r="B14" s="742"/>
      <c r="C14" s="743"/>
      <c r="D14" s="742"/>
      <c r="E14" s="742"/>
      <c r="F14" s="744"/>
      <c r="G14"/>
      <c r="H14"/>
      <c r="I14"/>
    </row>
    <row r="15" spans="1:16" s="746" customFormat="1" ht="13.2" x14ac:dyDescent="0.25">
      <c r="A15" s="721"/>
      <c r="B15" s="742"/>
      <c r="C15" s="743"/>
      <c r="D15" s="742"/>
      <c r="E15" s="742"/>
      <c r="F15" s="744"/>
      <c r="G15"/>
      <c r="H15"/>
      <c r="I15"/>
      <c r="J15" s="745"/>
      <c r="K15" s="745"/>
      <c r="L15" s="745"/>
    </row>
    <row r="16" spans="1:16" s="746" customFormat="1" x14ac:dyDescent="0.25">
      <c r="A16" s="825"/>
      <c r="B16" s="742"/>
      <c r="C16" s="743"/>
      <c r="D16" s="742"/>
      <c r="E16" s="742"/>
      <c r="F16" s="744"/>
      <c r="G16"/>
      <c r="H16"/>
      <c r="I16"/>
      <c r="J16" s="745"/>
      <c r="K16" s="745"/>
      <c r="L16" s="745"/>
    </row>
    <row r="17" spans="1:12" s="746" customFormat="1" x14ac:dyDescent="0.25">
      <c r="A17" s="726"/>
      <c r="B17" s="742"/>
      <c r="C17" s="743"/>
      <c r="D17" s="742"/>
      <c r="E17" s="742"/>
      <c r="F17" s="744"/>
      <c r="G17"/>
      <c r="H17"/>
      <c r="I17"/>
      <c r="J17" s="745"/>
      <c r="K17" s="745"/>
      <c r="L17" s="745"/>
    </row>
    <row r="18" spans="1:12" s="746" customFormat="1" x14ac:dyDescent="0.25">
      <c r="A18" s="825"/>
      <c r="B18" s="742"/>
      <c r="C18" s="743"/>
      <c r="D18" s="742"/>
      <c r="E18" s="742"/>
      <c r="F18" s="744"/>
      <c r="G18"/>
      <c r="H18"/>
      <c r="I18"/>
      <c r="J18" s="745"/>
      <c r="K18" s="745"/>
      <c r="L18" s="745"/>
    </row>
    <row r="19" spans="1:12" s="746" customFormat="1" x14ac:dyDescent="0.25">
      <c r="A19" s="826"/>
      <c r="B19" s="742"/>
      <c r="C19" s="743"/>
      <c r="D19" s="742"/>
      <c r="E19" s="742"/>
      <c r="F19" s="744"/>
      <c r="G19"/>
      <c r="H19"/>
      <c r="I19"/>
      <c r="J19" s="745"/>
      <c r="K19" s="745"/>
      <c r="L19" s="745"/>
    </row>
    <row r="20" spans="1:12" s="746" customFormat="1" x14ac:dyDescent="0.25">
      <c r="A20" s="826"/>
      <c r="B20" s="742"/>
      <c r="C20" s="743"/>
      <c r="D20" s="742"/>
      <c r="E20" s="742"/>
      <c r="F20" s="744"/>
      <c r="G20"/>
      <c r="H20"/>
      <c r="I20"/>
      <c r="J20" s="745"/>
      <c r="K20" s="745"/>
      <c r="L20" s="745"/>
    </row>
    <row r="21" spans="1:12" s="746" customFormat="1" x14ac:dyDescent="0.25">
      <c r="A21" s="826"/>
      <c r="B21" s="742"/>
      <c r="C21" s="743"/>
      <c r="D21" s="742"/>
      <c r="E21" s="742"/>
      <c r="F21" s="744"/>
      <c r="G21"/>
      <c r="H21"/>
      <c r="I21"/>
      <c r="J21" s="745"/>
      <c r="K21" s="745"/>
      <c r="L21" s="745"/>
    </row>
    <row r="22" spans="1:12" s="746" customFormat="1" x14ac:dyDescent="0.25">
      <c r="A22" s="826"/>
      <c r="B22" s="742"/>
      <c r="C22" s="743"/>
      <c r="D22" s="742"/>
      <c r="E22" s="742"/>
      <c r="F22" s="744"/>
      <c r="G22"/>
      <c r="H22"/>
      <c r="I22"/>
      <c r="J22" s="745"/>
      <c r="K22" s="745"/>
      <c r="L22" s="745"/>
    </row>
    <row r="23" spans="1:12" s="746" customFormat="1" x14ac:dyDescent="0.25">
      <c r="A23" s="826"/>
      <c r="B23" s="742"/>
      <c r="C23" s="743"/>
      <c r="D23" s="742"/>
      <c r="E23" s="742"/>
      <c r="F23" s="744"/>
      <c r="G23"/>
      <c r="H23"/>
      <c r="I23"/>
      <c r="J23" s="745"/>
      <c r="K23" s="745"/>
      <c r="L23" s="745"/>
    </row>
    <row r="24" spans="1:12" s="746" customFormat="1" x14ac:dyDescent="0.25">
      <c r="A24" s="826"/>
      <c r="B24" s="742"/>
      <c r="C24" s="743"/>
      <c r="D24" s="742"/>
      <c r="E24" s="742"/>
      <c r="F24" s="744"/>
      <c r="G24"/>
      <c r="H24"/>
      <c r="I24"/>
      <c r="J24" s="745"/>
      <c r="K24" s="745"/>
      <c r="L24" s="745"/>
    </row>
    <row r="25" spans="1:12" s="746" customFormat="1" x14ac:dyDescent="0.25">
      <c r="A25" s="826"/>
      <c r="B25" s="742"/>
      <c r="C25" s="743"/>
      <c r="D25" s="742"/>
      <c r="E25" s="742"/>
      <c r="F25" s="744"/>
      <c r="G25"/>
      <c r="H25"/>
      <c r="I25"/>
      <c r="J25" s="745"/>
      <c r="K25" s="745"/>
      <c r="L25" s="745"/>
    </row>
    <row r="26" spans="1:12" s="746" customFormat="1" x14ac:dyDescent="0.25">
      <c r="A26" s="826"/>
      <c r="B26" s="742"/>
      <c r="C26" s="743"/>
      <c r="D26" s="742"/>
      <c r="E26" s="742"/>
      <c r="F26" s="744"/>
      <c r="G26"/>
      <c r="H26"/>
      <c r="I26"/>
      <c r="J26" s="745"/>
      <c r="K26" s="745"/>
      <c r="L26" s="745"/>
    </row>
    <row r="27" spans="1:12" s="746" customFormat="1" x14ac:dyDescent="0.25">
      <c r="A27" s="826"/>
      <c r="B27" s="742"/>
      <c r="C27" s="743"/>
      <c r="D27" s="742"/>
      <c r="E27" s="742"/>
      <c r="F27" s="744"/>
      <c r="G27"/>
      <c r="H27"/>
      <c r="I27"/>
      <c r="J27" s="745"/>
      <c r="K27" s="745"/>
      <c r="L27" s="745"/>
    </row>
    <row r="28" spans="1:12" s="746" customFormat="1" x14ac:dyDescent="0.25">
      <c r="A28" s="826"/>
      <c r="B28" s="742"/>
      <c r="C28" s="743"/>
      <c r="D28" s="742"/>
      <c r="E28" s="742"/>
      <c r="F28" s="744"/>
      <c r="G28"/>
      <c r="H28"/>
      <c r="I28"/>
      <c r="J28" s="745"/>
      <c r="K28" s="745"/>
      <c r="L28" s="745"/>
    </row>
    <row r="29" spans="1:12" s="746" customFormat="1" x14ac:dyDescent="0.25">
      <c r="A29" s="826"/>
      <c r="B29" s="742"/>
      <c r="C29" s="743"/>
      <c r="D29" s="742"/>
      <c r="E29" s="742"/>
      <c r="F29" s="744"/>
      <c r="G29"/>
      <c r="H29"/>
      <c r="I29"/>
      <c r="J29" s="745"/>
      <c r="K29" s="745"/>
      <c r="L29" s="745"/>
    </row>
    <row r="30" spans="1:12" s="746" customFormat="1" x14ac:dyDescent="0.25">
      <c r="A30" s="826"/>
      <c r="B30" s="747"/>
      <c r="C30" s="745"/>
      <c r="D30" s="747"/>
      <c r="E30" s="727"/>
      <c r="F30" s="748"/>
      <c r="G30"/>
      <c r="H30"/>
      <c r="I30"/>
      <c r="J30" s="745"/>
      <c r="K30" s="745"/>
      <c r="L30" s="745"/>
    </row>
    <row r="31" spans="1:12" x14ac:dyDescent="0.25">
      <c r="E31" s="727"/>
      <c r="G31"/>
      <c r="H31"/>
      <c r="I31"/>
    </row>
    <row r="32" spans="1:12" x14ac:dyDescent="0.25">
      <c r="E32" s="727"/>
      <c r="G32"/>
      <c r="H32"/>
      <c r="I32"/>
    </row>
    <row r="33" spans="5:9" x14ac:dyDescent="0.25">
      <c r="E33" s="727"/>
      <c r="G33"/>
      <c r="H33"/>
      <c r="I33"/>
    </row>
    <row r="34" spans="5:9" x14ac:dyDescent="0.25">
      <c r="E34" s="727"/>
      <c r="G34"/>
      <c r="H34"/>
      <c r="I34"/>
    </row>
    <row r="35" spans="5:9" x14ac:dyDescent="0.25">
      <c r="E35" s="727"/>
      <c r="G35"/>
      <c r="H35"/>
      <c r="I35"/>
    </row>
    <row r="36" spans="5:9" x14ac:dyDescent="0.25">
      <c r="E36" s="727"/>
      <c r="G36"/>
      <c r="H36"/>
      <c r="I36"/>
    </row>
    <row r="37" spans="5:9" x14ac:dyDescent="0.25">
      <c r="E37" s="727"/>
      <c r="G37"/>
      <c r="H37"/>
      <c r="I37"/>
    </row>
    <row r="38" spans="5:9" x14ac:dyDescent="0.25">
      <c r="E38" s="727"/>
      <c r="G38"/>
      <c r="H38"/>
      <c r="I38"/>
    </row>
    <row r="39" spans="5:9" x14ac:dyDescent="0.25">
      <c r="E39" s="727"/>
      <c r="G39"/>
      <c r="H39"/>
      <c r="I39"/>
    </row>
    <row r="40" spans="5:9" x14ac:dyDescent="0.25">
      <c r="E40" s="727"/>
      <c r="G40"/>
      <c r="H40"/>
      <c r="I40"/>
    </row>
    <row r="41" spans="5:9" x14ac:dyDescent="0.25">
      <c r="E41" s="727"/>
      <c r="G41"/>
      <c r="H41"/>
      <c r="I41"/>
    </row>
    <row r="42" spans="5:9" x14ac:dyDescent="0.25">
      <c r="G42"/>
      <c r="H42"/>
      <c r="I42"/>
    </row>
    <row r="43" spans="5:9" x14ac:dyDescent="0.25">
      <c r="G43"/>
      <c r="H43"/>
      <c r="I43"/>
    </row>
  </sheetData>
  <mergeCells count="10">
    <mergeCell ref="B12:F12"/>
    <mergeCell ref="A1:C1"/>
    <mergeCell ref="D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4803149606299202" right="0.511811023622047" top="0.511811023622047" bottom="0.511811023622047" header="0" footer="0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32A6-945A-4D58-BE95-78FB943BF1E5}">
  <sheetPr>
    <tabColor theme="9" tint="0.59999389629810485"/>
    <pageSetUpPr fitToPage="1"/>
  </sheetPr>
  <dimension ref="A1:AG47"/>
  <sheetViews>
    <sheetView view="pageBreakPreview" zoomScale="85" zoomScaleNormal="100" zoomScaleSheetLayoutView="85" workbookViewId="0">
      <selection activeCell="H1" sqref="H1:AL1048576"/>
    </sheetView>
  </sheetViews>
  <sheetFormatPr defaultColWidth="9.44140625" defaultRowHeight="13.8" x14ac:dyDescent="0.25"/>
  <cols>
    <col min="1" max="1" width="8.109375" style="826" customWidth="1"/>
    <col min="2" max="2" width="10.33203125" style="747" customWidth="1"/>
    <col min="3" max="3" width="53.44140625" style="745" customWidth="1"/>
    <col min="4" max="4" width="8.109375" style="747" customWidth="1"/>
    <col min="5" max="5" width="9.109375" style="747" customWidth="1"/>
    <col min="6" max="6" width="12.5546875" style="748" customWidth="1"/>
    <col min="7" max="7" width="18.6640625" style="748" customWidth="1"/>
    <col min="8" max="8" width="12.6640625" style="745" hidden="1" customWidth="1"/>
    <col min="9" max="11" width="16.33203125" style="752" hidden="1" customWidth="1"/>
    <col min="12" max="13" width="13.5546875" style="745" hidden="1" customWidth="1"/>
    <col min="14" max="14" width="12.5546875" style="745" hidden="1" customWidth="1"/>
    <col min="15" max="38" width="0" style="745" hidden="1" customWidth="1"/>
    <col min="39" max="259" width="9.44140625" style="745"/>
    <col min="260" max="260" width="3.88671875" style="745" bestFit="1" customWidth="1"/>
    <col min="261" max="261" width="8.6640625" style="745" customWidth="1"/>
    <col min="262" max="262" width="48.6640625" style="745" customWidth="1"/>
    <col min="263" max="263" width="11.5546875" style="745" customWidth="1"/>
    <col min="264" max="264" width="13.33203125" style="745" customWidth="1"/>
    <col min="265" max="265" width="11.44140625" style="745" customWidth="1"/>
    <col min="266" max="266" width="17" style="745" customWidth="1"/>
    <col min="267" max="267" width="0" style="745" hidden="1" customWidth="1"/>
    <col min="268" max="268" width="16.33203125" style="745" customWidth="1"/>
    <col min="269" max="269" width="13.5546875" style="745" bestFit="1" customWidth="1"/>
    <col min="270" max="270" width="9.44140625" style="745"/>
    <col min="271" max="271" width="13.5546875" style="745" bestFit="1" customWidth="1"/>
    <col min="272" max="515" width="9.44140625" style="745"/>
    <col min="516" max="516" width="3.88671875" style="745" bestFit="1" customWidth="1"/>
    <col min="517" max="517" width="8.6640625" style="745" customWidth="1"/>
    <col min="518" max="518" width="48.6640625" style="745" customWidth="1"/>
    <col min="519" max="519" width="11.5546875" style="745" customWidth="1"/>
    <col min="520" max="520" width="13.33203125" style="745" customWidth="1"/>
    <col min="521" max="521" width="11.44140625" style="745" customWidth="1"/>
    <col min="522" max="522" width="17" style="745" customWidth="1"/>
    <col min="523" max="523" width="0" style="745" hidden="1" customWidth="1"/>
    <col min="524" max="524" width="16.33203125" style="745" customWidth="1"/>
    <col min="525" max="525" width="13.5546875" style="745" bestFit="1" customWidth="1"/>
    <col min="526" max="526" width="9.44140625" style="745"/>
    <col min="527" max="527" width="13.5546875" style="745" bestFit="1" customWidth="1"/>
    <col min="528" max="771" width="9.44140625" style="745"/>
    <col min="772" max="772" width="3.88671875" style="745" bestFit="1" customWidth="1"/>
    <col min="773" max="773" width="8.6640625" style="745" customWidth="1"/>
    <col min="774" max="774" width="48.6640625" style="745" customWidth="1"/>
    <col min="775" max="775" width="11.5546875" style="745" customWidth="1"/>
    <col min="776" max="776" width="13.33203125" style="745" customWidth="1"/>
    <col min="777" max="777" width="11.44140625" style="745" customWidth="1"/>
    <col min="778" max="778" width="17" style="745" customWidth="1"/>
    <col min="779" max="779" width="0" style="745" hidden="1" customWidth="1"/>
    <col min="780" max="780" width="16.33203125" style="745" customWidth="1"/>
    <col min="781" max="781" width="13.5546875" style="745" bestFit="1" customWidth="1"/>
    <col min="782" max="782" width="9.44140625" style="745"/>
    <col min="783" max="783" width="13.5546875" style="745" bestFit="1" customWidth="1"/>
    <col min="784" max="1027" width="9.44140625" style="745"/>
    <col min="1028" max="1028" width="3.88671875" style="745" bestFit="1" customWidth="1"/>
    <col min="1029" max="1029" width="8.6640625" style="745" customWidth="1"/>
    <col min="1030" max="1030" width="48.6640625" style="745" customWidth="1"/>
    <col min="1031" max="1031" width="11.5546875" style="745" customWidth="1"/>
    <col min="1032" max="1032" width="13.33203125" style="745" customWidth="1"/>
    <col min="1033" max="1033" width="11.44140625" style="745" customWidth="1"/>
    <col min="1034" max="1034" width="17" style="745" customWidth="1"/>
    <col min="1035" max="1035" width="0" style="745" hidden="1" customWidth="1"/>
    <col min="1036" max="1036" width="16.33203125" style="745" customWidth="1"/>
    <col min="1037" max="1037" width="13.5546875" style="745" bestFit="1" customWidth="1"/>
    <col min="1038" max="1038" width="9.44140625" style="745"/>
    <col min="1039" max="1039" width="13.5546875" style="745" bestFit="1" customWidth="1"/>
    <col min="1040" max="1283" width="9.44140625" style="745"/>
    <col min="1284" max="1284" width="3.88671875" style="745" bestFit="1" customWidth="1"/>
    <col min="1285" max="1285" width="8.6640625" style="745" customWidth="1"/>
    <col min="1286" max="1286" width="48.6640625" style="745" customWidth="1"/>
    <col min="1287" max="1287" width="11.5546875" style="745" customWidth="1"/>
    <col min="1288" max="1288" width="13.33203125" style="745" customWidth="1"/>
    <col min="1289" max="1289" width="11.44140625" style="745" customWidth="1"/>
    <col min="1290" max="1290" width="17" style="745" customWidth="1"/>
    <col min="1291" max="1291" width="0" style="745" hidden="1" customWidth="1"/>
    <col min="1292" max="1292" width="16.33203125" style="745" customWidth="1"/>
    <col min="1293" max="1293" width="13.5546875" style="745" bestFit="1" customWidth="1"/>
    <col min="1294" max="1294" width="9.44140625" style="745"/>
    <col min="1295" max="1295" width="13.5546875" style="745" bestFit="1" customWidth="1"/>
    <col min="1296" max="1539" width="9.44140625" style="745"/>
    <col min="1540" max="1540" width="3.88671875" style="745" bestFit="1" customWidth="1"/>
    <col min="1541" max="1541" width="8.6640625" style="745" customWidth="1"/>
    <col min="1542" max="1542" width="48.6640625" style="745" customWidth="1"/>
    <col min="1543" max="1543" width="11.5546875" style="745" customWidth="1"/>
    <col min="1544" max="1544" width="13.33203125" style="745" customWidth="1"/>
    <col min="1545" max="1545" width="11.44140625" style="745" customWidth="1"/>
    <col min="1546" max="1546" width="17" style="745" customWidth="1"/>
    <col min="1547" max="1547" width="0" style="745" hidden="1" customWidth="1"/>
    <col min="1548" max="1548" width="16.33203125" style="745" customWidth="1"/>
    <col min="1549" max="1549" width="13.5546875" style="745" bestFit="1" customWidth="1"/>
    <col min="1550" max="1550" width="9.44140625" style="745"/>
    <col min="1551" max="1551" width="13.5546875" style="745" bestFit="1" customWidth="1"/>
    <col min="1552" max="1795" width="9.44140625" style="745"/>
    <col min="1796" max="1796" width="3.88671875" style="745" bestFit="1" customWidth="1"/>
    <col min="1797" max="1797" width="8.6640625" style="745" customWidth="1"/>
    <col min="1798" max="1798" width="48.6640625" style="745" customWidth="1"/>
    <col min="1799" max="1799" width="11.5546875" style="745" customWidth="1"/>
    <col min="1800" max="1800" width="13.33203125" style="745" customWidth="1"/>
    <col min="1801" max="1801" width="11.44140625" style="745" customWidth="1"/>
    <col min="1802" max="1802" width="17" style="745" customWidth="1"/>
    <col min="1803" max="1803" width="0" style="745" hidden="1" customWidth="1"/>
    <col min="1804" max="1804" width="16.33203125" style="745" customWidth="1"/>
    <col min="1805" max="1805" width="13.5546875" style="745" bestFit="1" customWidth="1"/>
    <col min="1806" max="1806" width="9.44140625" style="745"/>
    <col min="1807" max="1807" width="13.5546875" style="745" bestFit="1" customWidth="1"/>
    <col min="1808" max="2051" width="9.44140625" style="745"/>
    <col min="2052" max="2052" width="3.88671875" style="745" bestFit="1" customWidth="1"/>
    <col min="2053" max="2053" width="8.6640625" style="745" customWidth="1"/>
    <col min="2054" max="2054" width="48.6640625" style="745" customWidth="1"/>
    <col min="2055" max="2055" width="11.5546875" style="745" customWidth="1"/>
    <col min="2056" max="2056" width="13.33203125" style="745" customWidth="1"/>
    <col min="2057" max="2057" width="11.44140625" style="745" customWidth="1"/>
    <col min="2058" max="2058" width="17" style="745" customWidth="1"/>
    <col min="2059" max="2059" width="0" style="745" hidden="1" customWidth="1"/>
    <col min="2060" max="2060" width="16.33203125" style="745" customWidth="1"/>
    <col min="2061" max="2061" width="13.5546875" style="745" bestFit="1" customWidth="1"/>
    <col min="2062" max="2062" width="9.44140625" style="745"/>
    <col min="2063" max="2063" width="13.5546875" style="745" bestFit="1" customWidth="1"/>
    <col min="2064" max="2307" width="9.44140625" style="745"/>
    <col min="2308" max="2308" width="3.88671875" style="745" bestFit="1" customWidth="1"/>
    <col min="2309" max="2309" width="8.6640625" style="745" customWidth="1"/>
    <col min="2310" max="2310" width="48.6640625" style="745" customWidth="1"/>
    <col min="2311" max="2311" width="11.5546875" style="745" customWidth="1"/>
    <col min="2312" max="2312" width="13.33203125" style="745" customWidth="1"/>
    <col min="2313" max="2313" width="11.44140625" style="745" customWidth="1"/>
    <col min="2314" max="2314" width="17" style="745" customWidth="1"/>
    <col min="2315" max="2315" width="0" style="745" hidden="1" customWidth="1"/>
    <col min="2316" max="2316" width="16.33203125" style="745" customWidth="1"/>
    <col min="2317" max="2317" width="13.5546875" style="745" bestFit="1" customWidth="1"/>
    <col min="2318" max="2318" width="9.44140625" style="745"/>
    <col min="2319" max="2319" width="13.5546875" style="745" bestFit="1" customWidth="1"/>
    <col min="2320" max="2563" width="9.44140625" style="745"/>
    <col min="2564" max="2564" width="3.88671875" style="745" bestFit="1" customWidth="1"/>
    <col min="2565" max="2565" width="8.6640625" style="745" customWidth="1"/>
    <col min="2566" max="2566" width="48.6640625" style="745" customWidth="1"/>
    <col min="2567" max="2567" width="11.5546875" style="745" customWidth="1"/>
    <col min="2568" max="2568" width="13.33203125" style="745" customWidth="1"/>
    <col min="2569" max="2569" width="11.44140625" style="745" customWidth="1"/>
    <col min="2570" max="2570" width="17" style="745" customWidth="1"/>
    <col min="2571" max="2571" width="0" style="745" hidden="1" customWidth="1"/>
    <col min="2572" max="2572" width="16.33203125" style="745" customWidth="1"/>
    <col min="2573" max="2573" width="13.5546875" style="745" bestFit="1" customWidth="1"/>
    <col min="2574" max="2574" width="9.44140625" style="745"/>
    <col min="2575" max="2575" width="13.5546875" style="745" bestFit="1" customWidth="1"/>
    <col min="2576" max="2819" width="9.44140625" style="745"/>
    <col min="2820" max="2820" width="3.88671875" style="745" bestFit="1" customWidth="1"/>
    <col min="2821" max="2821" width="8.6640625" style="745" customWidth="1"/>
    <col min="2822" max="2822" width="48.6640625" style="745" customWidth="1"/>
    <col min="2823" max="2823" width="11.5546875" style="745" customWidth="1"/>
    <col min="2824" max="2824" width="13.33203125" style="745" customWidth="1"/>
    <col min="2825" max="2825" width="11.44140625" style="745" customWidth="1"/>
    <col min="2826" max="2826" width="17" style="745" customWidth="1"/>
    <col min="2827" max="2827" width="0" style="745" hidden="1" customWidth="1"/>
    <col min="2828" max="2828" width="16.33203125" style="745" customWidth="1"/>
    <col min="2829" max="2829" width="13.5546875" style="745" bestFit="1" customWidth="1"/>
    <col min="2830" max="2830" width="9.44140625" style="745"/>
    <col min="2831" max="2831" width="13.5546875" style="745" bestFit="1" customWidth="1"/>
    <col min="2832" max="3075" width="9.44140625" style="745"/>
    <col min="3076" max="3076" width="3.88671875" style="745" bestFit="1" customWidth="1"/>
    <col min="3077" max="3077" width="8.6640625" style="745" customWidth="1"/>
    <col min="3078" max="3078" width="48.6640625" style="745" customWidth="1"/>
    <col min="3079" max="3079" width="11.5546875" style="745" customWidth="1"/>
    <col min="3080" max="3080" width="13.33203125" style="745" customWidth="1"/>
    <col min="3081" max="3081" width="11.44140625" style="745" customWidth="1"/>
    <col min="3082" max="3082" width="17" style="745" customWidth="1"/>
    <col min="3083" max="3083" width="0" style="745" hidden="1" customWidth="1"/>
    <col min="3084" max="3084" width="16.33203125" style="745" customWidth="1"/>
    <col min="3085" max="3085" width="13.5546875" style="745" bestFit="1" customWidth="1"/>
    <col min="3086" max="3086" width="9.44140625" style="745"/>
    <col min="3087" max="3087" width="13.5546875" style="745" bestFit="1" customWidth="1"/>
    <col min="3088" max="3331" width="9.44140625" style="745"/>
    <col min="3332" max="3332" width="3.88671875" style="745" bestFit="1" customWidth="1"/>
    <col min="3333" max="3333" width="8.6640625" style="745" customWidth="1"/>
    <col min="3334" max="3334" width="48.6640625" style="745" customWidth="1"/>
    <col min="3335" max="3335" width="11.5546875" style="745" customWidth="1"/>
    <col min="3336" max="3336" width="13.33203125" style="745" customWidth="1"/>
    <col min="3337" max="3337" width="11.44140625" style="745" customWidth="1"/>
    <col min="3338" max="3338" width="17" style="745" customWidth="1"/>
    <col min="3339" max="3339" width="0" style="745" hidden="1" customWidth="1"/>
    <col min="3340" max="3340" width="16.33203125" style="745" customWidth="1"/>
    <col min="3341" max="3341" width="13.5546875" style="745" bestFit="1" customWidth="1"/>
    <col min="3342" max="3342" width="9.44140625" style="745"/>
    <col min="3343" max="3343" width="13.5546875" style="745" bestFit="1" customWidth="1"/>
    <col min="3344" max="3587" width="9.44140625" style="745"/>
    <col min="3588" max="3588" width="3.88671875" style="745" bestFit="1" customWidth="1"/>
    <col min="3589" max="3589" width="8.6640625" style="745" customWidth="1"/>
    <col min="3590" max="3590" width="48.6640625" style="745" customWidth="1"/>
    <col min="3591" max="3591" width="11.5546875" style="745" customWidth="1"/>
    <col min="3592" max="3592" width="13.33203125" style="745" customWidth="1"/>
    <col min="3593" max="3593" width="11.44140625" style="745" customWidth="1"/>
    <col min="3594" max="3594" width="17" style="745" customWidth="1"/>
    <col min="3595" max="3595" width="0" style="745" hidden="1" customWidth="1"/>
    <col min="3596" max="3596" width="16.33203125" style="745" customWidth="1"/>
    <col min="3597" max="3597" width="13.5546875" style="745" bestFit="1" customWidth="1"/>
    <col min="3598" max="3598" width="9.44140625" style="745"/>
    <col min="3599" max="3599" width="13.5546875" style="745" bestFit="1" customWidth="1"/>
    <col min="3600" max="3843" width="9.44140625" style="745"/>
    <col min="3844" max="3844" width="3.88671875" style="745" bestFit="1" customWidth="1"/>
    <col min="3845" max="3845" width="8.6640625" style="745" customWidth="1"/>
    <col min="3846" max="3846" width="48.6640625" style="745" customWidth="1"/>
    <col min="3847" max="3847" width="11.5546875" style="745" customWidth="1"/>
    <col min="3848" max="3848" width="13.33203125" style="745" customWidth="1"/>
    <col min="3849" max="3849" width="11.44140625" style="745" customWidth="1"/>
    <col min="3850" max="3850" width="17" style="745" customWidth="1"/>
    <col min="3851" max="3851" width="0" style="745" hidden="1" customWidth="1"/>
    <col min="3852" max="3852" width="16.33203125" style="745" customWidth="1"/>
    <col min="3853" max="3853" width="13.5546875" style="745" bestFit="1" customWidth="1"/>
    <col min="3854" max="3854" width="9.44140625" style="745"/>
    <col min="3855" max="3855" width="13.5546875" style="745" bestFit="1" customWidth="1"/>
    <col min="3856" max="4099" width="9.44140625" style="745"/>
    <col min="4100" max="4100" width="3.88671875" style="745" bestFit="1" customWidth="1"/>
    <col min="4101" max="4101" width="8.6640625" style="745" customWidth="1"/>
    <col min="4102" max="4102" width="48.6640625" style="745" customWidth="1"/>
    <col min="4103" max="4103" width="11.5546875" style="745" customWidth="1"/>
    <col min="4104" max="4104" width="13.33203125" style="745" customWidth="1"/>
    <col min="4105" max="4105" width="11.44140625" style="745" customWidth="1"/>
    <col min="4106" max="4106" width="17" style="745" customWidth="1"/>
    <col min="4107" max="4107" width="0" style="745" hidden="1" customWidth="1"/>
    <col min="4108" max="4108" width="16.33203125" style="745" customWidth="1"/>
    <col min="4109" max="4109" width="13.5546875" style="745" bestFit="1" customWidth="1"/>
    <col min="4110" max="4110" width="9.44140625" style="745"/>
    <col min="4111" max="4111" width="13.5546875" style="745" bestFit="1" customWidth="1"/>
    <col min="4112" max="4355" width="9.44140625" style="745"/>
    <col min="4356" max="4356" width="3.88671875" style="745" bestFit="1" customWidth="1"/>
    <col min="4357" max="4357" width="8.6640625" style="745" customWidth="1"/>
    <col min="4358" max="4358" width="48.6640625" style="745" customWidth="1"/>
    <col min="4359" max="4359" width="11.5546875" style="745" customWidth="1"/>
    <col min="4360" max="4360" width="13.33203125" style="745" customWidth="1"/>
    <col min="4361" max="4361" width="11.44140625" style="745" customWidth="1"/>
    <col min="4362" max="4362" width="17" style="745" customWidth="1"/>
    <col min="4363" max="4363" width="0" style="745" hidden="1" customWidth="1"/>
    <col min="4364" max="4364" width="16.33203125" style="745" customWidth="1"/>
    <col min="4365" max="4365" width="13.5546875" style="745" bestFit="1" customWidth="1"/>
    <col min="4366" max="4366" width="9.44140625" style="745"/>
    <col min="4367" max="4367" width="13.5546875" style="745" bestFit="1" customWidth="1"/>
    <col min="4368" max="4611" width="9.44140625" style="745"/>
    <col min="4612" max="4612" width="3.88671875" style="745" bestFit="1" customWidth="1"/>
    <col min="4613" max="4613" width="8.6640625" style="745" customWidth="1"/>
    <col min="4614" max="4614" width="48.6640625" style="745" customWidth="1"/>
    <col min="4615" max="4615" width="11.5546875" style="745" customWidth="1"/>
    <col min="4616" max="4616" width="13.33203125" style="745" customWidth="1"/>
    <col min="4617" max="4617" width="11.44140625" style="745" customWidth="1"/>
    <col min="4618" max="4618" width="17" style="745" customWidth="1"/>
    <col min="4619" max="4619" width="0" style="745" hidden="1" customWidth="1"/>
    <col min="4620" max="4620" width="16.33203125" style="745" customWidth="1"/>
    <col min="4621" max="4621" width="13.5546875" style="745" bestFit="1" customWidth="1"/>
    <col min="4622" max="4622" width="9.44140625" style="745"/>
    <col min="4623" max="4623" width="13.5546875" style="745" bestFit="1" customWidth="1"/>
    <col min="4624" max="4867" width="9.44140625" style="745"/>
    <col min="4868" max="4868" width="3.88671875" style="745" bestFit="1" customWidth="1"/>
    <col min="4869" max="4869" width="8.6640625" style="745" customWidth="1"/>
    <col min="4870" max="4870" width="48.6640625" style="745" customWidth="1"/>
    <col min="4871" max="4871" width="11.5546875" style="745" customWidth="1"/>
    <col min="4872" max="4872" width="13.33203125" style="745" customWidth="1"/>
    <col min="4873" max="4873" width="11.44140625" style="745" customWidth="1"/>
    <col min="4874" max="4874" width="17" style="745" customWidth="1"/>
    <col min="4875" max="4875" width="0" style="745" hidden="1" customWidth="1"/>
    <col min="4876" max="4876" width="16.33203125" style="745" customWidth="1"/>
    <col min="4877" max="4877" width="13.5546875" style="745" bestFit="1" customWidth="1"/>
    <col min="4878" max="4878" width="9.44140625" style="745"/>
    <col min="4879" max="4879" width="13.5546875" style="745" bestFit="1" customWidth="1"/>
    <col min="4880" max="5123" width="9.44140625" style="745"/>
    <col min="5124" max="5124" width="3.88671875" style="745" bestFit="1" customWidth="1"/>
    <col min="5125" max="5125" width="8.6640625" style="745" customWidth="1"/>
    <col min="5126" max="5126" width="48.6640625" style="745" customWidth="1"/>
    <col min="5127" max="5127" width="11.5546875" style="745" customWidth="1"/>
    <col min="5128" max="5128" width="13.33203125" style="745" customWidth="1"/>
    <col min="5129" max="5129" width="11.44140625" style="745" customWidth="1"/>
    <col min="5130" max="5130" width="17" style="745" customWidth="1"/>
    <col min="5131" max="5131" width="0" style="745" hidden="1" customWidth="1"/>
    <col min="5132" max="5132" width="16.33203125" style="745" customWidth="1"/>
    <col min="5133" max="5133" width="13.5546875" style="745" bestFit="1" customWidth="1"/>
    <col min="5134" max="5134" width="9.44140625" style="745"/>
    <col min="5135" max="5135" width="13.5546875" style="745" bestFit="1" customWidth="1"/>
    <col min="5136" max="5379" width="9.44140625" style="745"/>
    <col min="5380" max="5380" width="3.88671875" style="745" bestFit="1" customWidth="1"/>
    <col min="5381" max="5381" width="8.6640625" style="745" customWidth="1"/>
    <col min="5382" max="5382" width="48.6640625" style="745" customWidth="1"/>
    <col min="5383" max="5383" width="11.5546875" style="745" customWidth="1"/>
    <col min="5384" max="5384" width="13.33203125" style="745" customWidth="1"/>
    <col min="5385" max="5385" width="11.44140625" style="745" customWidth="1"/>
    <col min="5386" max="5386" width="17" style="745" customWidth="1"/>
    <col min="5387" max="5387" width="0" style="745" hidden="1" customWidth="1"/>
    <col min="5388" max="5388" width="16.33203125" style="745" customWidth="1"/>
    <col min="5389" max="5389" width="13.5546875" style="745" bestFit="1" customWidth="1"/>
    <col min="5390" max="5390" width="9.44140625" style="745"/>
    <col min="5391" max="5391" width="13.5546875" style="745" bestFit="1" customWidth="1"/>
    <col min="5392" max="5635" width="9.44140625" style="745"/>
    <col min="5636" max="5636" width="3.88671875" style="745" bestFit="1" customWidth="1"/>
    <col min="5637" max="5637" width="8.6640625" style="745" customWidth="1"/>
    <col min="5638" max="5638" width="48.6640625" style="745" customWidth="1"/>
    <col min="5639" max="5639" width="11.5546875" style="745" customWidth="1"/>
    <col min="5640" max="5640" width="13.33203125" style="745" customWidth="1"/>
    <col min="5641" max="5641" width="11.44140625" style="745" customWidth="1"/>
    <col min="5642" max="5642" width="17" style="745" customWidth="1"/>
    <col min="5643" max="5643" width="0" style="745" hidden="1" customWidth="1"/>
    <col min="5644" max="5644" width="16.33203125" style="745" customWidth="1"/>
    <col min="5645" max="5645" width="13.5546875" style="745" bestFit="1" customWidth="1"/>
    <col min="5646" max="5646" width="9.44140625" style="745"/>
    <col min="5647" max="5647" width="13.5546875" style="745" bestFit="1" customWidth="1"/>
    <col min="5648" max="5891" width="9.44140625" style="745"/>
    <col min="5892" max="5892" width="3.88671875" style="745" bestFit="1" customWidth="1"/>
    <col min="5893" max="5893" width="8.6640625" style="745" customWidth="1"/>
    <col min="5894" max="5894" width="48.6640625" style="745" customWidth="1"/>
    <col min="5895" max="5895" width="11.5546875" style="745" customWidth="1"/>
    <col min="5896" max="5896" width="13.33203125" style="745" customWidth="1"/>
    <col min="5897" max="5897" width="11.44140625" style="745" customWidth="1"/>
    <col min="5898" max="5898" width="17" style="745" customWidth="1"/>
    <col min="5899" max="5899" width="0" style="745" hidden="1" customWidth="1"/>
    <col min="5900" max="5900" width="16.33203125" style="745" customWidth="1"/>
    <col min="5901" max="5901" width="13.5546875" style="745" bestFit="1" customWidth="1"/>
    <col min="5902" max="5902" width="9.44140625" style="745"/>
    <col min="5903" max="5903" width="13.5546875" style="745" bestFit="1" customWidth="1"/>
    <col min="5904" max="6147" width="9.44140625" style="745"/>
    <col min="6148" max="6148" width="3.88671875" style="745" bestFit="1" customWidth="1"/>
    <col min="6149" max="6149" width="8.6640625" style="745" customWidth="1"/>
    <col min="6150" max="6150" width="48.6640625" style="745" customWidth="1"/>
    <col min="6151" max="6151" width="11.5546875" style="745" customWidth="1"/>
    <col min="6152" max="6152" width="13.33203125" style="745" customWidth="1"/>
    <col min="6153" max="6153" width="11.44140625" style="745" customWidth="1"/>
    <col min="6154" max="6154" width="17" style="745" customWidth="1"/>
    <col min="6155" max="6155" width="0" style="745" hidden="1" customWidth="1"/>
    <col min="6156" max="6156" width="16.33203125" style="745" customWidth="1"/>
    <col min="6157" max="6157" width="13.5546875" style="745" bestFit="1" customWidth="1"/>
    <col min="6158" max="6158" width="9.44140625" style="745"/>
    <col min="6159" max="6159" width="13.5546875" style="745" bestFit="1" customWidth="1"/>
    <col min="6160" max="6403" width="9.44140625" style="745"/>
    <col min="6404" max="6404" width="3.88671875" style="745" bestFit="1" customWidth="1"/>
    <col min="6405" max="6405" width="8.6640625" style="745" customWidth="1"/>
    <col min="6406" max="6406" width="48.6640625" style="745" customWidth="1"/>
    <col min="6407" max="6407" width="11.5546875" style="745" customWidth="1"/>
    <col min="6408" max="6408" width="13.33203125" style="745" customWidth="1"/>
    <col min="6409" max="6409" width="11.44140625" style="745" customWidth="1"/>
    <col min="6410" max="6410" width="17" style="745" customWidth="1"/>
    <col min="6411" max="6411" width="0" style="745" hidden="1" customWidth="1"/>
    <col min="6412" max="6412" width="16.33203125" style="745" customWidth="1"/>
    <col min="6413" max="6413" width="13.5546875" style="745" bestFit="1" customWidth="1"/>
    <col min="6414" max="6414" width="9.44140625" style="745"/>
    <col min="6415" max="6415" width="13.5546875" style="745" bestFit="1" customWidth="1"/>
    <col min="6416" max="6659" width="9.44140625" style="745"/>
    <col min="6660" max="6660" width="3.88671875" style="745" bestFit="1" customWidth="1"/>
    <col min="6661" max="6661" width="8.6640625" style="745" customWidth="1"/>
    <col min="6662" max="6662" width="48.6640625" style="745" customWidth="1"/>
    <col min="6663" max="6663" width="11.5546875" style="745" customWidth="1"/>
    <col min="6664" max="6664" width="13.33203125" style="745" customWidth="1"/>
    <col min="6665" max="6665" width="11.44140625" style="745" customWidth="1"/>
    <col min="6666" max="6666" width="17" style="745" customWidth="1"/>
    <col min="6667" max="6667" width="0" style="745" hidden="1" customWidth="1"/>
    <col min="6668" max="6668" width="16.33203125" style="745" customWidth="1"/>
    <col min="6669" max="6669" width="13.5546875" style="745" bestFit="1" customWidth="1"/>
    <col min="6670" max="6670" width="9.44140625" style="745"/>
    <col min="6671" max="6671" width="13.5546875" style="745" bestFit="1" customWidth="1"/>
    <col min="6672" max="6915" width="9.44140625" style="745"/>
    <col min="6916" max="6916" width="3.88671875" style="745" bestFit="1" customWidth="1"/>
    <col min="6917" max="6917" width="8.6640625" style="745" customWidth="1"/>
    <col min="6918" max="6918" width="48.6640625" style="745" customWidth="1"/>
    <col min="6919" max="6919" width="11.5546875" style="745" customWidth="1"/>
    <col min="6920" max="6920" width="13.33203125" style="745" customWidth="1"/>
    <col min="6921" max="6921" width="11.44140625" style="745" customWidth="1"/>
    <col min="6922" max="6922" width="17" style="745" customWidth="1"/>
    <col min="6923" max="6923" width="0" style="745" hidden="1" customWidth="1"/>
    <col min="6924" max="6924" width="16.33203125" style="745" customWidth="1"/>
    <col min="6925" max="6925" width="13.5546875" style="745" bestFit="1" customWidth="1"/>
    <col min="6926" max="6926" width="9.44140625" style="745"/>
    <col min="6927" max="6927" width="13.5546875" style="745" bestFit="1" customWidth="1"/>
    <col min="6928" max="7171" width="9.44140625" style="745"/>
    <col min="7172" max="7172" width="3.88671875" style="745" bestFit="1" customWidth="1"/>
    <col min="7173" max="7173" width="8.6640625" style="745" customWidth="1"/>
    <col min="7174" max="7174" width="48.6640625" style="745" customWidth="1"/>
    <col min="7175" max="7175" width="11.5546875" style="745" customWidth="1"/>
    <col min="7176" max="7176" width="13.33203125" style="745" customWidth="1"/>
    <col min="7177" max="7177" width="11.44140625" style="745" customWidth="1"/>
    <col min="7178" max="7178" width="17" style="745" customWidth="1"/>
    <col min="7179" max="7179" width="0" style="745" hidden="1" customWidth="1"/>
    <col min="7180" max="7180" width="16.33203125" style="745" customWidth="1"/>
    <col min="7181" max="7181" width="13.5546875" style="745" bestFit="1" customWidth="1"/>
    <col min="7182" max="7182" width="9.44140625" style="745"/>
    <col min="7183" max="7183" width="13.5546875" style="745" bestFit="1" customWidth="1"/>
    <col min="7184" max="7427" width="9.44140625" style="745"/>
    <col min="7428" max="7428" width="3.88671875" style="745" bestFit="1" customWidth="1"/>
    <col min="7429" max="7429" width="8.6640625" style="745" customWidth="1"/>
    <col min="7430" max="7430" width="48.6640625" style="745" customWidth="1"/>
    <col min="7431" max="7431" width="11.5546875" style="745" customWidth="1"/>
    <col min="7432" max="7432" width="13.33203125" style="745" customWidth="1"/>
    <col min="7433" max="7433" width="11.44140625" style="745" customWidth="1"/>
    <col min="7434" max="7434" width="17" style="745" customWidth="1"/>
    <col min="7435" max="7435" width="0" style="745" hidden="1" customWidth="1"/>
    <col min="7436" max="7436" width="16.33203125" style="745" customWidth="1"/>
    <col min="7437" max="7437" width="13.5546875" style="745" bestFit="1" customWidth="1"/>
    <col min="7438" max="7438" width="9.44140625" style="745"/>
    <col min="7439" max="7439" width="13.5546875" style="745" bestFit="1" customWidth="1"/>
    <col min="7440" max="7683" width="9.44140625" style="745"/>
    <col min="7684" max="7684" width="3.88671875" style="745" bestFit="1" customWidth="1"/>
    <col min="7685" max="7685" width="8.6640625" style="745" customWidth="1"/>
    <col min="7686" max="7686" width="48.6640625" style="745" customWidth="1"/>
    <col min="7687" max="7687" width="11.5546875" style="745" customWidth="1"/>
    <col min="7688" max="7688" width="13.33203125" style="745" customWidth="1"/>
    <col min="7689" max="7689" width="11.44140625" style="745" customWidth="1"/>
    <col min="7690" max="7690" width="17" style="745" customWidth="1"/>
    <col min="7691" max="7691" width="0" style="745" hidden="1" customWidth="1"/>
    <col min="7692" max="7692" width="16.33203125" style="745" customWidth="1"/>
    <col min="7693" max="7693" width="13.5546875" style="745" bestFit="1" customWidth="1"/>
    <col min="7694" max="7694" width="9.44140625" style="745"/>
    <col min="7695" max="7695" width="13.5546875" style="745" bestFit="1" customWidth="1"/>
    <col min="7696" max="7939" width="9.44140625" style="745"/>
    <col min="7940" max="7940" width="3.88671875" style="745" bestFit="1" customWidth="1"/>
    <col min="7941" max="7941" width="8.6640625" style="745" customWidth="1"/>
    <col min="7942" max="7942" width="48.6640625" style="745" customWidth="1"/>
    <col min="7943" max="7943" width="11.5546875" style="745" customWidth="1"/>
    <col min="7944" max="7944" width="13.33203125" style="745" customWidth="1"/>
    <col min="7945" max="7945" width="11.44140625" style="745" customWidth="1"/>
    <col min="7946" max="7946" width="17" style="745" customWidth="1"/>
    <col min="7947" max="7947" width="0" style="745" hidden="1" customWidth="1"/>
    <col min="7948" max="7948" width="16.33203125" style="745" customWidth="1"/>
    <col min="7949" max="7949" width="13.5546875" style="745" bestFit="1" customWidth="1"/>
    <col min="7950" max="7950" width="9.44140625" style="745"/>
    <col min="7951" max="7951" width="13.5546875" style="745" bestFit="1" customWidth="1"/>
    <col min="7952" max="8195" width="9.44140625" style="745"/>
    <col min="8196" max="8196" width="3.88671875" style="745" bestFit="1" customWidth="1"/>
    <col min="8197" max="8197" width="8.6640625" style="745" customWidth="1"/>
    <col min="8198" max="8198" width="48.6640625" style="745" customWidth="1"/>
    <col min="8199" max="8199" width="11.5546875" style="745" customWidth="1"/>
    <col min="8200" max="8200" width="13.33203125" style="745" customWidth="1"/>
    <col min="8201" max="8201" width="11.44140625" style="745" customWidth="1"/>
    <col min="8202" max="8202" width="17" style="745" customWidth="1"/>
    <col min="8203" max="8203" width="0" style="745" hidden="1" customWidth="1"/>
    <col min="8204" max="8204" width="16.33203125" style="745" customWidth="1"/>
    <col min="8205" max="8205" width="13.5546875" style="745" bestFit="1" customWidth="1"/>
    <col min="8206" max="8206" width="9.44140625" style="745"/>
    <col min="8207" max="8207" width="13.5546875" style="745" bestFit="1" customWidth="1"/>
    <col min="8208" max="8451" width="9.44140625" style="745"/>
    <col min="8452" max="8452" width="3.88671875" style="745" bestFit="1" customWidth="1"/>
    <col min="8453" max="8453" width="8.6640625" style="745" customWidth="1"/>
    <col min="8454" max="8454" width="48.6640625" style="745" customWidth="1"/>
    <col min="8455" max="8455" width="11.5546875" style="745" customWidth="1"/>
    <col min="8456" max="8456" width="13.33203125" style="745" customWidth="1"/>
    <col min="8457" max="8457" width="11.44140625" style="745" customWidth="1"/>
    <col min="8458" max="8458" width="17" style="745" customWidth="1"/>
    <col min="8459" max="8459" width="0" style="745" hidden="1" customWidth="1"/>
    <col min="8460" max="8460" width="16.33203125" style="745" customWidth="1"/>
    <col min="8461" max="8461" width="13.5546875" style="745" bestFit="1" customWidth="1"/>
    <col min="8462" max="8462" width="9.44140625" style="745"/>
    <col min="8463" max="8463" width="13.5546875" style="745" bestFit="1" customWidth="1"/>
    <col min="8464" max="8707" width="9.44140625" style="745"/>
    <col min="8708" max="8708" width="3.88671875" style="745" bestFit="1" customWidth="1"/>
    <col min="8709" max="8709" width="8.6640625" style="745" customWidth="1"/>
    <col min="8710" max="8710" width="48.6640625" style="745" customWidth="1"/>
    <col min="8711" max="8711" width="11.5546875" style="745" customWidth="1"/>
    <col min="8712" max="8712" width="13.33203125" style="745" customWidth="1"/>
    <col min="8713" max="8713" width="11.44140625" style="745" customWidth="1"/>
    <col min="8714" max="8714" width="17" style="745" customWidth="1"/>
    <col min="8715" max="8715" width="0" style="745" hidden="1" customWidth="1"/>
    <col min="8716" max="8716" width="16.33203125" style="745" customWidth="1"/>
    <col min="8717" max="8717" width="13.5546875" style="745" bestFit="1" customWidth="1"/>
    <col min="8718" max="8718" width="9.44140625" style="745"/>
    <col min="8719" max="8719" width="13.5546875" style="745" bestFit="1" customWidth="1"/>
    <col min="8720" max="8963" width="9.44140625" style="745"/>
    <col min="8964" max="8964" width="3.88671875" style="745" bestFit="1" customWidth="1"/>
    <col min="8965" max="8965" width="8.6640625" style="745" customWidth="1"/>
    <col min="8966" max="8966" width="48.6640625" style="745" customWidth="1"/>
    <col min="8967" max="8967" width="11.5546875" style="745" customWidth="1"/>
    <col min="8968" max="8968" width="13.33203125" style="745" customWidth="1"/>
    <col min="8969" max="8969" width="11.44140625" style="745" customWidth="1"/>
    <col min="8970" max="8970" width="17" style="745" customWidth="1"/>
    <col min="8971" max="8971" width="0" style="745" hidden="1" customWidth="1"/>
    <col min="8972" max="8972" width="16.33203125" style="745" customWidth="1"/>
    <col min="8973" max="8973" width="13.5546875" style="745" bestFit="1" customWidth="1"/>
    <col min="8974" max="8974" width="9.44140625" style="745"/>
    <col min="8975" max="8975" width="13.5546875" style="745" bestFit="1" customWidth="1"/>
    <col min="8976" max="9219" width="9.44140625" style="745"/>
    <col min="9220" max="9220" width="3.88671875" style="745" bestFit="1" customWidth="1"/>
    <col min="9221" max="9221" width="8.6640625" style="745" customWidth="1"/>
    <col min="9222" max="9222" width="48.6640625" style="745" customWidth="1"/>
    <col min="9223" max="9223" width="11.5546875" style="745" customWidth="1"/>
    <col min="9224" max="9224" width="13.33203125" style="745" customWidth="1"/>
    <col min="9225" max="9225" width="11.44140625" style="745" customWidth="1"/>
    <col min="9226" max="9226" width="17" style="745" customWidth="1"/>
    <col min="9227" max="9227" width="0" style="745" hidden="1" customWidth="1"/>
    <col min="9228" max="9228" width="16.33203125" style="745" customWidth="1"/>
    <col min="9229" max="9229" width="13.5546875" style="745" bestFit="1" customWidth="1"/>
    <col min="9230" max="9230" width="9.44140625" style="745"/>
    <col min="9231" max="9231" width="13.5546875" style="745" bestFit="1" customWidth="1"/>
    <col min="9232" max="9475" width="9.44140625" style="745"/>
    <col min="9476" max="9476" width="3.88671875" style="745" bestFit="1" customWidth="1"/>
    <col min="9477" max="9477" width="8.6640625" style="745" customWidth="1"/>
    <col min="9478" max="9478" width="48.6640625" style="745" customWidth="1"/>
    <col min="9479" max="9479" width="11.5546875" style="745" customWidth="1"/>
    <col min="9480" max="9480" width="13.33203125" style="745" customWidth="1"/>
    <col min="9481" max="9481" width="11.44140625" style="745" customWidth="1"/>
    <col min="9482" max="9482" width="17" style="745" customWidth="1"/>
    <col min="9483" max="9483" width="0" style="745" hidden="1" customWidth="1"/>
    <col min="9484" max="9484" width="16.33203125" style="745" customWidth="1"/>
    <col min="9485" max="9485" width="13.5546875" style="745" bestFit="1" customWidth="1"/>
    <col min="9486" max="9486" width="9.44140625" style="745"/>
    <col min="9487" max="9487" width="13.5546875" style="745" bestFit="1" customWidth="1"/>
    <col min="9488" max="9731" width="9.44140625" style="745"/>
    <col min="9732" max="9732" width="3.88671875" style="745" bestFit="1" customWidth="1"/>
    <col min="9733" max="9733" width="8.6640625" style="745" customWidth="1"/>
    <col min="9734" max="9734" width="48.6640625" style="745" customWidth="1"/>
    <col min="9735" max="9735" width="11.5546875" style="745" customWidth="1"/>
    <col min="9736" max="9736" width="13.33203125" style="745" customWidth="1"/>
    <col min="9737" max="9737" width="11.44140625" style="745" customWidth="1"/>
    <col min="9738" max="9738" width="17" style="745" customWidth="1"/>
    <col min="9739" max="9739" width="0" style="745" hidden="1" customWidth="1"/>
    <col min="9740" max="9740" width="16.33203125" style="745" customWidth="1"/>
    <col min="9741" max="9741" width="13.5546875" style="745" bestFit="1" customWidth="1"/>
    <col min="9742" max="9742" width="9.44140625" style="745"/>
    <col min="9743" max="9743" width="13.5546875" style="745" bestFit="1" customWidth="1"/>
    <col min="9744" max="9987" width="9.44140625" style="745"/>
    <col min="9988" max="9988" width="3.88671875" style="745" bestFit="1" customWidth="1"/>
    <col min="9989" max="9989" width="8.6640625" style="745" customWidth="1"/>
    <col min="9990" max="9990" width="48.6640625" style="745" customWidth="1"/>
    <col min="9991" max="9991" width="11.5546875" style="745" customWidth="1"/>
    <col min="9992" max="9992" width="13.33203125" style="745" customWidth="1"/>
    <col min="9993" max="9993" width="11.44140625" style="745" customWidth="1"/>
    <col min="9994" max="9994" width="17" style="745" customWidth="1"/>
    <col min="9995" max="9995" width="0" style="745" hidden="1" customWidth="1"/>
    <col min="9996" max="9996" width="16.33203125" style="745" customWidth="1"/>
    <col min="9997" max="9997" width="13.5546875" style="745" bestFit="1" customWidth="1"/>
    <col min="9998" max="9998" width="9.44140625" style="745"/>
    <col min="9999" max="9999" width="13.5546875" style="745" bestFit="1" customWidth="1"/>
    <col min="10000" max="10243" width="9.44140625" style="745"/>
    <col min="10244" max="10244" width="3.88671875" style="745" bestFit="1" customWidth="1"/>
    <col min="10245" max="10245" width="8.6640625" style="745" customWidth="1"/>
    <col min="10246" max="10246" width="48.6640625" style="745" customWidth="1"/>
    <col min="10247" max="10247" width="11.5546875" style="745" customWidth="1"/>
    <col min="10248" max="10248" width="13.33203125" style="745" customWidth="1"/>
    <col min="10249" max="10249" width="11.44140625" style="745" customWidth="1"/>
    <col min="10250" max="10250" width="17" style="745" customWidth="1"/>
    <col min="10251" max="10251" width="0" style="745" hidden="1" customWidth="1"/>
    <col min="10252" max="10252" width="16.33203125" style="745" customWidth="1"/>
    <col min="10253" max="10253" width="13.5546875" style="745" bestFit="1" customWidth="1"/>
    <col min="10254" max="10254" width="9.44140625" style="745"/>
    <col min="10255" max="10255" width="13.5546875" style="745" bestFit="1" customWidth="1"/>
    <col min="10256" max="10499" width="9.44140625" style="745"/>
    <col min="10500" max="10500" width="3.88671875" style="745" bestFit="1" customWidth="1"/>
    <col min="10501" max="10501" width="8.6640625" style="745" customWidth="1"/>
    <col min="10502" max="10502" width="48.6640625" style="745" customWidth="1"/>
    <col min="10503" max="10503" width="11.5546875" style="745" customWidth="1"/>
    <col min="10504" max="10504" width="13.33203125" style="745" customWidth="1"/>
    <col min="10505" max="10505" width="11.44140625" style="745" customWidth="1"/>
    <col min="10506" max="10506" width="17" style="745" customWidth="1"/>
    <col min="10507" max="10507" width="0" style="745" hidden="1" customWidth="1"/>
    <col min="10508" max="10508" width="16.33203125" style="745" customWidth="1"/>
    <col min="10509" max="10509" width="13.5546875" style="745" bestFit="1" customWidth="1"/>
    <col min="10510" max="10510" width="9.44140625" style="745"/>
    <col min="10511" max="10511" width="13.5546875" style="745" bestFit="1" customWidth="1"/>
    <col min="10512" max="10755" width="9.44140625" style="745"/>
    <col min="10756" max="10756" width="3.88671875" style="745" bestFit="1" customWidth="1"/>
    <col min="10757" max="10757" width="8.6640625" style="745" customWidth="1"/>
    <col min="10758" max="10758" width="48.6640625" style="745" customWidth="1"/>
    <col min="10759" max="10759" width="11.5546875" style="745" customWidth="1"/>
    <col min="10760" max="10760" width="13.33203125" style="745" customWidth="1"/>
    <col min="10761" max="10761" width="11.44140625" style="745" customWidth="1"/>
    <col min="10762" max="10762" width="17" style="745" customWidth="1"/>
    <col min="10763" max="10763" width="0" style="745" hidden="1" customWidth="1"/>
    <col min="10764" max="10764" width="16.33203125" style="745" customWidth="1"/>
    <col min="10765" max="10765" width="13.5546875" style="745" bestFit="1" customWidth="1"/>
    <col min="10766" max="10766" width="9.44140625" style="745"/>
    <col min="10767" max="10767" width="13.5546875" style="745" bestFit="1" customWidth="1"/>
    <col min="10768" max="11011" width="9.44140625" style="745"/>
    <col min="11012" max="11012" width="3.88671875" style="745" bestFit="1" customWidth="1"/>
    <col min="11013" max="11013" width="8.6640625" style="745" customWidth="1"/>
    <col min="11014" max="11014" width="48.6640625" style="745" customWidth="1"/>
    <col min="11015" max="11015" width="11.5546875" style="745" customWidth="1"/>
    <col min="11016" max="11016" width="13.33203125" style="745" customWidth="1"/>
    <col min="11017" max="11017" width="11.44140625" style="745" customWidth="1"/>
    <col min="11018" max="11018" width="17" style="745" customWidth="1"/>
    <col min="11019" max="11019" width="0" style="745" hidden="1" customWidth="1"/>
    <col min="11020" max="11020" width="16.33203125" style="745" customWidth="1"/>
    <col min="11021" max="11021" width="13.5546875" style="745" bestFit="1" customWidth="1"/>
    <col min="11022" max="11022" width="9.44140625" style="745"/>
    <col min="11023" max="11023" width="13.5546875" style="745" bestFit="1" customWidth="1"/>
    <col min="11024" max="11267" width="9.44140625" style="745"/>
    <col min="11268" max="11268" width="3.88671875" style="745" bestFit="1" customWidth="1"/>
    <col min="11269" max="11269" width="8.6640625" style="745" customWidth="1"/>
    <col min="11270" max="11270" width="48.6640625" style="745" customWidth="1"/>
    <col min="11271" max="11271" width="11.5546875" style="745" customWidth="1"/>
    <col min="11272" max="11272" width="13.33203125" style="745" customWidth="1"/>
    <col min="11273" max="11273" width="11.44140625" style="745" customWidth="1"/>
    <col min="11274" max="11274" width="17" style="745" customWidth="1"/>
    <col min="11275" max="11275" width="0" style="745" hidden="1" customWidth="1"/>
    <col min="11276" max="11276" width="16.33203125" style="745" customWidth="1"/>
    <col min="11277" max="11277" width="13.5546875" style="745" bestFit="1" customWidth="1"/>
    <col min="11278" max="11278" width="9.44140625" style="745"/>
    <col min="11279" max="11279" width="13.5546875" style="745" bestFit="1" customWidth="1"/>
    <col min="11280" max="11523" width="9.44140625" style="745"/>
    <col min="11524" max="11524" width="3.88671875" style="745" bestFit="1" customWidth="1"/>
    <col min="11525" max="11525" width="8.6640625" style="745" customWidth="1"/>
    <col min="11526" max="11526" width="48.6640625" style="745" customWidth="1"/>
    <col min="11527" max="11527" width="11.5546875" style="745" customWidth="1"/>
    <col min="11528" max="11528" width="13.33203125" style="745" customWidth="1"/>
    <col min="11529" max="11529" width="11.44140625" style="745" customWidth="1"/>
    <col min="11530" max="11530" width="17" style="745" customWidth="1"/>
    <col min="11531" max="11531" width="0" style="745" hidden="1" customWidth="1"/>
    <col min="11532" max="11532" width="16.33203125" style="745" customWidth="1"/>
    <col min="11533" max="11533" width="13.5546875" style="745" bestFit="1" customWidth="1"/>
    <col min="11534" max="11534" width="9.44140625" style="745"/>
    <col min="11535" max="11535" width="13.5546875" style="745" bestFit="1" customWidth="1"/>
    <col min="11536" max="11779" width="9.44140625" style="745"/>
    <col min="11780" max="11780" width="3.88671875" style="745" bestFit="1" customWidth="1"/>
    <col min="11781" max="11781" width="8.6640625" style="745" customWidth="1"/>
    <col min="11782" max="11782" width="48.6640625" style="745" customWidth="1"/>
    <col min="11783" max="11783" width="11.5546875" style="745" customWidth="1"/>
    <col min="11784" max="11784" width="13.33203125" style="745" customWidth="1"/>
    <col min="11785" max="11785" width="11.44140625" style="745" customWidth="1"/>
    <col min="11786" max="11786" width="17" style="745" customWidth="1"/>
    <col min="11787" max="11787" width="0" style="745" hidden="1" customWidth="1"/>
    <col min="11788" max="11788" width="16.33203125" style="745" customWidth="1"/>
    <col min="11789" max="11789" width="13.5546875" style="745" bestFit="1" customWidth="1"/>
    <col min="11790" max="11790" width="9.44140625" style="745"/>
    <col min="11791" max="11791" width="13.5546875" style="745" bestFit="1" customWidth="1"/>
    <col min="11792" max="12035" width="9.44140625" style="745"/>
    <col min="12036" max="12036" width="3.88671875" style="745" bestFit="1" customWidth="1"/>
    <col min="12037" max="12037" width="8.6640625" style="745" customWidth="1"/>
    <col min="12038" max="12038" width="48.6640625" style="745" customWidth="1"/>
    <col min="12039" max="12039" width="11.5546875" style="745" customWidth="1"/>
    <col min="12040" max="12040" width="13.33203125" style="745" customWidth="1"/>
    <col min="12041" max="12041" width="11.44140625" style="745" customWidth="1"/>
    <col min="12042" max="12042" width="17" style="745" customWidth="1"/>
    <col min="12043" max="12043" width="0" style="745" hidden="1" customWidth="1"/>
    <col min="12044" max="12044" width="16.33203125" style="745" customWidth="1"/>
    <col min="12045" max="12045" width="13.5546875" style="745" bestFit="1" customWidth="1"/>
    <col min="12046" max="12046" width="9.44140625" style="745"/>
    <col min="12047" max="12047" width="13.5546875" style="745" bestFit="1" customWidth="1"/>
    <col min="12048" max="12291" width="9.44140625" style="745"/>
    <col min="12292" max="12292" width="3.88671875" style="745" bestFit="1" customWidth="1"/>
    <col min="12293" max="12293" width="8.6640625" style="745" customWidth="1"/>
    <col min="12294" max="12294" width="48.6640625" style="745" customWidth="1"/>
    <col min="12295" max="12295" width="11.5546875" style="745" customWidth="1"/>
    <col min="12296" max="12296" width="13.33203125" style="745" customWidth="1"/>
    <col min="12297" max="12297" width="11.44140625" style="745" customWidth="1"/>
    <col min="12298" max="12298" width="17" style="745" customWidth="1"/>
    <col min="12299" max="12299" width="0" style="745" hidden="1" customWidth="1"/>
    <col min="12300" max="12300" width="16.33203125" style="745" customWidth="1"/>
    <col min="12301" max="12301" width="13.5546875" style="745" bestFit="1" customWidth="1"/>
    <col min="12302" max="12302" width="9.44140625" style="745"/>
    <col min="12303" max="12303" width="13.5546875" style="745" bestFit="1" customWidth="1"/>
    <col min="12304" max="12547" width="9.44140625" style="745"/>
    <col min="12548" max="12548" width="3.88671875" style="745" bestFit="1" customWidth="1"/>
    <col min="12549" max="12549" width="8.6640625" style="745" customWidth="1"/>
    <col min="12550" max="12550" width="48.6640625" style="745" customWidth="1"/>
    <col min="12551" max="12551" width="11.5546875" style="745" customWidth="1"/>
    <col min="12552" max="12552" width="13.33203125" style="745" customWidth="1"/>
    <col min="12553" max="12553" width="11.44140625" style="745" customWidth="1"/>
    <col min="12554" max="12554" width="17" style="745" customWidth="1"/>
    <col min="12555" max="12555" width="0" style="745" hidden="1" customWidth="1"/>
    <col min="12556" max="12556" width="16.33203125" style="745" customWidth="1"/>
    <col min="12557" max="12557" width="13.5546875" style="745" bestFit="1" customWidth="1"/>
    <col min="12558" max="12558" width="9.44140625" style="745"/>
    <col min="12559" max="12559" width="13.5546875" style="745" bestFit="1" customWidth="1"/>
    <col min="12560" max="12803" width="9.44140625" style="745"/>
    <col min="12804" max="12804" width="3.88671875" style="745" bestFit="1" customWidth="1"/>
    <col min="12805" max="12805" width="8.6640625" style="745" customWidth="1"/>
    <col min="12806" max="12806" width="48.6640625" style="745" customWidth="1"/>
    <col min="12807" max="12807" width="11.5546875" style="745" customWidth="1"/>
    <col min="12808" max="12808" width="13.33203125" style="745" customWidth="1"/>
    <col min="12809" max="12809" width="11.44140625" style="745" customWidth="1"/>
    <col min="12810" max="12810" width="17" style="745" customWidth="1"/>
    <col min="12811" max="12811" width="0" style="745" hidden="1" customWidth="1"/>
    <col min="12812" max="12812" width="16.33203125" style="745" customWidth="1"/>
    <col min="12813" max="12813" width="13.5546875" style="745" bestFit="1" customWidth="1"/>
    <col min="12814" max="12814" width="9.44140625" style="745"/>
    <col min="12815" max="12815" width="13.5546875" style="745" bestFit="1" customWidth="1"/>
    <col min="12816" max="13059" width="9.44140625" style="745"/>
    <col min="13060" max="13060" width="3.88671875" style="745" bestFit="1" customWidth="1"/>
    <col min="13061" max="13061" width="8.6640625" style="745" customWidth="1"/>
    <col min="13062" max="13062" width="48.6640625" style="745" customWidth="1"/>
    <col min="13063" max="13063" width="11.5546875" style="745" customWidth="1"/>
    <col min="13064" max="13064" width="13.33203125" style="745" customWidth="1"/>
    <col min="13065" max="13065" width="11.44140625" style="745" customWidth="1"/>
    <col min="13066" max="13066" width="17" style="745" customWidth="1"/>
    <col min="13067" max="13067" width="0" style="745" hidden="1" customWidth="1"/>
    <col min="13068" max="13068" width="16.33203125" style="745" customWidth="1"/>
    <col min="13069" max="13069" width="13.5546875" style="745" bestFit="1" customWidth="1"/>
    <col min="13070" max="13070" width="9.44140625" style="745"/>
    <col min="13071" max="13071" width="13.5546875" style="745" bestFit="1" customWidth="1"/>
    <col min="13072" max="13315" width="9.44140625" style="745"/>
    <col min="13316" max="13316" width="3.88671875" style="745" bestFit="1" customWidth="1"/>
    <col min="13317" max="13317" width="8.6640625" style="745" customWidth="1"/>
    <col min="13318" max="13318" width="48.6640625" style="745" customWidth="1"/>
    <col min="13319" max="13319" width="11.5546875" style="745" customWidth="1"/>
    <col min="13320" max="13320" width="13.33203125" style="745" customWidth="1"/>
    <col min="13321" max="13321" width="11.44140625" style="745" customWidth="1"/>
    <col min="13322" max="13322" width="17" style="745" customWidth="1"/>
    <col min="13323" max="13323" width="0" style="745" hidden="1" customWidth="1"/>
    <col min="13324" max="13324" width="16.33203125" style="745" customWidth="1"/>
    <col min="13325" max="13325" width="13.5546875" style="745" bestFit="1" customWidth="1"/>
    <col min="13326" max="13326" width="9.44140625" style="745"/>
    <col min="13327" max="13327" width="13.5546875" style="745" bestFit="1" customWidth="1"/>
    <col min="13328" max="13571" width="9.44140625" style="745"/>
    <col min="13572" max="13572" width="3.88671875" style="745" bestFit="1" customWidth="1"/>
    <col min="13573" max="13573" width="8.6640625" style="745" customWidth="1"/>
    <col min="13574" max="13574" width="48.6640625" style="745" customWidth="1"/>
    <col min="13575" max="13575" width="11.5546875" style="745" customWidth="1"/>
    <col min="13576" max="13576" width="13.33203125" style="745" customWidth="1"/>
    <col min="13577" max="13577" width="11.44140625" style="745" customWidth="1"/>
    <col min="13578" max="13578" width="17" style="745" customWidth="1"/>
    <col min="13579" max="13579" width="0" style="745" hidden="1" customWidth="1"/>
    <col min="13580" max="13580" width="16.33203125" style="745" customWidth="1"/>
    <col min="13581" max="13581" width="13.5546875" style="745" bestFit="1" customWidth="1"/>
    <col min="13582" max="13582" width="9.44140625" style="745"/>
    <col min="13583" max="13583" width="13.5546875" style="745" bestFit="1" customWidth="1"/>
    <col min="13584" max="13827" width="9.44140625" style="745"/>
    <col min="13828" max="13828" width="3.88671875" style="745" bestFit="1" customWidth="1"/>
    <col min="13829" max="13829" width="8.6640625" style="745" customWidth="1"/>
    <col min="13830" max="13830" width="48.6640625" style="745" customWidth="1"/>
    <col min="13831" max="13831" width="11.5546875" style="745" customWidth="1"/>
    <col min="13832" max="13832" width="13.33203125" style="745" customWidth="1"/>
    <col min="13833" max="13833" width="11.44140625" style="745" customWidth="1"/>
    <col min="13834" max="13834" width="17" style="745" customWidth="1"/>
    <col min="13835" max="13835" width="0" style="745" hidden="1" customWidth="1"/>
    <col min="13836" max="13836" width="16.33203125" style="745" customWidth="1"/>
    <col min="13837" max="13837" width="13.5546875" style="745" bestFit="1" customWidth="1"/>
    <col min="13838" max="13838" width="9.44140625" style="745"/>
    <col min="13839" max="13839" width="13.5546875" style="745" bestFit="1" customWidth="1"/>
    <col min="13840" max="14083" width="9.44140625" style="745"/>
    <col min="14084" max="14084" width="3.88671875" style="745" bestFit="1" customWidth="1"/>
    <col min="14085" max="14085" width="8.6640625" style="745" customWidth="1"/>
    <col min="14086" max="14086" width="48.6640625" style="745" customWidth="1"/>
    <col min="14087" max="14087" width="11.5546875" style="745" customWidth="1"/>
    <col min="14088" max="14088" width="13.33203125" style="745" customWidth="1"/>
    <col min="14089" max="14089" width="11.44140625" style="745" customWidth="1"/>
    <col min="14090" max="14090" width="17" style="745" customWidth="1"/>
    <col min="14091" max="14091" width="0" style="745" hidden="1" customWidth="1"/>
    <col min="14092" max="14092" width="16.33203125" style="745" customWidth="1"/>
    <col min="14093" max="14093" width="13.5546875" style="745" bestFit="1" customWidth="1"/>
    <col min="14094" max="14094" width="9.44140625" style="745"/>
    <col min="14095" max="14095" width="13.5546875" style="745" bestFit="1" customWidth="1"/>
    <col min="14096" max="14339" width="9.44140625" style="745"/>
    <col min="14340" max="14340" width="3.88671875" style="745" bestFit="1" customWidth="1"/>
    <col min="14341" max="14341" width="8.6640625" style="745" customWidth="1"/>
    <col min="14342" max="14342" width="48.6640625" style="745" customWidth="1"/>
    <col min="14343" max="14343" width="11.5546875" style="745" customWidth="1"/>
    <col min="14344" max="14344" width="13.33203125" style="745" customWidth="1"/>
    <col min="14345" max="14345" width="11.44140625" style="745" customWidth="1"/>
    <col min="14346" max="14346" width="17" style="745" customWidth="1"/>
    <col min="14347" max="14347" width="0" style="745" hidden="1" customWidth="1"/>
    <col min="14348" max="14348" width="16.33203125" style="745" customWidth="1"/>
    <col min="14349" max="14349" width="13.5546875" style="745" bestFit="1" customWidth="1"/>
    <col min="14350" max="14350" width="9.44140625" style="745"/>
    <col min="14351" max="14351" width="13.5546875" style="745" bestFit="1" customWidth="1"/>
    <col min="14352" max="14595" width="9.44140625" style="745"/>
    <col min="14596" max="14596" width="3.88671875" style="745" bestFit="1" customWidth="1"/>
    <col min="14597" max="14597" width="8.6640625" style="745" customWidth="1"/>
    <col min="14598" max="14598" width="48.6640625" style="745" customWidth="1"/>
    <col min="14599" max="14599" width="11.5546875" style="745" customWidth="1"/>
    <col min="14600" max="14600" width="13.33203125" style="745" customWidth="1"/>
    <col min="14601" max="14601" width="11.44140625" style="745" customWidth="1"/>
    <col min="14602" max="14602" width="17" style="745" customWidth="1"/>
    <col min="14603" max="14603" width="0" style="745" hidden="1" customWidth="1"/>
    <col min="14604" max="14604" width="16.33203125" style="745" customWidth="1"/>
    <col min="14605" max="14605" width="13.5546875" style="745" bestFit="1" customWidth="1"/>
    <col min="14606" max="14606" width="9.44140625" style="745"/>
    <col min="14607" max="14607" width="13.5546875" style="745" bestFit="1" customWidth="1"/>
    <col min="14608" max="14851" width="9.44140625" style="745"/>
    <col min="14852" max="14852" width="3.88671875" style="745" bestFit="1" customWidth="1"/>
    <col min="14853" max="14853" width="8.6640625" style="745" customWidth="1"/>
    <col min="14854" max="14854" width="48.6640625" style="745" customWidth="1"/>
    <col min="14855" max="14855" width="11.5546875" style="745" customWidth="1"/>
    <col min="14856" max="14856" width="13.33203125" style="745" customWidth="1"/>
    <col min="14857" max="14857" width="11.44140625" style="745" customWidth="1"/>
    <col min="14858" max="14858" width="17" style="745" customWidth="1"/>
    <col min="14859" max="14859" width="0" style="745" hidden="1" customWidth="1"/>
    <col min="14860" max="14860" width="16.33203125" style="745" customWidth="1"/>
    <col min="14861" max="14861" width="13.5546875" style="745" bestFit="1" customWidth="1"/>
    <col min="14862" max="14862" width="9.44140625" style="745"/>
    <col min="14863" max="14863" width="13.5546875" style="745" bestFit="1" customWidth="1"/>
    <col min="14864" max="15107" width="9.44140625" style="745"/>
    <col min="15108" max="15108" width="3.88671875" style="745" bestFit="1" customWidth="1"/>
    <col min="15109" max="15109" width="8.6640625" style="745" customWidth="1"/>
    <col min="15110" max="15110" width="48.6640625" style="745" customWidth="1"/>
    <col min="15111" max="15111" width="11.5546875" style="745" customWidth="1"/>
    <col min="15112" max="15112" width="13.33203125" style="745" customWidth="1"/>
    <col min="15113" max="15113" width="11.44140625" style="745" customWidth="1"/>
    <col min="15114" max="15114" width="17" style="745" customWidth="1"/>
    <col min="15115" max="15115" width="0" style="745" hidden="1" customWidth="1"/>
    <col min="15116" max="15116" width="16.33203125" style="745" customWidth="1"/>
    <col min="15117" max="15117" width="13.5546875" style="745" bestFit="1" customWidth="1"/>
    <col min="15118" max="15118" width="9.44140625" style="745"/>
    <col min="15119" max="15119" width="13.5546875" style="745" bestFit="1" customWidth="1"/>
    <col min="15120" max="15363" width="9.44140625" style="745"/>
    <col min="15364" max="15364" width="3.88671875" style="745" bestFit="1" customWidth="1"/>
    <col min="15365" max="15365" width="8.6640625" style="745" customWidth="1"/>
    <col min="15366" max="15366" width="48.6640625" style="745" customWidth="1"/>
    <col min="15367" max="15367" width="11.5546875" style="745" customWidth="1"/>
    <col min="15368" max="15368" width="13.33203125" style="745" customWidth="1"/>
    <col min="15369" max="15369" width="11.44140625" style="745" customWidth="1"/>
    <col min="15370" max="15370" width="17" style="745" customWidth="1"/>
    <col min="15371" max="15371" width="0" style="745" hidden="1" customWidth="1"/>
    <col min="15372" max="15372" width="16.33203125" style="745" customWidth="1"/>
    <col min="15373" max="15373" width="13.5546875" style="745" bestFit="1" customWidth="1"/>
    <col min="15374" max="15374" width="9.44140625" style="745"/>
    <col min="15375" max="15375" width="13.5546875" style="745" bestFit="1" customWidth="1"/>
    <col min="15376" max="15619" width="9.44140625" style="745"/>
    <col min="15620" max="15620" width="3.88671875" style="745" bestFit="1" customWidth="1"/>
    <col min="15621" max="15621" width="8.6640625" style="745" customWidth="1"/>
    <col min="15622" max="15622" width="48.6640625" style="745" customWidth="1"/>
    <col min="15623" max="15623" width="11.5546875" style="745" customWidth="1"/>
    <col min="15624" max="15624" width="13.33203125" style="745" customWidth="1"/>
    <col min="15625" max="15625" width="11.44140625" style="745" customWidth="1"/>
    <col min="15626" max="15626" width="17" style="745" customWidth="1"/>
    <col min="15627" max="15627" width="0" style="745" hidden="1" customWidth="1"/>
    <col min="15628" max="15628" width="16.33203125" style="745" customWidth="1"/>
    <col min="15629" max="15629" width="13.5546875" style="745" bestFit="1" customWidth="1"/>
    <col min="15630" max="15630" width="9.44140625" style="745"/>
    <col min="15631" max="15631" width="13.5546875" style="745" bestFit="1" customWidth="1"/>
    <col min="15632" max="15875" width="9.44140625" style="745"/>
    <col min="15876" max="15876" width="3.88671875" style="745" bestFit="1" customWidth="1"/>
    <col min="15877" max="15877" width="8.6640625" style="745" customWidth="1"/>
    <col min="15878" max="15878" width="48.6640625" style="745" customWidth="1"/>
    <col min="15879" max="15879" width="11.5546875" style="745" customWidth="1"/>
    <col min="15880" max="15880" width="13.33203125" style="745" customWidth="1"/>
    <col min="15881" max="15881" width="11.44140625" style="745" customWidth="1"/>
    <col min="15882" max="15882" width="17" style="745" customWidth="1"/>
    <col min="15883" max="15883" width="0" style="745" hidden="1" customWidth="1"/>
    <col min="15884" max="15884" width="16.33203125" style="745" customWidth="1"/>
    <col min="15885" max="15885" width="13.5546875" style="745" bestFit="1" customWidth="1"/>
    <col min="15886" max="15886" width="9.44140625" style="745"/>
    <col min="15887" max="15887" width="13.5546875" style="745" bestFit="1" customWidth="1"/>
    <col min="15888" max="16131" width="9.44140625" style="745"/>
    <col min="16132" max="16132" width="3.88671875" style="745" bestFit="1" customWidth="1"/>
    <col min="16133" max="16133" width="8.6640625" style="745" customWidth="1"/>
    <col min="16134" max="16134" width="48.6640625" style="745" customWidth="1"/>
    <col min="16135" max="16135" width="11.5546875" style="745" customWidth="1"/>
    <col min="16136" max="16136" width="13.33203125" style="745" customWidth="1"/>
    <col min="16137" max="16137" width="11.44140625" style="745" customWidth="1"/>
    <col min="16138" max="16138" width="17" style="745" customWidth="1"/>
    <col min="16139" max="16139" width="0" style="745" hidden="1" customWidth="1"/>
    <col min="16140" max="16140" width="16.33203125" style="745" customWidth="1"/>
    <col min="16141" max="16141" width="13.5546875" style="745" bestFit="1" customWidth="1"/>
    <col min="16142" max="16142" width="9.44140625" style="745"/>
    <col min="16143" max="16143" width="13.5546875" style="745" bestFit="1" customWidth="1"/>
    <col min="16144" max="16384" width="9.44140625" style="745"/>
  </cols>
  <sheetData>
    <row r="1" spans="1:33" s="851" customFormat="1" ht="71.25" customHeight="1" thickBot="1" x14ac:dyDescent="0.3">
      <c r="A1" s="1046" t="str">
        <f>"BILL NO. "&amp;J3&amp;" - STRUCTURE CONSTRUCTION"</f>
        <v>BILL NO. 4 - STRUCTURE CONSTRUCTION</v>
      </c>
      <c r="B1" s="1047"/>
      <c r="C1" s="1047"/>
      <c r="D1" s="1048" t="str">
        <f>'Bill No 2'!D1:G1</f>
        <v>REDUCTION OF LANDSLIDE  VULNERABILITY  BY MITIGATION MEASURES BETWEEN CULVERT NO. 31/1 AND 31/2 ON HATTON - MASKELIYA - DELHOUSE ROAD B – 149</v>
      </c>
      <c r="E1" s="1048"/>
      <c r="F1" s="1048"/>
      <c r="G1" s="1049"/>
      <c r="H1" s="754"/>
      <c r="I1" s="755"/>
      <c r="J1" s="755"/>
      <c r="K1"/>
      <c r="L1"/>
      <c r="M1"/>
    </row>
    <row r="2" spans="1:33" s="719" customFormat="1" ht="18" customHeight="1" x14ac:dyDescent="0.25">
      <c r="A2" s="1050" t="s">
        <v>26</v>
      </c>
      <c r="B2" s="1058" t="s">
        <v>14</v>
      </c>
      <c r="C2" s="1058" t="s">
        <v>0</v>
      </c>
      <c r="D2" s="1058" t="s">
        <v>1</v>
      </c>
      <c r="E2" s="1058" t="s">
        <v>13</v>
      </c>
      <c r="F2" s="1060" t="s">
        <v>2</v>
      </c>
      <c r="G2" s="1062" t="s">
        <v>3</v>
      </c>
      <c r="I2" s="790">
        <f>'BOQ summary'!$I$2</f>
        <v>140</v>
      </c>
      <c r="J2" s="791"/>
      <c r="K2"/>
      <c r="L2"/>
      <c r="M2"/>
    </row>
    <row r="3" spans="1:33" s="719" customFormat="1" ht="18" customHeight="1" thickBot="1" x14ac:dyDescent="0.3">
      <c r="A3" s="1051"/>
      <c r="B3" s="1059"/>
      <c r="C3" s="1059"/>
      <c r="D3" s="1059"/>
      <c r="E3" s="1059"/>
      <c r="F3" s="1061"/>
      <c r="G3" s="1063"/>
      <c r="I3" s="792">
        <f>'Bill No 2'!$I$3</f>
        <v>0</v>
      </c>
      <c r="J3" s="793">
        <v>4</v>
      </c>
      <c r="K3"/>
      <c r="L3"/>
      <c r="M3"/>
    </row>
    <row r="4" spans="1:33" s="851" customFormat="1" ht="36" customHeight="1" x14ac:dyDescent="0.3">
      <c r="A4" s="866">
        <f>$J$3+0.1</f>
        <v>4.0999999999999996</v>
      </c>
      <c r="B4" s="845"/>
      <c r="C4" s="820" t="s">
        <v>749</v>
      </c>
      <c r="D4" s="847"/>
      <c r="E4" s="822"/>
      <c r="F4" s="846"/>
      <c r="G4" s="930"/>
      <c r="H4" s="736">
        <f>I7*R7+J7*AB16+K7*AG16+L7*W16+M7*W7</f>
        <v>354.15000000000003</v>
      </c>
      <c r="I4" s="805" t="s">
        <v>757</v>
      </c>
      <c r="J4" s="805"/>
      <c r="K4"/>
      <c r="L4">
        <v>98</v>
      </c>
      <c r="M4">
        <v>38</v>
      </c>
      <c r="N4"/>
      <c r="O4" s="787" t="s">
        <v>631</v>
      </c>
      <c r="P4" s="1064" t="s">
        <v>75</v>
      </c>
      <c r="Q4" s="1065"/>
      <c r="R4" s="1066"/>
      <c r="S4" s="772"/>
      <c r="T4" s="787" t="s">
        <v>594</v>
      </c>
      <c r="U4" s="1064" t="s">
        <v>75</v>
      </c>
      <c r="V4" s="1065"/>
      <c r="W4" s="1066"/>
      <c r="X4"/>
      <c r="Y4" s="794" t="s">
        <v>758</v>
      </c>
      <c r="Z4" s="1064" t="s">
        <v>75</v>
      </c>
      <c r="AA4" s="1065"/>
      <c r="AB4" s="1066"/>
      <c r="AC4" s="794" t="s">
        <v>76</v>
      </c>
    </row>
    <row r="5" spans="1:33" s="851" customFormat="1" ht="37.950000000000003" customHeight="1" x14ac:dyDescent="0.3">
      <c r="A5" s="867">
        <f>A4+0.01</f>
        <v>4.1099999999999994</v>
      </c>
      <c r="B5" s="845" t="s">
        <v>27</v>
      </c>
      <c r="C5" s="823" t="s">
        <v>750</v>
      </c>
      <c r="D5" s="845" t="s">
        <v>9</v>
      </c>
      <c r="E5" s="822">
        <v>42</v>
      </c>
      <c r="F5" s="846"/>
      <c r="G5" s="930">
        <f t="shared" ref="G5:G8" si="0">F5*E5</f>
        <v>0</v>
      </c>
      <c r="H5" s="736">
        <f>I7*R8+J7*AB17+K7*AG17+L7*W17+M7*W8+N7*AD8</f>
        <v>41.667500000000004</v>
      </c>
      <c r="I5" s="787" t="s">
        <v>631</v>
      </c>
      <c r="J5" s="787" t="s">
        <v>655</v>
      </c>
      <c r="K5" s="787" t="s">
        <v>877</v>
      </c>
      <c r="L5" s="806" t="s">
        <v>654</v>
      </c>
      <c r="M5" s="787" t="s">
        <v>594</v>
      </c>
      <c r="N5" s="786" t="s">
        <v>758</v>
      </c>
      <c r="O5" s="789" t="s">
        <v>38</v>
      </c>
      <c r="P5" s="789" t="s">
        <v>759</v>
      </c>
      <c r="Q5" s="789"/>
      <c r="R5" s="788"/>
      <c r="S5" s="772"/>
      <c r="T5" s="789" t="s">
        <v>38</v>
      </c>
      <c r="U5" s="789" t="s">
        <v>759</v>
      </c>
      <c r="V5" s="789"/>
      <c r="W5" s="788"/>
      <c r="X5"/>
      <c r="Y5" s="796" t="s">
        <v>38</v>
      </c>
      <c r="Z5" s="796" t="s">
        <v>759</v>
      </c>
      <c r="AA5" s="796"/>
      <c r="AB5" s="795"/>
      <c r="AC5" s="794"/>
    </row>
    <row r="6" spans="1:33" s="851" customFormat="1" ht="34.200000000000003" customHeight="1" x14ac:dyDescent="0.25">
      <c r="A6" s="867">
        <f t="shared" ref="A6:A8" si="1">A5+0.01</f>
        <v>4.1199999999999992</v>
      </c>
      <c r="B6" s="845" t="s">
        <v>28</v>
      </c>
      <c r="C6" s="823" t="s">
        <v>751</v>
      </c>
      <c r="D6" s="845" t="s">
        <v>9</v>
      </c>
      <c r="E6" s="822">
        <v>225</v>
      </c>
      <c r="F6" s="846"/>
      <c r="G6" s="930">
        <f t="shared" si="0"/>
        <v>0</v>
      </c>
      <c r="H6" s="736">
        <f>I7*R9+J7*AB18+K7*AG18+L7*W18+M7*W9+N7*AD9+L9*R18</f>
        <v>226.196259621358</v>
      </c>
      <c r="I6" s="785">
        <f>(75)/COS(RADIANS(20))</f>
        <v>79.81333293569341</v>
      </c>
      <c r="J6" s="785">
        <f>(230)/COS(RADIANS(20))</f>
        <v>244.76088766945978</v>
      </c>
      <c r="K6" s="785">
        <f>(20)/COS(RADIANS(20))</f>
        <v>21.283555449518243</v>
      </c>
      <c r="L6" s="785">
        <f>(98)/COS(RADIANS(50))</f>
        <v>152.46093503232041</v>
      </c>
      <c r="M6" s="785">
        <f>(38)/COS(RADIANS(50))</f>
        <v>59.117505420695664</v>
      </c>
      <c r="N6" s="785">
        <f>(345)/COS(RADIANS(10))</f>
        <v>350.32218110058204</v>
      </c>
      <c r="O6" s="784" t="s">
        <v>760</v>
      </c>
      <c r="P6" s="773" t="s">
        <v>676</v>
      </c>
      <c r="Q6" s="774" t="s">
        <v>54</v>
      </c>
      <c r="R6" s="773" t="s">
        <v>52</v>
      </c>
      <c r="S6" s="772"/>
      <c r="T6" s="773" t="s">
        <v>760</v>
      </c>
      <c r="U6" s="773" t="s">
        <v>676</v>
      </c>
      <c r="V6" s="774" t="s">
        <v>54</v>
      </c>
      <c r="W6" s="773" t="s">
        <v>52</v>
      </c>
      <c r="X6"/>
      <c r="Y6" s="775" t="s">
        <v>760</v>
      </c>
      <c r="Z6" s="775" t="s">
        <v>676</v>
      </c>
      <c r="AA6" s="776" t="s">
        <v>54</v>
      </c>
      <c r="AB6" s="775" t="s">
        <v>52</v>
      </c>
      <c r="AC6" s="775" t="s">
        <v>52</v>
      </c>
      <c r="AD6" s="775" t="s">
        <v>762</v>
      </c>
    </row>
    <row r="7" spans="1:33" s="851" customFormat="1" ht="34.200000000000003" customHeight="1" x14ac:dyDescent="0.3">
      <c r="A7" s="867">
        <f t="shared" si="1"/>
        <v>4.129999999999999</v>
      </c>
      <c r="B7" s="845" t="s">
        <v>29</v>
      </c>
      <c r="C7" s="823" t="s">
        <v>15</v>
      </c>
      <c r="D7" s="845" t="s">
        <v>19</v>
      </c>
      <c r="E7" s="822">
        <v>10950</v>
      </c>
      <c r="F7" s="846"/>
      <c r="G7" s="930">
        <f t="shared" si="0"/>
        <v>0</v>
      </c>
      <c r="H7" s="736">
        <f>I7*R10+J7*AB19+K7*AG19+L7*W10+N7*AD10</f>
        <v>10942.657407407409</v>
      </c>
      <c r="I7" s="800">
        <v>80</v>
      </c>
      <c r="J7" s="800">
        <v>245</v>
      </c>
      <c r="K7" s="800">
        <v>21</v>
      </c>
      <c r="L7" s="800">
        <v>206</v>
      </c>
      <c r="M7" s="800">
        <v>60</v>
      </c>
      <c r="N7" s="800">
        <v>351</v>
      </c>
      <c r="O7" s="778">
        <v>1</v>
      </c>
      <c r="P7" s="779" t="s">
        <v>383</v>
      </c>
      <c r="Q7" s="778" t="s">
        <v>68</v>
      </c>
      <c r="R7" s="780">
        <v>0.60000000000000009</v>
      </c>
      <c r="S7" s="772"/>
      <c r="T7" s="778">
        <v>1</v>
      </c>
      <c r="U7" s="779" t="s">
        <v>383</v>
      </c>
      <c r="V7" s="778" t="s">
        <v>68</v>
      </c>
      <c r="W7" s="780">
        <v>0.99750000000000016</v>
      </c>
      <c r="X7"/>
      <c r="Y7" s="797">
        <v>1</v>
      </c>
      <c r="Z7" s="798" t="s">
        <v>383</v>
      </c>
      <c r="AA7" s="797" t="s">
        <v>68</v>
      </c>
      <c r="AB7" s="799">
        <v>0.36245000000000005</v>
      </c>
      <c r="AC7" s="801"/>
      <c r="AD7" s="801">
        <f>SUM(AB7:AC7)</f>
        <v>0.36245000000000005</v>
      </c>
    </row>
    <row r="8" spans="1:33" s="851" customFormat="1" ht="34.200000000000003" customHeight="1" x14ac:dyDescent="0.3">
      <c r="A8" s="867">
        <f t="shared" si="1"/>
        <v>4.1399999999999988</v>
      </c>
      <c r="B8" s="845" t="s">
        <v>40</v>
      </c>
      <c r="C8" s="823" t="s">
        <v>752</v>
      </c>
      <c r="D8" s="845" t="s">
        <v>6</v>
      </c>
      <c r="E8" s="822">
        <v>2335</v>
      </c>
      <c r="F8" s="846"/>
      <c r="G8" s="930">
        <f t="shared" si="0"/>
        <v>0</v>
      </c>
      <c r="H8" s="736">
        <f>I7*R11+J7*AB20+K7*AG20+L7*W11+N7*AD11</f>
        <v>2330.71</v>
      </c>
      <c r="I8" s="786" t="s">
        <v>665</v>
      </c>
      <c r="J8" s="786"/>
      <c r="K8" s="786"/>
      <c r="L8" s="786" t="s">
        <v>783</v>
      </c>
      <c r="M8" s="949"/>
      <c r="N8" s="777"/>
      <c r="O8" s="778">
        <v>2</v>
      </c>
      <c r="P8" s="779" t="s">
        <v>575</v>
      </c>
      <c r="Q8" s="778" t="s">
        <v>68</v>
      </c>
      <c r="R8" s="780">
        <v>4.0000000000000008E-2</v>
      </c>
      <c r="S8" s="772"/>
      <c r="T8" s="778">
        <v>2</v>
      </c>
      <c r="U8" s="779" t="s">
        <v>575</v>
      </c>
      <c r="V8" s="778" t="s">
        <v>68</v>
      </c>
      <c r="W8" s="780">
        <v>5.2500000000000005E-2</v>
      </c>
      <c r="X8"/>
      <c r="Y8" s="797">
        <v>2</v>
      </c>
      <c r="Z8" s="798" t="s">
        <v>575</v>
      </c>
      <c r="AA8" s="797" t="s">
        <v>68</v>
      </c>
      <c r="AB8" s="799">
        <v>0.05</v>
      </c>
      <c r="AC8" s="515"/>
      <c r="AD8" s="801">
        <f t="shared" ref="AD8:AD9" si="2">SUM(AB8:AC8)</f>
        <v>0.05</v>
      </c>
    </row>
    <row r="9" spans="1:33" s="851" customFormat="1" ht="36" customHeight="1" x14ac:dyDescent="0.3">
      <c r="A9" s="866">
        <f>$A$4+0.1</f>
        <v>4.1999999999999993</v>
      </c>
      <c r="B9" s="845"/>
      <c r="C9" s="750" t="s">
        <v>753</v>
      </c>
      <c r="D9" s="845"/>
      <c r="E9" s="822"/>
      <c r="F9" s="846"/>
      <c r="G9" s="930"/>
      <c r="I9" s="785">
        <v>0</v>
      </c>
      <c r="J9" s="785"/>
      <c r="K9" s="785"/>
      <c r="L9" s="785">
        <f>(48)/COS(RADIANS(50))</f>
        <v>74.674743689299788</v>
      </c>
      <c r="M9" s="865"/>
      <c r="N9" s="777"/>
      <c r="O9" s="778">
        <v>3</v>
      </c>
      <c r="P9" s="779" t="s">
        <v>576</v>
      </c>
      <c r="Q9" s="778" t="s">
        <v>68</v>
      </c>
      <c r="R9" s="780">
        <v>0.20281250000000001</v>
      </c>
      <c r="S9" s="772"/>
      <c r="T9" s="778">
        <v>3</v>
      </c>
      <c r="U9" s="779" t="s">
        <v>576</v>
      </c>
      <c r="V9" s="778" t="s">
        <v>68</v>
      </c>
      <c r="W9" s="780">
        <v>0.4865000000000001</v>
      </c>
      <c r="X9"/>
      <c r="Y9" s="797">
        <v>3</v>
      </c>
      <c r="Z9" s="798" t="s">
        <v>576</v>
      </c>
      <c r="AA9" s="797" t="s">
        <v>68</v>
      </c>
      <c r="AB9" s="799">
        <v>0.15590000000000004</v>
      </c>
      <c r="AC9" s="515"/>
      <c r="AD9" s="801">
        <f t="shared" si="2"/>
        <v>0.15590000000000004</v>
      </c>
    </row>
    <row r="10" spans="1:33" s="851" customFormat="1" ht="37.950000000000003" customHeight="1" x14ac:dyDescent="0.3">
      <c r="A10" s="868">
        <f>A9+0.01</f>
        <v>4.2099999999999991</v>
      </c>
      <c r="B10" s="869" t="s">
        <v>778</v>
      </c>
      <c r="C10" s="823" t="s">
        <v>754</v>
      </c>
      <c r="D10" s="845" t="s">
        <v>10</v>
      </c>
      <c r="E10" s="822">
        <v>146</v>
      </c>
      <c r="F10" s="846"/>
      <c r="G10" s="930">
        <f>F10*E10</f>
        <v>0</v>
      </c>
      <c r="H10" s="736">
        <f>(L7+M7)*1.1/2</f>
        <v>146.30000000000001</v>
      </c>
      <c r="I10" s="865">
        <v>75</v>
      </c>
      <c r="J10" s="865">
        <v>230</v>
      </c>
      <c r="K10" s="865">
        <v>20</v>
      </c>
      <c r="L10" s="777"/>
      <c r="M10" s="777"/>
      <c r="N10" s="777"/>
      <c r="O10" s="778">
        <v>4</v>
      </c>
      <c r="P10" s="779" t="s">
        <v>625</v>
      </c>
      <c r="Q10" s="778" t="s">
        <v>761</v>
      </c>
      <c r="R10" s="780">
        <v>13.185185185185183</v>
      </c>
      <c r="S10" s="772"/>
      <c r="T10" s="778">
        <v>4</v>
      </c>
      <c r="U10" s="779" t="s">
        <v>625</v>
      </c>
      <c r="V10" s="778" t="s">
        <v>761</v>
      </c>
      <c r="W10" s="780">
        <v>16.080246913580247</v>
      </c>
      <c r="X10"/>
      <c r="Y10" s="797">
        <v>4</v>
      </c>
      <c r="Z10" s="798" t="s">
        <v>625</v>
      </c>
      <c r="AA10" s="797" t="s">
        <v>761</v>
      </c>
      <c r="AB10" s="799">
        <v>10.161522633744855</v>
      </c>
      <c r="AC10" s="515"/>
      <c r="AD10" s="801">
        <f>SUM(AB10:AC10)</f>
        <v>10.161522633744855</v>
      </c>
    </row>
    <row r="11" spans="1:33" s="851" customFormat="1" ht="24" customHeight="1" thickBot="1" x14ac:dyDescent="0.35">
      <c r="A11" s="931"/>
      <c r="B11" s="1043" t="str">
        <f>"TOTAL OF "&amp;$A$1&amp;" (TRANSFERRED TO SUMMARY)"</f>
        <v>TOTAL OF BILL NO. 4 - STRUCTURE CONSTRUCTION (TRANSFERRED TO SUMMARY)</v>
      </c>
      <c r="C11" s="1044"/>
      <c r="D11" s="1044"/>
      <c r="E11" s="1044"/>
      <c r="F11" s="1045"/>
      <c r="G11" s="929">
        <f>SUM(G4:G10)</f>
        <v>0</v>
      </c>
      <c r="I11" s="865"/>
      <c r="J11" s="865"/>
      <c r="K11" s="865"/>
      <c r="L11" s="777"/>
      <c r="M11" s="777"/>
      <c r="N11" s="777"/>
      <c r="O11" s="781">
        <v>5</v>
      </c>
      <c r="P11" s="782" t="s">
        <v>577</v>
      </c>
      <c r="Q11" s="781" t="s">
        <v>59</v>
      </c>
      <c r="R11" s="783">
        <v>2.6899999999999995</v>
      </c>
      <c r="S11" s="772"/>
      <c r="T11" s="781">
        <v>5</v>
      </c>
      <c r="U11" s="782" t="s">
        <v>577</v>
      </c>
      <c r="V11" s="781" t="s">
        <v>59</v>
      </c>
      <c r="W11" s="783">
        <v>4.0600000000000005</v>
      </c>
      <c r="X11"/>
      <c r="Y11" s="797">
        <v>5</v>
      </c>
      <c r="Z11" s="798" t="s">
        <v>577</v>
      </c>
      <c r="AA11" s="797" t="s">
        <v>59</v>
      </c>
      <c r="AB11" s="799">
        <v>2</v>
      </c>
      <c r="AC11" s="515"/>
      <c r="AD11" s="801">
        <f>SUM(AB11:AC11)</f>
        <v>2</v>
      </c>
    </row>
    <row r="12" spans="1:33" s="851" customFormat="1" ht="28.5" customHeight="1" x14ac:dyDescent="0.25">
      <c r="A12"/>
      <c r="B12"/>
      <c r="C12"/>
      <c r="D12" s="742"/>
      <c r="E12" s="742"/>
      <c r="F12" s="744"/>
      <c r="G12" s="744"/>
      <c r="I12" s="777"/>
      <c r="J12" s="777"/>
      <c r="K12" s="777"/>
      <c r="L12" s="777"/>
      <c r="M12" s="777"/>
      <c r="N12" s="777"/>
    </row>
    <row r="13" spans="1:33" s="851" customFormat="1" ht="33.75" customHeight="1" x14ac:dyDescent="0.3">
      <c r="A13"/>
      <c r="B13"/>
      <c r="C13"/>
      <c r="D13" s="742"/>
      <c r="E13" s="742"/>
      <c r="F13" s="744"/>
      <c r="G13"/>
      <c r="I13" s="777"/>
      <c r="J13" s="777"/>
      <c r="K13" s="777"/>
      <c r="L13" s="777"/>
      <c r="M13" s="777"/>
      <c r="N13" s="777"/>
      <c r="O13" s="806" t="s">
        <v>783</v>
      </c>
      <c r="P13" s="806" t="s">
        <v>75</v>
      </c>
      <c r="Q13"/>
      <c r="R13"/>
      <c r="T13" s="806" t="s">
        <v>654</v>
      </c>
      <c r="U13" s="806" t="s">
        <v>75</v>
      </c>
      <c r="V13"/>
      <c r="W13"/>
      <c r="Y13" s="787" t="s">
        <v>655</v>
      </c>
      <c r="Z13" s="1064" t="s">
        <v>75</v>
      </c>
      <c r="AA13" s="1065"/>
      <c r="AB13" s="1066"/>
      <c r="AD13" s="787" t="s">
        <v>877</v>
      </c>
      <c r="AE13" s="1064" t="s">
        <v>75</v>
      </c>
      <c r="AF13" s="1065"/>
      <c r="AG13" s="1066"/>
    </row>
    <row r="14" spans="1:33" s="851" customFormat="1" ht="24.9" customHeight="1" x14ac:dyDescent="0.3">
      <c r="A14"/>
      <c r="B14"/>
      <c r="C14"/>
      <c r="D14" s="742"/>
      <c r="E14" s="742"/>
      <c r="F14" s="744"/>
      <c r="G14"/>
      <c r="H14" s="751"/>
      <c r="I14" s="777"/>
      <c r="J14" s="777"/>
      <c r="K14" s="777"/>
      <c r="L14" s="777"/>
      <c r="M14" s="777"/>
      <c r="N14" s="777"/>
      <c r="O14" s="806" t="s">
        <v>38</v>
      </c>
      <c r="P14" s="806" t="s">
        <v>759</v>
      </c>
      <c r="Q14"/>
      <c r="R14"/>
      <c r="S14" s="772"/>
      <c r="T14" s="806" t="s">
        <v>38</v>
      </c>
      <c r="U14" s="806" t="s">
        <v>759</v>
      </c>
      <c r="V14"/>
      <c r="W14"/>
      <c r="X14"/>
      <c r="Y14" s="789" t="s">
        <v>38</v>
      </c>
      <c r="Z14" s="789" t="s">
        <v>759</v>
      </c>
      <c r="AA14" s="789"/>
      <c r="AB14" s="788"/>
      <c r="AC14" s="858"/>
      <c r="AD14" s="789" t="s">
        <v>38</v>
      </c>
      <c r="AE14" s="789" t="s">
        <v>759</v>
      </c>
      <c r="AF14" s="789"/>
      <c r="AG14" s="788"/>
    </row>
    <row r="15" spans="1:33" s="851" customFormat="1" ht="34.5" customHeight="1" x14ac:dyDescent="0.3">
      <c r="A15"/>
      <c r="B15"/>
      <c r="C15"/>
      <c r="D15" s="742"/>
      <c r="E15" s="742"/>
      <c r="F15" s="744"/>
      <c r="G15"/>
      <c r="H15" s="745"/>
      <c r="I15" s="777"/>
      <c r="J15" s="777"/>
      <c r="K15" s="777"/>
      <c r="L15" s="777"/>
      <c r="M15" s="777"/>
      <c r="N15" s="777"/>
      <c r="O15" s="807" t="s">
        <v>763</v>
      </c>
      <c r="P15" s="808" t="s">
        <v>676</v>
      </c>
      <c r="Q15" s="807" t="s">
        <v>54</v>
      </c>
      <c r="R15" s="809" t="s">
        <v>52</v>
      </c>
      <c r="S15" s="772"/>
      <c r="T15" s="807" t="s">
        <v>763</v>
      </c>
      <c r="U15" s="808" t="s">
        <v>676</v>
      </c>
      <c r="V15" s="807" t="s">
        <v>54</v>
      </c>
      <c r="W15" s="809" t="s">
        <v>52</v>
      </c>
      <c r="X15" s="745"/>
      <c r="Y15" s="784" t="s">
        <v>760</v>
      </c>
      <c r="Z15" s="773" t="s">
        <v>676</v>
      </c>
      <c r="AA15" s="774" t="s">
        <v>54</v>
      </c>
      <c r="AB15" s="773" t="s">
        <v>52</v>
      </c>
      <c r="AC15" s="858"/>
      <c r="AD15" s="784" t="s">
        <v>760</v>
      </c>
      <c r="AE15" s="773" t="s">
        <v>676</v>
      </c>
      <c r="AF15" s="774" t="s">
        <v>54</v>
      </c>
      <c r="AG15" s="773" t="s">
        <v>52</v>
      </c>
    </row>
    <row r="16" spans="1:33" s="851" customFormat="1" ht="21.75" customHeight="1" x14ac:dyDescent="0.3">
      <c r="A16"/>
      <c r="B16"/>
      <c r="C16"/>
      <c r="D16" s="742"/>
      <c r="E16" s="742"/>
      <c r="F16" s="744"/>
      <c r="G16"/>
      <c r="H16"/>
      <c r="I16" s="777"/>
      <c r="J16" s="777"/>
      <c r="K16" s="777"/>
      <c r="L16" s="777"/>
      <c r="M16" s="777"/>
      <c r="N16" s="777"/>
      <c r="O16" s="807">
        <v>1</v>
      </c>
      <c r="P16" s="808" t="s">
        <v>383</v>
      </c>
      <c r="Q16" s="807" t="s">
        <v>68</v>
      </c>
      <c r="R16" s="809">
        <v>0</v>
      </c>
      <c r="S16" s="772"/>
      <c r="T16" s="807">
        <v>1</v>
      </c>
      <c r="U16" s="808" t="s">
        <v>383</v>
      </c>
      <c r="V16" s="807" t="s">
        <v>68</v>
      </c>
      <c r="W16" s="950">
        <v>0.63749999999999996</v>
      </c>
      <c r="X16" s="745"/>
      <c r="Y16" s="778">
        <v>1</v>
      </c>
      <c r="Z16" s="779" t="s">
        <v>383</v>
      </c>
      <c r="AA16" s="778" t="s">
        <v>68</v>
      </c>
      <c r="AB16" s="780">
        <v>0.39000000000000007</v>
      </c>
      <c r="AC16" s="858"/>
      <c r="AD16" s="778">
        <v>1</v>
      </c>
      <c r="AE16" s="779" t="s">
        <v>383</v>
      </c>
      <c r="AF16" s="778" t="s">
        <v>68</v>
      </c>
      <c r="AG16" s="780">
        <v>0.92500000000000004</v>
      </c>
    </row>
    <row r="17" spans="1:33" s="851" customFormat="1" ht="21.75" customHeight="1" x14ac:dyDescent="0.3">
      <c r="A17"/>
      <c r="B17"/>
      <c r="C17"/>
      <c r="D17" s="742"/>
      <c r="E17" s="742"/>
      <c r="F17" s="744"/>
      <c r="G17"/>
      <c r="H17"/>
      <c r="I17" s="777"/>
      <c r="J17" s="777"/>
      <c r="K17" s="777"/>
      <c r="L17" s="777"/>
      <c r="M17" s="777"/>
      <c r="N17" s="777"/>
      <c r="O17" s="807">
        <v>2</v>
      </c>
      <c r="P17" s="808" t="s">
        <v>575</v>
      </c>
      <c r="Q17" s="807" t="s">
        <v>68</v>
      </c>
      <c r="R17" s="809">
        <v>0</v>
      </c>
      <c r="S17" s="772"/>
      <c r="T17" s="807">
        <v>2</v>
      </c>
      <c r="U17" s="808" t="s">
        <v>575</v>
      </c>
      <c r="V17" s="807" t="s">
        <v>68</v>
      </c>
      <c r="W17" s="950">
        <v>4.2500000000000003E-2</v>
      </c>
      <c r="X17" s="745"/>
      <c r="Y17" s="778">
        <v>2</v>
      </c>
      <c r="Z17" s="779" t="s">
        <v>575</v>
      </c>
      <c r="AA17" s="778" t="s">
        <v>68</v>
      </c>
      <c r="AB17" s="780">
        <v>3.2500000000000001E-2</v>
      </c>
      <c r="AC17" s="858"/>
      <c r="AD17" s="778">
        <v>2</v>
      </c>
      <c r="AE17" s="779" t="s">
        <v>575</v>
      </c>
      <c r="AF17" s="778" t="s">
        <v>68</v>
      </c>
      <c r="AG17" s="780">
        <v>0.05</v>
      </c>
    </row>
    <row r="18" spans="1:33" s="851" customFormat="1" ht="21.75" customHeight="1" x14ac:dyDescent="0.3">
      <c r="A18"/>
      <c r="B18"/>
      <c r="C18"/>
      <c r="D18" s="742"/>
      <c r="E18" s="742"/>
      <c r="F18" s="744"/>
      <c r="G18"/>
      <c r="H18"/>
      <c r="I18" s="777"/>
      <c r="J18" s="777"/>
      <c r="K18" s="777"/>
      <c r="L18" s="777"/>
      <c r="M18" s="777"/>
      <c r="N18" s="777"/>
      <c r="O18" s="807">
        <v>3</v>
      </c>
      <c r="P18" s="808" t="s">
        <v>576</v>
      </c>
      <c r="Q18" s="807" t="s">
        <v>68</v>
      </c>
      <c r="R18" s="809">
        <f>0.6*0.1</f>
        <v>0.06</v>
      </c>
      <c r="S18" s="772"/>
      <c r="T18" s="807">
        <v>3</v>
      </c>
      <c r="U18" s="808" t="s">
        <v>576</v>
      </c>
      <c r="V18" s="807" t="s">
        <v>68</v>
      </c>
      <c r="W18" s="950">
        <v>0.37112500000000004</v>
      </c>
      <c r="X18" s="745"/>
      <c r="Y18" s="778">
        <v>3</v>
      </c>
      <c r="Z18" s="779" t="s">
        <v>576</v>
      </c>
      <c r="AA18" s="778" t="s">
        <v>68</v>
      </c>
      <c r="AB18" s="780">
        <v>0.15710937500000002</v>
      </c>
      <c r="AC18" s="858"/>
      <c r="AD18" s="778">
        <v>3</v>
      </c>
      <c r="AE18" s="779" t="s">
        <v>576</v>
      </c>
      <c r="AF18" s="778" t="s">
        <v>68</v>
      </c>
      <c r="AG18" s="780">
        <v>0.31601562500000002</v>
      </c>
    </row>
    <row r="19" spans="1:33" s="851" customFormat="1" ht="21.75" customHeight="1" x14ac:dyDescent="0.3">
      <c r="A19"/>
      <c r="B19"/>
      <c r="C19"/>
      <c r="D19" s="742"/>
      <c r="E19" s="742"/>
      <c r="F19" s="744"/>
      <c r="G19"/>
      <c r="H19"/>
      <c r="I19" s="777"/>
      <c r="J19" s="777"/>
      <c r="K19" s="777"/>
      <c r="L19" s="777"/>
      <c r="M19" s="777"/>
      <c r="N19" s="777"/>
      <c r="O19" s="807">
        <v>4</v>
      </c>
      <c r="P19" s="806" t="s">
        <v>625</v>
      </c>
      <c r="Q19" s="530" t="s">
        <v>761</v>
      </c>
      <c r="R19" s="530">
        <v>0</v>
      </c>
      <c r="S19" s="772"/>
      <c r="T19" s="807">
        <v>4</v>
      </c>
      <c r="U19" s="806" t="s">
        <v>625</v>
      </c>
      <c r="V19" s="530" t="s">
        <v>761</v>
      </c>
      <c r="W19" s="951">
        <v>12.22222222222222</v>
      </c>
      <c r="X19" s="745"/>
      <c r="Y19" s="778">
        <v>4</v>
      </c>
      <c r="Z19" s="779" t="s">
        <v>625</v>
      </c>
      <c r="AA19" s="778" t="s">
        <v>761</v>
      </c>
      <c r="AB19" s="780">
        <v>10.808641975308644</v>
      </c>
      <c r="AC19" s="858"/>
      <c r="AD19" s="778">
        <v>4</v>
      </c>
      <c r="AE19" s="779" t="s">
        <v>625</v>
      </c>
      <c r="AF19" s="778" t="s">
        <v>761</v>
      </c>
      <c r="AG19" s="780">
        <v>17.166666666666668</v>
      </c>
    </row>
    <row r="20" spans="1:33" s="851" customFormat="1" ht="21.75" customHeight="1" x14ac:dyDescent="0.3">
      <c r="A20"/>
      <c r="B20"/>
      <c r="C20"/>
      <c r="D20" s="742"/>
      <c r="E20" s="742"/>
      <c r="F20" s="744"/>
      <c r="G20"/>
      <c r="H20"/>
      <c r="I20" s="777"/>
      <c r="J20" s="777"/>
      <c r="K20" s="777"/>
      <c r="L20" s="777"/>
      <c r="M20" s="777"/>
      <c r="N20" s="777"/>
      <c r="O20" s="807">
        <v>5</v>
      </c>
      <c r="P20" s="806" t="s">
        <v>577</v>
      </c>
      <c r="Q20" s="530" t="s">
        <v>59</v>
      </c>
      <c r="R20" s="530">
        <v>0</v>
      </c>
      <c r="S20" s="772"/>
      <c r="T20" s="807">
        <v>5</v>
      </c>
      <c r="U20" s="806" t="s">
        <v>577</v>
      </c>
      <c r="V20" s="530" t="s">
        <v>59</v>
      </c>
      <c r="W20" s="951">
        <v>3.0949999999999998</v>
      </c>
      <c r="X20" s="745"/>
      <c r="Y20" s="781">
        <v>5</v>
      </c>
      <c r="Z20" s="782" t="s">
        <v>577</v>
      </c>
      <c r="AA20" s="781" t="s">
        <v>59</v>
      </c>
      <c r="AB20" s="783">
        <v>2.0674999999999999</v>
      </c>
      <c r="AC20" s="858"/>
      <c r="AD20" s="781">
        <v>5</v>
      </c>
      <c r="AE20" s="782" t="s">
        <v>577</v>
      </c>
      <c r="AF20" s="781" t="s">
        <v>59</v>
      </c>
      <c r="AG20" s="783">
        <v>3.3624999999999998</v>
      </c>
    </row>
    <row r="21" spans="1:33" s="851" customFormat="1" ht="21.75" customHeight="1" x14ac:dyDescent="0.3">
      <c r="A21"/>
      <c r="B21"/>
      <c r="C21"/>
      <c r="D21" s="742"/>
      <c r="E21" s="721"/>
      <c r="F21" s="744"/>
      <c r="G21"/>
      <c r="H21"/>
      <c r="I21" s="777"/>
      <c r="J21" s="777"/>
      <c r="K21" s="777"/>
      <c r="L21" s="777"/>
      <c r="M21" s="777"/>
      <c r="N21" s="777"/>
      <c r="O21" s="852"/>
      <c r="P21" s="853"/>
      <c r="Q21" s="852"/>
      <c r="R21" s="854"/>
      <c r="S21" s="772"/>
      <c r="X21" s="745"/>
      <c r="Y21" s="855"/>
      <c r="Z21" s="856"/>
      <c r="AA21" s="855"/>
      <c r="AB21" s="857"/>
      <c r="AC21" s="858"/>
      <c r="AD21" s="859"/>
      <c r="AE21" s="753"/>
    </row>
    <row r="22" spans="1:33" s="851" customFormat="1" ht="21.75" customHeight="1" x14ac:dyDescent="0.3">
      <c r="A22"/>
      <c r="B22"/>
      <c r="C22"/>
      <c r="D22" s="742"/>
      <c r="E22" s="721"/>
      <c r="F22" s="744"/>
      <c r="G22"/>
      <c r="H22"/>
      <c r="I22" s="777"/>
      <c r="J22" s="777"/>
      <c r="K22" s="777"/>
      <c r="L22" s="777"/>
      <c r="M22" s="777"/>
      <c r="N22" s="777"/>
      <c r="O22" s="852"/>
      <c r="P22" s="853"/>
      <c r="Q22" s="852"/>
      <c r="R22" s="854"/>
      <c r="S22" s="772"/>
      <c r="X22" s="745"/>
      <c r="Y22" s="855"/>
      <c r="Z22" s="856"/>
      <c r="AA22" s="855"/>
      <c r="AB22" s="857"/>
      <c r="AC22" s="858"/>
      <c r="AD22" s="859"/>
      <c r="AE22" s="753"/>
    </row>
    <row r="23" spans="1:33" s="851" customFormat="1" ht="24.9" customHeight="1" x14ac:dyDescent="0.25">
      <c r="A23" s="726"/>
      <c r="B23" s="742"/>
      <c r="C23" s="743"/>
      <c r="D23" s="742"/>
      <c r="E23" s="721"/>
      <c r="F23" s="744"/>
      <c r="G23"/>
      <c r="H23"/>
      <c r="I23" s="777"/>
      <c r="J23" s="777"/>
      <c r="K23" s="777"/>
      <c r="L23" s="777"/>
      <c r="M23" s="777"/>
      <c r="N23" s="777"/>
      <c r="O23" s="745"/>
      <c r="P23" s="745"/>
      <c r="Q23" s="745"/>
      <c r="R23" s="745"/>
      <c r="S23" s="745"/>
      <c r="X23" s="745"/>
      <c r="Y23" s="745"/>
      <c r="Z23" s="745"/>
      <c r="AA23" s="745"/>
      <c r="AB23" s="745"/>
      <c r="AC23" s="745"/>
      <c r="AD23" s="745"/>
      <c r="AE23" s="745"/>
    </row>
    <row r="24" spans="1:33" s="851" customFormat="1" ht="24.9" customHeight="1" x14ac:dyDescent="0.25">
      <c r="A24" s="721"/>
      <c r="B24" s="742"/>
      <c r="C24" s="743"/>
      <c r="D24" s="742"/>
      <c r="E24" s="721"/>
      <c r="F24" s="744"/>
      <c r="G24"/>
      <c r="H24"/>
      <c r="I24" s="752"/>
      <c r="J24" s="752"/>
      <c r="K24" s="752"/>
      <c r="L24" s="745"/>
      <c r="M24" s="745"/>
      <c r="N24" s="745"/>
      <c r="O24" s="745"/>
      <c r="P24" s="745"/>
      <c r="Q24" s="745"/>
      <c r="R24" s="745"/>
      <c r="S24" s="745"/>
      <c r="X24" s="745"/>
      <c r="Y24" s="745"/>
      <c r="Z24" s="745"/>
      <c r="AA24" s="745"/>
      <c r="AB24" s="745"/>
      <c r="AC24" s="745"/>
      <c r="AD24" s="745"/>
      <c r="AE24" s="745"/>
    </row>
    <row r="25" spans="1:33" s="851" customFormat="1" ht="24.9" customHeight="1" x14ac:dyDescent="0.25">
      <c r="A25" s="724"/>
      <c r="B25" s="742"/>
      <c r="C25" s="743"/>
      <c r="D25" s="742"/>
      <c r="E25" s="721"/>
      <c r="F25" s="744"/>
      <c r="G25"/>
      <c r="H25"/>
      <c r="I25"/>
      <c r="J25"/>
      <c r="K25"/>
      <c r="L25" s="745"/>
      <c r="M25" s="745"/>
      <c r="N25" s="745"/>
      <c r="O25" s="745"/>
      <c r="P25" s="745"/>
      <c r="Q25" s="745"/>
      <c r="R25" s="745"/>
      <c r="S25" s="745"/>
      <c r="X25" s="745"/>
      <c r="Y25" s="745"/>
      <c r="Z25" s="745"/>
      <c r="AA25" s="745"/>
      <c r="AB25" s="745"/>
      <c r="AC25" s="745"/>
      <c r="AD25" s="745"/>
      <c r="AE25" s="745"/>
    </row>
    <row r="26" spans="1:33" s="851" customFormat="1" ht="33" customHeight="1" x14ac:dyDescent="0.25">
      <c r="A26" s="721"/>
      <c r="B26" s="742"/>
      <c r="C26" s="743"/>
      <c r="D26" s="742"/>
      <c r="E26" s="721"/>
      <c r="F26" s="744"/>
      <c r="G26"/>
      <c r="H26"/>
      <c r="I26"/>
      <c r="J26"/>
      <c r="K26"/>
      <c r="L26" s="745"/>
      <c r="M26" s="745"/>
      <c r="N26" s="745"/>
      <c r="O26" s="745"/>
      <c r="P26" s="745"/>
      <c r="Q26" s="745"/>
      <c r="R26" s="745"/>
      <c r="S26" s="745"/>
      <c r="Y26" s="745"/>
      <c r="Z26" s="745"/>
      <c r="AA26" s="745"/>
      <c r="AB26" s="745"/>
      <c r="AC26" s="745"/>
      <c r="AD26" s="745"/>
      <c r="AE26" s="745"/>
      <c r="AF26" s="753"/>
    </row>
    <row r="27" spans="1:33" s="753" customFormat="1" ht="34.5" customHeight="1" x14ac:dyDescent="0.25">
      <c r="A27" s="825"/>
      <c r="B27" s="742"/>
      <c r="C27" s="743"/>
      <c r="D27" s="742"/>
      <c r="E27" s="721"/>
      <c r="F27" s="744"/>
      <c r="G27"/>
      <c r="H27"/>
      <c r="I27"/>
      <c r="J27"/>
      <c r="K27"/>
      <c r="L27" s="745"/>
      <c r="M27" s="745"/>
      <c r="N27" s="745"/>
      <c r="O27" s="745"/>
      <c r="P27" s="745"/>
      <c r="Q27" s="745"/>
      <c r="R27" s="745"/>
      <c r="S27" s="745"/>
      <c r="Y27" s="745"/>
      <c r="Z27" s="745"/>
      <c r="AA27" s="745"/>
      <c r="AB27" s="745"/>
      <c r="AC27" s="745"/>
      <c r="AD27" s="745"/>
      <c r="AE27" s="745"/>
      <c r="AF27" s="745"/>
    </row>
    <row r="28" spans="1:33" x14ac:dyDescent="0.25">
      <c r="A28" s="726"/>
      <c r="B28" s="742"/>
      <c r="C28" s="743"/>
      <c r="D28" s="742"/>
      <c r="E28" s="721"/>
      <c r="F28" s="744"/>
      <c r="G28"/>
      <c r="H28"/>
      <c r="I28"/>
      <c r="J28"/>
      <c r="K28"/>
    </row>
    <row r="29" spans="1:33" x14ac:dyDescent="0.25">
      <c r="A29" s="825"/>
      <c r="B29" s="742"/>
      <c r="E29" s="727"/>
      <c r="G29"/>
      <c r="H29"/>
      <c r="I29"/>
      <c r="J29"/>
      <c r="K29"/>
    </row>
    <row r="30" spans="1:33" x14ac:dyDescent="0.25">
      <c r="B30" s="742"/>
      <c r="E30" s="727"/>
      <c r="G30"/>
      <c r="H30"/>
      <c r="I30"/>
      <c r="J30"/>
      <c r="K30"/>
    </row>
    <row r="31" spans="1:33" x14ac:dyDescent="0.25">
      <c r="B31" s="742"/>
      <c r="E31" s="727"/>
      <c r="G31"/>
      <c r="H31"/>
      <c r="I31"/>
      <c r="J31"/>
      <c r="K31"/>
    </row>
    <row r="32" spans="1:33" x14ac:dyDescent="0.25">
      <c r="B32" s="742"/>
      <c r="E32" s="727"/>
      <c r="G32"/>
      <c r="H32"/>
      <c r="I32"/>
      <c r="J32"/>
      <c r="K32"/>
    </row>
    <row r="33" spans="1:11" x14ac:dyDescent="0.25">
      <c r="B33" s="742"/>
      <c r="G33"/>
      <c r="H33"/>
      <c r="I33"/>
      <c r="J33"/>
      <c r="K33"/>
    </row>
    <row r="34" spans="1:11" x14ac:dyDescent="0.25">
      <c r="B34" s="742"/>
      <c r="G34"/>
      <c r="H34"/>
      <c r="I34"/>
      <c r="J34"/>
      <c r="K34"/>
    </row>
    <row r="35" spans="1:11" ht="13.2" x14ac:dyDescent="0.25">
      <c r="A35" s="745"/>
      <c r="B35" s="742"/>
      <c r="G35"/>
      <c r="H35"/>
      <c r="I35"/>
      <c r="J35"/>
      <c r="K35"/>
    </row>
    <row r="36" spans="1:11" ht="13.2" x14ac:dyDescent="0.25">
      <c r="A36" s="745"/>
      <c r="B36" s="742"/>
      <c r="H36"/>
      <c r="I36"/>
      <c r="J36"/>
      <c r="K36"/>
    </row>
    <row r="37" spans="1:11" ht="13.2" x14ac:dyDescent="0.25">
      <c r="A37" s="745"/>
      <c r="B37" s="742"/>
      <c r="H37"/>
      <c r="I37"/>
      <c r="J37"/>
      <c r="K37"/>
    </row>
    <row r="38" spans="1:11" ht="13.2" x14ac:dyDescent="0.25">
      <c r="A38" s="745"/>
      <c r="B38" s="742"/>
      <c r="H38"/>
      <c r="I38"/>
      <c r="J38"/>
      <c r="K38"/>
    </row>
    <row r="39" spans="1:11" ht="13.2" x14ac:dyDescent="0.25">
      <c r="A39" s="745"/>
      <c r="B39" s="742"/>
      <c r="I39"/>
      <c r="J39"/>
      <c r="K39"/>
    </row>
    <row r="40" spans="1:11" x14ac:dyDescent="0.25">
      <c r="I40"/>
      <c r="J40"/>
      <c r="K40"/>
    </row>
    <row r="41" spans="1:11" x14ac:dyDescent="0.25">
      <c r="I41"/>
      <c r="J41"/>
      <c r="K41"/>
    </row>
    <row r="42" spans="1:11" x14ac:dyDescent="0.25">
      <c r="I42"/>
      <c r="J42"/>
      <c r="K42"/>
    </row>
    <row r="43" spans="1:11" x14ac:dyDescent="0.25">
      <c r="I43"/>
      <c r="J43"/>
      <c r="K43"/>
    </row>
    <row r="44" spans="1:11" x14ac:dyDescent="0.25">
      <c r="I44"/>
      <c r="J44"/>
      <c r="K44"/>
    </row>
    <row r="45" spans="1:11" x14ac:dyDescent="0.25">
      <c r="I45"/>
      <c r="J45"/>
      <c r="K45"/>
    </row>
    <row r="46" spans="1:11" x14ac:dyDescent="0.25">
      <c r="I46"/>
      <c r="J46"/>
      <c r="K46"/>
    </row>
    <row r="47" spans="1:11" x14ac:dyDescent="0.25">
      <c r="I47"/>
      <c r="J47"/>
      <c r="K47"/>
    </row>
  </sheetData>
  <mergeCells count="15">
    <mergeCell ref="A1:C1"/>
    <mergeCell ref="D1:G1"/>
    <mergeCell ref="A2:A3"/>
    <mergeCell ref="B2:B3"/>
    <mergeCell ref="C2:C3"/>
    <mergeCell ref="D2:D3"/>
    <mergeCell ref="E2:E3"/>
    <mergeCell ref="F2:F3"/>
    <mergeCell ref="G2:G3"/>
    <mergeCell ref="Z13:AB13"/>
    <mergeCell ref="AE13:AG13"/>
    <mergeCell ref="B11:F11"/>
    <mergeCell ref="P4:R4"/>
    <mergeCell ref="U4:W4"/>
    <mergeCell ref="Z4:AB4"/>
  </mergeCells>
  <printOptions horizontalCentered="1"/>
  <pageMargins left="0.74803149606299202" right="0.511811023622047" top="0.511811023622047" bottom="0.511811023622047" header="0" footer="0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FB64-5AAD-4C2D-8186-1695FB9AB43E}">
  <sheetPr>
    <tabColor theme="9" tint="0.59999389629810485"/>
    <pageSetUpPr fitToPage="1"/>
  </sheetPr>
  <dimension ref="A1:Y49"/>
  <sheetViews>
    <sheetView tabSelected="1" view="pageBreakPreview" topLeftCell="A7" zoomScale="85" zoomScaleNormal="100" zoomScaleSheetLayoutView="85" workbookViewId="0">
      <selection activeCell="V1" sqref="V1:AB1048576"/>
    </sheetView>
  </sheetViews>
  <sheetFormatPr defaultColWidth="9.44140625" defaultRowHeight="13.2" x14ac:dyDescent="0.25"/>
  <cols>
    <col min="1" max="1" width="8.109375" style="747" customWidth="1"/>
    <col min="2" max="2" width="10.33203125" style="747" customWidth="1"/>
    <col min="3" max="3" width="54.44140625" style="745" customWidth="1"/>
    <col min="4" max="4" width="8.109375" style="747" customWidth="1"/>
    <col min="5" max="5" width="9.109375" style="747" customWidth="1"/>
    <col min="6" max="6" width="11.33203125" style="762" customWidth="1"/>
    <col min="7" max="7" width="18.6640625" style="762" customWidth="1"/>
    <col min="8" max="8" width="12.6640625" style="746" hidden="1" customWidth="1"/>
    <col min="9" max="9" width="16.33203125" style="761" hidden="1" customWidth="1"/>
    <col min="10" max="10" width="13.5546875" style="761" hidden="1" customWidth="1"/>
    <col min="11" max="11" width="13.5546875" style="745" hidden="1" customWidth="1"/>
    <col min="12" max="12" width="9.88671875" style="745" hidden="1" customWidth="1"/>
    <col min="13" max="13" width="0" style="745" hidden="1" customWidth="1"/>
    <col min="14" max="14" width="13.109375" style="745" hidden="1" customWidth="1"/>
    <col min="15" max="28" width="0" style="745" hidden="1" customWidth="1"/>
    <col min="29" max="256" width="9.44140625" style="745"/>
    <col min="257" max="257" width="3.88671875" style="745" bestFit="1" customWidth="1"/>
    <col min="258" max="258" width="8.6640625" style="745" customWidth="1"/>
    <col min="259" max="259" width="48.6640625" style="745" customWidth="1"/>
    <col min="260" max="260" width="11.5546875" style="745" customWidth="1"/>
    <col min="261" max="261" width="13.33203125" style="745" customWidth="1"/>
    <col min="262" max="262" width="11.44140625" style="745" customWidth="1"/>
    <col min="263" max="263" width="17" style="745" customWidth="1"/>
    <col min="264" max="264" width="0" style="745" hidden="1" customWidth="1"/>
    <col min="265" max="265" width="16.33203125" style="745" customWidth="1"/>
    <col min="266" max="266" width="13.5546875" style="745" bestFit="1" customWidth="1"/>
    <col min="267" max="267" width="9.44140625" style="745"/>
    <col min="268" max="268" width="13.5546875" style="745" bestFit="1" customWidth="1"/>
    <col min="269" max="512" width="9.44140625" style="745"/>
    <col min="513" max="513" width="3.88671875" style="745" bestFit="1" customWidth="1"/>
    <col min="514" max="514" width="8.6640625" style="745" customWidth="1"/>
    <col min="515" max="515" width="48.6640625" style="745" customWidth="1"/>
    <col min="516" max="516" width="11.5546875" style="745" customWidth="1"/>
    <col min="517" max="517" width="13.33203125" style="745" customWidth="1"/>
    <col min="518" max="518" width="11.44140625" style="745" customWidth="1"/>
    <col min="519" max="519" width="17" style="745" customWidth="1"/>
    <col min="520" max="520" width="0" style="745" hidden="1" customWidth="1"/>
    <col min="521" max="521" width="16.33203125" style="745" customWidth="1"/>
    <col min="522" max="522" width="13.5546875" style="745" bestFit="1" customWidth="1"/>
    <col min="523" max="523" width="9.44140625" style="745"/>
    <col min="524" max="524" width="13.5546875" style="745" bestFit="1" customWidth="1"/>
    <col min="525" max="768" width="9.44140625" style="745"/>
    <col min="769" max="769" width="3.88671875" style="745" bestFit="1" customWidth="1"/>
    <col min="770" max="770" width="8.6640625" style="745" customWidth="1"/>
    <col min="771" max="771" width="48.6640625" style="745" customWidth="1"/>
    <col min="772" max="772" width="11.5546875" style="745" customWidth="1"/>
    <col min="773" max="773" width="13.33203125" style="745" customWidth="1"/>
    <col min="774" max="774" width="11.44140625" style="745" customWidth="1"/>
    <col min="775" max="775" width="17" style="745" customWidth="1"/>
    <col min="776" max="776" width="0" style="745" hidden="1" customWidth="1"/>
    <col min="777" max="777" width="16.33203125" style="745" customWidth="1"/>
    <col min="778" max="778" width="13.5546875" style="745" bestFit="1" customWidth="1"/>
    <col min="779" max="779" width="9.44140625" style="745"/>
    <col min="780" max="780" width="13.5546875" style="745" bestFit="1" customWidth="1"/>
    <col min="781" max="1024" width="9.44140625" style="745"/>
    <col min="1025" max="1025" width="3.88671875" style="745" bestFit="1" customWidth="1"/>
    <col min="1026" max="1026" width="8.6640625" style="745" customWidth="1"/>
    <col min="1027" max="1027" width="48.6640625" style="745" customWidth="1"/>
    <col min="1028" max="1028" width="11.5546875" style="745" customWidth="1"/>
    <col min="1029" max="1029" width="13.33203125" style="745" customWidth="1"/>
    <col min="1030" max="1030" width="11.44140625" style="745" customWidth="1"/>
    <col min="1031" max="1031" width="17" style="745" customWidth="1"/>
    <col min="1032" max="1032" width="0" style="745" hidden="1" customWidth="1"/>
    <col min="1033" max="1033" width="16.33203125" style="745" customWidth="1"/>
    <col min="1034" max="1034" width="13.5546875" style="745" bestFit="1" customWidth="1"/>
    <col min="1035" max="1035" width="9.44140625" style="745"/>
    <col min="1036" max="1036" width="13.5546875" style="745" bestFit="1" customWidth="1"/>
    <col min="1037" max="1280" width="9.44140625" style="745"/>
    <col min="1281" max="1281" width="3.88671875" style="745" bestFit="1" customWidth="1"/>
    <col min="1282" max="1282" width="8.6640625" style="745" customWidth="1"/>
    <col min="1283" max="1283" width="48.6640625" style="745" customWidth="1"/>
    <col min="1284" max="1284" width="11.5546875" style="745" customWidth="1"/>
    <col min="1285" max="1285" width="13.33203125" style="745" customWidth="1"/>
    <col min="1286" max="1286" width="11.44140625" style="745" customWidth="1"/>
    <col min="1287" max="1287" width="17" style="745" customWidth="1"/>
    <col min="1288" max="1288" width="0" style="745" hidden="1" customWidth="1"/>
    <col min="1289" max="1289" width="16.33203125" style="745" customWidth="1"/>
    <col min="1290" max="1290" width="13.5546875" style="745" bestFit="1" customWidth="1"/>
    <col min="1291" max="1291" width="9.44140625" style="745"/>
    <col min="1292" max="1292" width="13.5546875" style="745" bestFit="1" customWidth="1"/>
    <col min="1293" max="1536" width="9.44140625" style="745"/>
    <col min="1537" max="1537" width="3.88671875" style="745" bestFit="1" customWidth="1"/>
    <col min="1538" max="1538" width="8.6640625" style="745" customWidth="1"/>
    <col min="1539" max="1539" width="48.6640625" style="745" customWidth="1"/>
    <col min="1540" max="1540" width="11.5546875" style="745" customWidth="1"/>
    <col min="1541" max="1541" width="13.33203125" style="745" customWidth="1"/>
    <col min="1542" max="1542" width="11.44140625" style="745" customWidth="1"/>
    <col min="1543" max="1543" width="17" style="745" customWidth="1"/>
    <col min="1544" max="1544" width="0" style="745" hidden="1" customWidth="1"/>
    <col min="1545" max="1545" width="16.33203125" style="745" customWidth="1"/>
    <col min="1546" max="1546" width="13.5546875" style="745" bestFit="1" customWidth="1"/>
    <col min="1547" max="1547" width="9.44140625" style="745"/>
    <col min="1548" max="1548" width="13.5546875" style="745" bestFit="1" customWidth="1"/>
    <col min="1549" max="1792" width="9.44140625" style="745"/>
    <col min="1793" max="1793" width="3.88671875" style="745" bestFit="1" customWidth="1"/>
    <col min="1794" max="1794" width="8.6640625" style="745" customWidth="1"/>
    <col min="1795" max="1795" width="48.6640625" style="745" customWidth="1"/>
    <col min="1796" max="1796" width="11.5546875" style="745" customWidth="1"/>
    <col min="1797" max="1797" width="13.33203125" style="745" customWidth="1"/>
    <col min="1798" max="1798" width="11.44140625" style="745" customWidth="1"/>
    <col min="1799" max="1799" width="17" style="745" customWidth="1"/>
    <col min="1800" max="1800" width="0" style="745" hidden="1" customWidth="1"/>
    <col min="1801" max="1801" width="16.33203125" style="745" customWidth="1"/>
    <col min="1802" max="1802" width="13.5546875" style="745" bestFit="1" customWidth="1"/>
    <col min="1803" max="1803" width="9.44140625" style="745"/>
    <col min="1804" max="1804" width="13.5546875" style="745" bestFit="1" customWidth="1"/>
    <col min="1805" max="2048" width="9.44140625" style="745"/>
    <col min="2049" max="2049" width="3.88671875" style="745" bestFit="1" customWidth="1"/>
    <col min="2050" max="2050" width="8.6640625" style="745" customWidth="1"/>
    <col min="2051" max="2051" width="48.6640625" style="745" customWidth="1"/>
    <col min="2052" max="2052" width="11.5546875" style="745" customWidth="1"/>
    <col min="2053" max="2053" width="13.33203125" style="745" customWidth="1"/>
    <col min="2054" max="2054" width="11.44140625" style="745" customWidth="1"/>
    <col min="2055" max="2055" width="17" style="745" customWidth="1"/>
    <col min="2056" max="2056" width="0" style="745" hidden="1" customWidth="1"/>
    <col min="2057" max="2057" width="16.33203125" style="745" customWidth="1"/>
    <col min="2058" max="2058" width="13.5546875" style="745" bestFit="1" customWidth="1"/>
    <col min="2059" max="2059" width="9.44140625" style="745"/>
    <col min="2060" max="2060" width="13.5546875" style="745" bestFit="1" customWidth="1"/>
    <col min="2061" max="2304" width="9.44140625" style="745"/>
    <col min="2305" max="2305" width="3.88671875" style="745" bestFit="1" customWidth="1"/>
    <col min="2306" max="2306" width="8.6640625" style="745" customWidth="1"/>
    <col min="2307" max="2307" width="48.6640625" style="745" customWidth="1"/>
    <col min="2308" max="2308" width="11.5546875" style="745" customWidth="1"/>
    <col min="2309" max="2309" width="13.33203125" style="745" customWidth="1"/>
    <col min="2310" max="2310" width="11.44140625" style="745" customWidth="1"/>
    <col min="2311" max="2311" width="17" style="745" customWidth="1"/>
    <col min="2312" max="2312" width="0" style="745" hidden="1" customWidth="1"/>
    <col min="2313" max="2313" width="16.33203125" style="745" customWidth="1"/>
    <col min="2314" max="2314" width="13.5546875" style="745" bestFit="1" customWidth="1"/>
    <col min="2315" max="2315" width="9.44140625" style="745"/>
    <col min="2316" max="2316" width="13.5546875" style="745" bestFit="1" customWidth="1"/>
    <col min="2317" max="2560" width="9.44140625" style="745"/>
    <col min="2561" max="2561" width="3.88671875" style="745" bestFit="1" customWidth="1"/>
    <col min="2562" max="2562" width="8.6640625" style="745" customWidth="1"/>
    <col min="2563" max="2563" width="48.6640625" style="745" customWidth="1"/>
    <col min="2564" max="2564" width="11.5546875" style="745" customWidth="1"/>
    <col min="2565" max="2565" width="13.33203125" style="745" customWidth="1"/>
    <col min="2566" max="2566" width="11.44140625" style="745" customWidth="1"/>
    <col min="2567" max="2567" width="17" style="745" customWidth="1"/>
    <col min="2568" max="2568" width="0" style="745" hidden="1" customWidth="1"/>
    <col min="2569" max="2569" width="16.33203125" style="745" customWidth="1"/>
    <col min="2570" max="2570" width="13.5546875" style="745" bestFit="1" customWidth="1"/>
    <col min="2571" max="2571" width="9.44140625" style="745"/>
    <col min="2572" max="2572" width="13.5546875" style="745" bestFit="1" customWidth="1"/>
    <col min="2573" max="2816" width="9.44140625" style="745"/>
    <col min="2817" max="2817" width="3.88671875" style="745" bestFit="1" customWidth="1"/>
    <col min="2818" max="2818" width="8.6640625" style="745" customWidth="1"/>
    <col min="2819" max="2819" width="48.6640625" style="745" customWidth="1"/>
    <col min="2820" max="2820" width="11.5546875" style="745" customWidth="1"/>
    <col min="2821" max="2821" width="13.33203125" style="745" customWidth="1"/>
    <col min="2822" max="2822" width="11.44140625" style="745" customWidth="1"/>
    <col min="2823" max="2823" width="17" style="745" customWidth="1"/>
    <col min="2824" max="2824" width="0" style="745" hidden="1" customWidth="1"/>
    <col min="2825" max="2825" width="16.33203125" style="745" customWidth="1"/>
    <col min="2826" max="2826" width="13.5546875" style="745" bestFit="1" customWidth="1"/>
    <col min="2827" max="2827" width="9.44140625" style="745"/>
    <col min="2828" max="2828" width="13.5546875" style="745" bestFit="1" customWidth="1"/>
    <col min="2829" max="3072" width="9.44140625" style="745"/>
    <col min="3073" max="3073" width="3.88671875" style="745" bestFit="1" customWidth="1"/>
    <col min="3074" max="3074" width="8.6640625" style="745" customWidth="1"/>
    <col min="3075" max="3075" width="48.6640625" style="745" customWidth="1"/>
    <col min="3076" max="3076" width="11.5546875" style="745" customWidth="1"/>
    <col min="3077" max="3077" width="13.33203125" style="745" customWidth="1"/>
    <col min="3078" max="3078" width="11.44140625" style="745" customWidth="1"/>
    <col min="3079" max="3079" width="17" style="745" customWidth="1"/>
    <col min="3080" max="3080" width="0" style="745" hidden="1" customWidth="1"/>
    <col min="3081" max="3081" width="16.33203125" style="745" customWidth="1"/>
    <col min="3082" max="3082" width="13.5546875" style="745" bestFit="1" customWidth="1"/>
    <col min="3083" max="3083" width="9.44140625" style="745"/>
    <col min="3084" max="3084" width="13.5546875" style="745" bestFit="1" customWidth="1"/>
    <col min="3085" max="3328" width="9.44140625" style="745"/>
    <col min="3329" max="3329" width="3.88671875" style="745" bestFit="1" customWidth="1"/>
    <col min="3330" max="3330" width="8.6640625" style="745" customWidth="1"/>
    <col min="3331" max="3331" width="48.6640625" style="745" customWidth="1"/>
    <col min="3332" max="3332" width="11.5546875" style="745" customWidth="1"/>
    <col min="3333" max="3333" width="13.33203125" style="745" customWidth="1"/>
    <col min="3334" max="3334" width="11.44140625" style="745" customWidth="1"/>
    <col min="3335" max="3335" width="17" style="745" customWidth="1"/>
    <col min="3336" max="3336" width="0" style="745" hidden="1" customWidth="1"/>
    <col min="3337" max="3337" width="16.33203125" style="745" customWidth="1"/>
    <col min="3338" max="3338" width="13.5546875" style="745" bestFit="1" customWidth="1"/>
    <col min="3339" max="3339" width="9.44140625" style="745"/>
    <col min="3340" max="3340" width="13.5546875" style="745" bestFit="1" customWidth="1"/>
    <col min="3341" max="3584" width="9.44140625" style="745"/>
    <col min="3585" max="3585" width="3.88671875" style="745" bestFit="1" customWidth="1"/>
    <col min="3586" max="3586" width="8.6640625" style="745" customWidth="1"/>
    <col min="3587" max="3587" width="48.6640625" style="745" customWidth="1"/>
    <col min="3588" max="3588" width="11.5546875" style="745" customWidth="1"/>
    <col min="3589" max="3589" width="13.33203125" style="745" customWidth="1"/>
    <col min="3590" max="3590" width="11.44140625" style="745" customWidth="1"/>
    <col min="3591" max="3591" width="17" style="745" customWidth="1"/>
    <col min="3592" max="3592" width="0" style="745" hidden="1" customWidth="1"/>
    <col min="3593" max="3593" width="16.33203125" style="745" customWidth="1"/>
    <col min="3594" max="3594" width="13.5546875" style="745" bestFit="1" customWidth="1"/>
    <col min="3595" max="3595" width="9.44140625" style="745"/>
    <col min="3596" max="3596" width="13.5546875" style="745" bestFit="1" customWidth="1"/>
    <col min="3597" max="3840" width="9.44140625" style="745"/>
    <col min="3841" max="3841" width="3.88671875" style="745" bestFit="1" customWidth="1"/>
    <col min="3842" max="3842" width="8.6640625" style="745" customWidth="1"/>
    <col min="3843" max="3843" width="48.6640625" style="745" customWidth="1"/>
    <col min="3844" max="3844" width="11.5546875" style="745" customWidth="1"/>
    <col min="3845" max="3845" width="13.33203125" style="745" customWidth="1"/>
    <col min="3846" max="3846" width="11.44140625" style="745" customWidth="1"/>
    <col min="3847" max="3847" width="17" style="745" customWidth="1"/>
    <col min="3848" max="3848" width="0" style="745" hidden="1" customWidth="1"/>
    <col min="3849" max="3849" width="16.33203125" style="745" customWidth="1"/>
    <col min="3850" max="3850" width="13.5546875" style="745" bestFit="1" customWidth="1"/>
    <col min="3851" max="3851" width="9.44140625" style="745"/>
    <col min="3852" max="3852" width="13.5546875" style="745" bestFit="1" customWidth="1"/>
    <col min="3853" max="4096" width="9.44140625" style="745"/>
    <col min="4097" max="4097" width="3.88671875" style="745" bestFit="1" customWidth="1"/>
    <col min="4098" max="4098" width="8.6640625" style="745" customWidth="1"/>
    <col min="4099" max="4099" width="48.6640625" style="745" customWidth="1"/>
    <col min="4100" max="4100" width="11.5546875" style="745" customWidth="1"/>
    <col min="4101" max="4101" width="13.33203125" style="745" customWidth="1"/>
    <col min="4102" max="4102" width="11.44140625" style="745" customWidth="1"/>
    <col min="4103" max="4103" width="17" style="745" customWidth="1"/>
    <col min="4104" max="4104" width="0" style="745" hidden="1" customWidth="1"/>
    <col min="4105" max="4105" width="16.33203125" style="745" customWidth="1"/>
    <col min="4106" max="4106" width="13.5546875" style="745" bestFit="1" customWidth="1"/>
    <col min="4107" max="4107" width="9.44140625" style="745"/>
    <col min="4108" max="4108" width="13.5546875" style="745" bestFit="1" customWidth="1"/>
    <col min="4109" max="4352" width="9.44140625" style="745"/>
    <col min="4353" max="4353" width="3.88671875" style="745" bestFit="1" customWidth="1"/>
    <col min="4354" max="4354" width="8.6640625" style="745" customWidth="1"/>
    <col min="4355" max="4355" width="48.6640625" style="745" customWidth="1"/>
    <col min="4356" max="4356" width="11.5546875" style="745" customWidth="1"/>
    <col min="4357" max="4357" width="13.33203125" style="745" customWidth="1"/>
    <col min="4358" max="4358" width="11.44140625" style="745" customWidth="1"/>
    <col min="4359" max="4359" width="17" style="745" customWidth="1"/>
    <col min="4360" max="4360" width="0" style="745" hidden="1" customWidth="1"/>
    <col min="4361" max="4361" width="16.33203125" style="745" customWidth="1"/>
    <col min="4362" max="4362" width="13.5546875" style="745" bestFit="1" customWidth="1"/>
    <col min="4363" max="4363" width="9.44140625" style="745"/>
    <col min="4364" max="4364" width="13.5546875" style="745" bestFit="1" customWidth="1"/>
    <col min="4365" max="4608" width="9.44140625" style="745"/>
    <col min="4609" max="4609" width="3.88671875" style="745" bestFit="1" customWidth="1"/>
    <col min="4610" max="4610" width="8.6640625" style="745" customWidth="1"/>
    <col min="4611" max="4611" width="48.6640625" style="745" customWidth="1"/>
    <col min="4612" max="4612" width="11.5546875" style="745" customWidth="1"/>
    <col min="4613" max="4613" width="13.33203125" style="745" customWidth="1"/>
    <col min="4614" max="4614" width="11.44140625" style="745" customWidth="1"/>
    <col min="4615" max="4615" width="17" style="745" customWidth="1"/>
    <col min="4616" max="4616" width="0" style="745" hidden="1" customWidth="1"/>
    <col min="4617" max="4617" width="16.33203125" style="745" customWidth="1"/>
    <col min="4618" max="4618" width="13.5546875" style="745" bestFit="1" customWidth="1"/>
    <col min="4619" max="4619" width="9.44140625" style="745"/>
    <col min="4620" max="4620" width="13.5546875" style="745" bestFit="1" customWidth="1"/>
    <col min="4621" max="4864" width="9.44140625" style="745"/>
    <col min="4865" max="4865" width="3.88671875" style="745" bestFit="1" customWidth="1"/>
    <col min="4866" max="4866" width="8.6640625" style="745" customWidth="1"/>
    <col min="4867" max="4867" width="48.6640625" style="745" customWidth="1"/>
    <col min="4868" max="4868" width="11.5546875" style="745" customWidth="1"/>
    <col min="4869" max="4869" width="13.33203125" style="745" customWidth="1"/>
    <col min="4870" max="4870" width="11.44140625" style="745" customWidth="1"/>
    <col min="4871" max="4871" width="17" style="745" customWidth="1"/>
    <col min="4872" max="4872" width="0" style="745" hidden="1" customWidth="1"/>
    <col min="4873" max="4873" width="16.33203125" style="745" customWidth="1"/>
    <col min="4874" max="4874" width="13.5546875" style="745" bestFit="1" customWidth="1"/>
    <col min="4875" max="4875" width="9.44140625" style="745"/>
    <col min="4876" max="4876" width="13.5546875" style="745" bestFit="1" customWidth="1"/>
    <col min="4877" max="5120" width="9.44140625" style="745"/>
    <col min="5121" max="5121" width="3.88671875" style="745" bestFit="1" customWidth="1"/>
    <col min="5122" max="5122" width="8.6640625" style="745" customWidth="1"/>
    <col min="5123" max="5123" width="48.6640625" style="745" customWidth="1"/>
    <col min="5124" max="5124" width="11.5546875" style="745" customWidth="1"/>
    <col min="5125" max="5125" width="13.33203125" style="745" customWidth="1"/>
    <col min="5126" max="5126" width="11.44140625" style="745" customWidth="1"/>
    <col min="5127" max="5127" width="17" style="745" customWidth="1"/>
    <col min="5128" max="5128" width="0" style="745" hidden="1" customWidth="1"/>
    <col min="5129" max="5129" width="16.33203125" style="745" customWidth="1"/>
    <col min="5130" max="5130" width="13.5546875" style="745" bestFit="1" customWidth="1"/>
    <col min="5131" max="5131" width="9.44140625" style="745"/>
    <col min="5132" max="5132" width="13.5546875" style="745" bestFit="1" customWidth="1"/>
    <col min="5133" max="5376" width="9.44140625" style="745"/>
    <col min="5377" max="5377" width="3.88671875" style="745" bestFit="1" customWidth="1"/>
    <col min="5378" max="5378" width="8.6640625" style="745" customWidth="1"/>
    <col min="5379" max="5379" width="48.6640625" style="745" customWidth="1"/>
    <col min="5380" max="5380" width="11.5546875" style="745" customWidth="1"/>
    <col min="5381" max="5381" width="13.33203125" style="745" customWidth="1"/>
    <col min="5382" max="5382" width="11.44140625" style="745" customWidth="1"/>
    <col min="5383" max="5383" width="17" style="745" customWidth="1"/>
    <col min="5384" max="5384" width="0" style="745" hidden="1" customWidth="1"/>
    <col min="5385" max="5385" width="16.33203125" style="745" customWidth="1"/>
    <col min="5386" max="5386" width="13.5546875" style="745" bestFit="1" customWidth="1"/>
    <col min="5387" max="5387" width="9.44140625" style="745"/>
    <col min="5388" max="5388" width="13.5546875" style="745" bestFit="1" customWidth="1"/>
    <col min="5389" max="5632" width="9.44140625" style="745"/>
    <col min="5633" max="5633" width="3.88671875" style="745" bestFit="1" customWidth="1"/>
    <col min="5634" max="5634" width="8.6640625" style="745" customWidth="1"/>
    <col min="5635" max="5635" width="48.6640625" style="745" customWidth="1"/>
    <col min="5636" max="5636" width="11.5546875" style="745" customWidth="1"/>
    <col min="5637" max="5637" width="13.33203125" style="745" customWidth="1"/>
    <col min="5638" max="5638" width="11.44140625" style="745" customWidth="1"/>
    <col min="5639" max="5639" width="17" style="745" customWidth="1"/>
    <col min="5640" max="5640" width="0" style="745" hidden="1" customWidth="1"/>
    <col min="5641" max="5641" width="16.33203125" style="745" customWidth="1"/>
    <col min="5642" max="5642" width="13.5546875" style="745" bestFit="1" customWidth="1"/>
    <col min="5643" max="5643" width="9.44140625" style="745"/>
    <col min="5644" max="5644" width="13.5546875" style="745" bestFit="1" customWidth="1"/>
    <col min="5645" max="5888" width="9.44140625" style="745"/>
    <col min="5889" max="5889" width="3.88671875" style="745" bestFit="1" customWidth="1"/>
    <col min="5890" max="5890" width="8.6640625" style="745" customWidth="1"/>
    <col min="5891" max="5891" width="48.6640625" style="745" customWidth="1"/>
    <col min="5892" max="5892" width="11.5546875" style="745" customWidth="1"/>
    <col min="5893" max="5893" width="13.33203125" style="745" customWidth="1"/>
    <col min="5894" max="5894" width="11.44140625" style="745" customWidth="1"/>
    <col min="5895" max="5895" width="17" style="745" customWidth="1"/>
    <col min="5896" max="5896" width="0" style="745" hidden="1" customWidth="1"/>
    <col min="5897" max="5897" width="16.33203125" style="745" customWidth="1"/>
    <col min="5898" max="5898" width="13.5546875" style="745" bestFit="1" customWidth="1"/>
    <col min="5899" max="5899" width="9.44140625" style="745"/>
    <col min="5900" max="5900" width="13.5546875" style="745" bestFit="1" customWidth="1"/>
    <col min="5901" max="6144" width="9.44140625" style="745"/>
    <col min="6145" max="6145" width="3.88671875" style="745" bestFit="1" customWidth="1"/>
    <col min="6146" max="6146" width="8.6640625" style="745" customWidth="1"/>
    <col min="6147" max="6147" width="48.6640625" style="745" customWidth="1"/>
    <col min="6148" max="6148" width="11.5546875" style="745" customWidth="1"/>
    <col min="6149" max="6149" width="13.33203125" style="745" customWidth="1"/>
    <col min="6150" max="6150" width="11.44140625" style="745" customWidth="1"/>
    <col min="6151" max="6151" width="17" style="745" customWidth="1"/>
    <col min="6152" max="6152" width="0" style="745" hidden="1" customWidth="1"/>
    <col min="6153" max="6153" width="16.33203125" style="745" customWidth="1"/>
    <col min="6154" max="6154" width="13.5546875" style="745" bestFit="1" customWidth="1"/>
    <col min="6155" max="6155" width="9.44140625" style="745"/>
    <col min="6156" max="6156" width="13.5546875" style="745" bestFit="1" customWidth="1"/>
    <col min="6157" max="6400" width="9.44140625" style="745"/>
    <col min="6401" max="6401" width="3.88671875" style="745" bestFit="1" customWidth="1"/>
    <col min="6402" max="6402" width="8.6640625" style="745" customWidth="1"/>
    <col min="6403" max="6403" width="48.6640625" style="745" customWidth="1"/>
    <col min="6404" max="6404" width="11.5546875" style="745" customWidth="1"/>
    <col min="6405" max="6405" width="13.33203125" style="745" customWidth="1"/>
    <col min="6406" max="6406" width="11.44140625" style="745" customWidth="1"/>
    <col min="6407" max="6407" width="17" style="745" customWidth="1"/>
    <col min="6408" max="6408" width="0" style="745" hidden="1" customWidth="1"/>
    <col min="6409" max="6409" width="16.33203125" style="745" customWidth="1"/>
    <col min="6410" max="6410" width="13.5546875" style="745" bestFit="1" customWidth="1"/>
    <col min="6411" max="6411" width="9.44140625" style="745"/>
    <col min="6412" max="6412" width="13.5546875" style="745" bestFit="1" customWidth="1"/>
    <col min="6413" max="6656" width="9.44140625" style="745"/>
    <col min="6657" max="6657" width="3.88671875" style="745" bestFit="1" customWidth="1"/>
    <col min="6658" max="6658" width="8.6640625" style="745" customWidth="1"/>
    <col min="6659" max="6659" width="48.6640625" style="745" customWidth="1"/>
    <col min="6660" max="6660" width="11.5546875" style="745" customWidth="1"/>
    <col min="6661" max="6661" width="13.33203125" style="745" customWidth="1"/>
    <col min="6662" max="6662" width="11.44140625" style="745" customWidth="1"/>
    <col min="6663" max="6663" width="17" style="745" customWidth="1"/>
    <col min="6664" max="6664" width="0" style="745" hidden="1" customWidth="1"/>
    <col min="6665" max="6665" width="16.33203125" style="745" customWidth="1"/>
    <col min="6666" max="6666" width="13.5546875" style="745" bestFit="1" customWidth="1"/>
    <col min="6667" max="6667" width="9.44140625" style="745"/>
    <col min="6668" max="6668" width="13.5546875" style="745" bestFit="1" customWidth="1"/>
    <col min="6669" max="6912" width="9.44140625" style="745"/>
    <col min="6913" max="6913" width="3.88671875" style="745" bestFit="1" customWidth="1"/>
    <col min="6914" max="6914" width="8.6640625" style="745" customWidth="1"/>
    <col min="6915" max="6915" width="48.6640625" style="745" customWidth="1"/>
    <col min="6916" max="6916" width="11.5546875" style="745" customWidth="1"/>
    <col min="6917" max="6917" width="13.33203125" style="745" customWidth="1"/>
    <col min="6918" max="6918" width="11.44140625" style="745" customWidth="1"/>
    <col min="6919" max="6919" width="17" style="745" customWidth="1"/>
    <col min="6920" max="6920" width="0" style="745" hidden="1" customWidth="1"/>
    <col min="6921" max="6921" width="16.33203125" style="745" customWidth="1"/>
    <col min="6922" max="6922" width="13.5546875" style="745" bestFit="1" customWidth="1"/>
    <col min="6923" max="6923" width="9.44140625" style="745"/>
    <col min="6924" max="6924" width="13.5546875" style="745" bestFit="1" customWidth="1"/>
    <col min="6925" max="7168" width="9.44140625" style="745"/>
    <col min="7169" max="7169" width="3.88671875" style="745" bestFit="1" customWidth="1"/>
    <col min="7170" max="7170" width="8.6640625" style="745" customWidth="1"/>
    <col min="7171" max="7171" width="48.6640625" style="745" customWidth="1"/>
    <col min="7172" max="7172" width="11.5546875" style="745" customWidth="1"/>
    <col min="7173" max="7173" width="13.33203125" style="745" customWidth="1"/>
    <col min="7174" max="7174" width="11.44140625" style="745" customWidth="1"/>
    <col min="7175" max="7175" width="17" style="745" customWidth="1"/>
    <col min="7176" max="7176" width="0" style="745" hidden="1" customWidth="1"/>
    <col min="7177" max="7177" width="16.33203125" style="745" customWidth="1"/>
    <col min="7178" max="7178" width="13.5546875" style="745" bestFit="1" customWidth="1"/>
    <col min="7179" max="7179" width="9.44140625" style="745"/>
    <col min="7180" max="7180" width="13.5546875" style="745" bestFit="1" customWidth="1"/>
    <col min="7181" max="7424" width="9.44140625" style="745"/>
    <col min="7425" max="7425" width="3.88671875" style="745" bestFit="1" customWidth="1"/>
    <col min="7426" max="7426" width="8.6640625" style="745" customWidth="1"/>
    <col min="7427" max="7427" width="48.6640625" style="745" customWidth="1"/>
    <col min="7428" max="7428" width="11.5546875" style="745" customWidth="1"/>
    <col min="7429" max="7429" width="13.33203125" style="745" customWidth="1"/>
    <col min="7430" max="7430" width="11.44140625" style="745" customWidth="1"/>
    <col min="7431" max="7431" width="17" style="745" customWidth="1"/>
    <col min="7432" max="7432" width="0" style="745" hidden="1" customWidth="1"/>
    <col min="7433" max="7433" width="16.33203125" style="745" customWidth="1"/>
    <col min="7434" max="7434" width="13.5546875" style="745" bestFit="1" customWidth="1"/>
    <col min="7435" max="7435" width="9.44140625" style="745"/>
    <col min="7436" max="7436" width="13.5546875" style="745" bestFit="1" customWidth="1"/>
    <col min="7437" max="7680" width="9.44140625" style="745"/>
    <col min="7681" max="7681" width="3.88671875" style="745" bestFit="1" customWidth="1"/>
    <col min="7682" max="7682" width="8.6640625" style="745" customWidth="1"/>
    <col min="7683" max="7683" width="48.6640625" style="745" customWidth="1"/>
    <col min="7684" max="7684" width="11.5546875" style="745" customWidth="1"/>
    <col min="7685" max="7685" width="13.33203125" style="745" customWidth="1"/>
    <col min="7686" max="7686" width="11.44140625" style="745" customWidth="1"/>
    <col min="7687" max="7687" width="17" style="745" customWidth="1"/>
    <col min="7688" max="7688" width="0" style="745" hidden="1" customWidth="1"/>
    <col min="7689" max="7689" width="16.33203125" style="745" customWidth="1"/>
    <col min="7690" max="7690" width="13.5546875" style="745" bestFit="1" customWidth="1"/>
    <col min="7691" max="7691" width="9.44140625" style="745"/>
    <col min="7692" max="7692" width="13.5546875" style="745" bestFit="1" customWidth="1"/>
    <col min="7693" max="7936" width="9.44140625" style="745"/>
    <col min="7937" max="7937" width="3.88671875" style="745" bestFit="1" customWidth="1"/>
    <col min="7938" max="7938" width="8.6640625" style="745" customWidth="1"/>
    <col min="7939" max="7939" width="48.6640625" style="745" customWidth="1"/>
    <col min="7940" max="7940" width="11.5546875" style="745" customWidth="1"/>
    <col min="7941" max="7941" width="13.33203125" style="745" customWidth="1"/>
    <col min="7942" max="7942" width="11.44140625" style="745" customWidth="1"/>
    <col min="7943" max="7943" width="17" style="745" customWidth="1"/>
    <col min="7944" max="7944" width="0" style="745" hidden="1" customWidth="1"/>
    <col min="7945" max="7945" width="16.33203125" style="745" customWidth="1"/>
    <col min="7946" max="7946" width="13.5546875" style="745" bestFit="1" customWidth="1"/>
    <col min="7947" max="7947" width="9.44140625" style="745"/>
    <col min="7948" max="7948" width="13.5546875" style="745" bestFit="1" customWidth="1"/>
    <col min="7949" max="8192" width="9.44140625" style="745"/>
    <col min="8193" max="8193" width="3.88671875" style="745" bestFit="1" customWidth="1"/>
    <col min="8194" max="8194" width="8.6640625" style="745" customWidth="1"/>
    <col min="8195" max="8195" width="48.6640625" style="745" customWidth="1"/>
    <col min="8196" max="8196" width="11.5546875" style="745" customWidth="1"/>
    <col min="8197" max="8197" width="13.33203125" style="745" customWidth="1"/>
    <col min="8198" max="8198" width="11.44140625" style="745" customWidth="1"/>
    <col min="8199" max="8199" width="17" style="745" customWidth="1"/>
    <col min="8200" max="8200" width="0" style="745" hidden="1" customWidth="1"/>
    <col min="8201" max="8201" width="16.33203125" style="745" customWidth="1"/>
    <col min="8202" max="8202" width="13.5546875" style="745" bestFit="1" customWidth="1"/>
    <col min="8203" max="8203" width="9.44140625" style="745"/>
    <col min="8204" max="8204" width="13.5546875" style="745" bestFit="1" customWidth="1"/>
    <col min="8205" max="8448" width="9.44140625" style="745"/>
    <col min="8449" max="8449" width="3.88671875" style="745" bestFit="1" customWidth="1"/>
    <col min="8450" max="8450" width="8.6640625" style="745" customWidth="1"/>
    <col min="8451" max="8451" width="48.6640625" style="745" customWidth="1"/>
    <col min="8452" max="8452" width="11.5546875" style="745" customWidth="1"/>
    <col min="8453" max="8453" width="13.33203125" style="745" customWidth="1"/>
    <col min="8454" max="8454" width="11.44140625" style="745" customWidth="1"/>
    <col min="8455" max="8455" width="17" style="745" customWidth="1"/>
    <col min="8456" max="8456" width="0" style="745" hidden="1" customWidth="1"/>
    <col min="8457" max="8457" width="16.33203125" style="745" customWidth="1"/>
    <col min="8458" max="8458" width="13.5546875" style="745" bestFit="1" customWidth="1"/>
    <col min="8459" max="8459" width="9.44140625" style="745"/>
    <col min="8460" max="8460" width="13.5546875" style="745" bestFit="1" customWidth="1"/>
    <col min="8461" max="8704" width="9.44140625" style="745"/>
    <col min="8705" max="8705" width="3.88671875" style="745" bestFit="1" customWidth="1"/>
    <col min="8706" max="8706" width="8.6640625" style="745" customWidth="1"/>
    <col min="8707" max="8707" width="48.6640625" style="745" customWidth="1"/>
    <col min="8708" max="8708" width="11.5546875" style="745" customWidth="1"/>
    <col min="8709" max="8709" width="13.33203125" style="745" customWidth="1"/>
    <col min="8710" max="8710" width="11.44140625" style="745" customWidth="1"/>
    <col min="8711" max="8711" width="17" style="745" customWidth="1"/>
    <col min="8712" max="8712" width="0" style="745" hidden="1" customWidth="1"/>
    <col min="8713" max="8713" width="16.33203125" style="745" customWidth="1"/>
    <col min="8714" max="8714" width="13.5546875" style="745" bestFit="1" customWidth="1"/>
    <col min="8715" max="8715" width="9.44140625" style="745"/>
    <col min="8716" max="8716" width="13.5546875" style="745" bestFit="1" customWidth="1"/>
    <col min="8717" max="8960" width="9.44140625" style="745"/>
    <col min="8961" max="8961" width="3.88671875" style="745" bestFit="1" customWidth="1"/>
    <col min="8962" max="8962" width="8.6640625" style="745" customWidth="1"/>
    <col min="8963" max="8963" width="48.6640625" style="745" customWidth="1"/>
    <col min="8964" max="8964" width="11.5546875" style="745" customWidth="1"/>
    <col min="8965" max="8965" width="13.33203125" style="745" customWidth="1"/>
    <col min="8966" max="8966" width="11.44140625" style="745" customWidth="1"/>
    <col min="8967" max="8967" width="17" style="745" customWidth="1"/>
    <col min="8968" max="8968" width="0" style="745" hidden="1" customWidth="1"/>
    <col min="8969" max="8969" width="16.33203125" style="745" customWidth="1"/>
    <col min="8970" max="8970" width="13.5546875" style="745" bestFit="1" customWidth="1"/>
    <col min="8971" max="8971" width="9.44140625" style="745"/>
    <col min="8972" max="8972" width="13.5546875" style="745" bestFit="1" customWidth="1"/>
    <col min="8973" max="9216" width="9.44140625" style="745"/>
    <col min="9217" max="9217" width="3.88671875" style="745" bestFit="1" customWidth="1"/>
    <col min="9218" max="9218" width="8.6640625" style="745" customWidth="1"/>
    <col min="9219" max="9219" width="48.6640625" style="745" customWidth="1"/>
    <col min="9220" max="9220" width="11.5546875" style="745" customWidth="1"/>
    <col min="9221" max="9221" width="13.33203125" style="745" customWidth="1"/>
    <col min="9222" max="9222" width="11.44140625" style="745" customWidth="1"/>
    <col min="9223" max="9223" width="17" style="745" customWidth="1"/>
    <col min="9224" max="9224" width="0" style="745" hidden="1" customWidth="1"/>
    <col min="9225" max="9225" width="16.33203125" style="745" customWidth="1"/>
    <col min="9226" max="9226" width="13.5546875" style="745" bestFit="1" customWidth="1"/>
    <col min="9227" max="9227" width="9.44140625" style="745"/>
    <col min="9228" max="9228" width="13.5546875" style="745" bestFit="1" customWidth="1"/>
    <col min="9229" max="9472" width="9.44140625" style="745"/>
    <col min="9473" max="9473" width="3.88671875" style="745" bestFit="1" customWidth="1"/>
    <col min="9474" max="9474" width="8.6640625" style="745" customWidth="1"/>
    <col min="9475" max="9475" width="48.6640625" style="745" customWidth="1"/>
    <col min="9476" max="9476" width="11.5546875" style="745" customWidth="1"/>
    <col min="9477" max="9477" width="13.33203125" style="745" customWidth="1"/>
    <col min="9478" max="9478" width="11.44140625" style="745" customWidth="1"/>
    <col min="9479" max="9479" width="17" style="745" customWidth="1"/>
    <col min="9480" max="9480" width="0" style="745" hidden="1" customWidth="1"/>
    <col min="9481" max="9481" width="16.33203125" style="745" customWidth="1"/>
    <col min="9482" max="9482" width="13.5546875" style="745" bestFit="1" customWidth="1"/>
    <col min="9483" max="9483" width="9.44140625" style="745"/>
    <col min="9484" max="9484" width="13.5546875" style="745" bestFit="1" customWidth="1"/>
    <col min="9485" max="9728" width="9.44140625" style="745"/>
    <col min="9729" max="9729" width="3.88671875" style="745" bestFit="1" customWidth="1"/>
    <col min="9730" max="9730" width="8.6640625" style="745" customWidth="1"/>
    <col min="9731" max="9731" width="48.6640625" style="745" customWidth="1"/>
    <col min="9732" max="9732" width="11.5546875" style="745" customWidth="1"/>
    <col min="9733" max="9733" width="13.33203125" style="745" customWidth="1"/>
    <col min="9734" max="9734" width="11.44140625" style="745" customWidth="1"/>
    <col min="9735" max="9735" width="17" style="745" customWidth="1"/>
    <col min="9736" max="9736" width="0" style="745" hidden="1" customWidth="1"/>
    <col min="9737" max="9737" width="16.33203125" style="745" customWidth="1"/>
    <col min="9738" max="9738" width="13.5546875" style="745" bestFit="1" customWidth="1"/>
    <col min="9739" max="9739" width="9.44140625" style="745"/>
    <col min="9740" max="9740" width="13.5546875" style="745" bestFit="1" customWidth="1"/>
    <col min="9741" max="9984" width="9.44140625" style="745"/>
    <col min="9985" max="9985" width="3.88671875" style="745" bestFit="1" customWidth="1"/>
    <col min="9986" max="9986" width="8.6640625" style="745" customWidth="1"/>
    <col min="9987" max="9987" width="48.6640625" style="745" customWidth="1"/>
    <col min="9988" max="9988" width="11.5546875" style="745" customWidth="1"/>
    <col min="9989" max="9989" width="13.33203125" style="745" customWidth="1"/>
    <col min="9990" max="9990" width="11.44140625" style="745" customWidth="1"/>
    <col min="9991" max="9991" width="17" style="745" customWidth="1"/>
    <col min="9992" max="9992" width="0" style="745" hidden="1" customWidth="1"/>
    <col min="9993" max="9993" width="16.33203125" style="745" customWidth="1"/>
    <col min="9994" max="9994" width="13.5546875" style="745" bestFit="1" customWidth="1"/>
    <col min="9995" max="9995" width="9.44140625" style="745"/>
    <col min="9996" max="9996" width="13.5546875" style="745" bestFit="1" customWidth="1"/>
    <col min="9997" max="10240" width="9.44140625" style="745"/>
    <col min="10241" max="10241" width="3.88671875" style="745" bestFit="1" customWidth="1"/>
    <col min="10242" max="10242" width="8.6640625" style="745" customWidth="1"/>
    <col min="10243" max="10243" width="48.6640625" style="745" customWidth="1"/>
    <col min="10244" max="10244" width="11.5546875" style="745" customWidth="1"/>
    <col min="10245" max="10245" width="13.33203125" style="745" customWidth="1"/>
    <col min="10246" max="10246" width="11.44140625" style="745" customWidth="1"/>
    <col min="10247" max="10247" width="17" style="745" customWidth="1"/>
    <col min="10248" max="10248" width="0" style="745" hidden="1" customWidth="1"/>
    <col min="10249" max="10249" width="16.33203125" style="745" customWidth="1"/>
    <col min="10250" max="10250" width="13.5546875" style="745" bestFit="1" customWidth="1"/>
    <col min="10251" max="10251" width="9.44140625" style="745"/>
    <col min="10252" max="10252" width="13.5546875" style="745" bestFit="1" customWidth="1"/>
    <col min="10253" max="10496" width="9.44140625" style="745"/>
    <col min="10497" max="10497" width="3.88671875" style="745" bestFit="1" customWidth="1"/>
    <col min="10498" max="10498" width="8.6640625" style="745" customWidth="1"/>
    <col min="10499" max="10499" width="48.6640625" style="745" customWidth="1"/>
    <col min="10500" max="10500" width="11.5546875" style="745" customWidth="1"/>
    <col min="10501" max="10501" width="13.33203125" style="745" customWidth="1"/>
    <col min="10502" max="10502" width="11.44140625" style="745" customWidth="1"/>
    <col min="10503" max="10503" width="17" style="745" customWidth="1"/>
    <col min="10504" max="10504" width="0" style="745" hidden="1" customWidth="1"/>
    <col min="10505" max="10505" width="16.33203125" style="745" customWidth="1"/>
    <col min="10506" max="10506" width="13.5546875" style="745" bestFit="1" customWidth="1"/>
    <col min="10507" max="10507" width="9.44140625" style="745"/>
    <col min="10508" max="10508" width="13.5546875" style="745" bestFit="1" customWidth="1"/>
    <col min="10509" max="10752" width="9.44140625" style="745"/>
    <col min="10753" max="10753" width="3.88671875" style="745" bestFit="1" customWidth="1"/>
    <col min="10754" max="10754" width="8.6640625" style="745" customWidth="1"/>
    <col min="10755" max="10755" width="48.6640625" style="745" customWidth="1"/>
    <col min="10756" max="10756" width="11.5546875" style="745" customWidth="1"/>
    <col min="10757" max="10757" width="13.33203125" style="745" customWidth="1"/>
    <col min="10758" max="10758" width="11.44140625" style="745" customWidth="1"/>
    <col min="10759" max="10759" width="17" style="745" customWidth="1"/>
    <col min="10760" max="10760" width="0" style="745" hidden="1" customWidth="1"/>
    <col min="10761" max="10761" width="16.33203125" style="745" customWidth="1"/>
    <col min="10762" max="10762" width="13.5546875" style="745" bestFit="1" customWidth="1"/>
    <col min="10763" max="10763" width="9.44140625" style="745"/>
    <col min="10764" max="10764" width="13.5546875" style="745" bestFit="1" customWidth="1"/>
    <col min="10765" max="11008" width="9.44140625" style="745"/>
    <col min="11009" max="11009" width="3.88671875" style="745" bestFit="1" customWidth="1"/>
    <col min="11010" max="11010" width="8.6640625" style="745" customWidth="1"/>
    <col min="11011" max="11011" width="48.6640625" style="745" customWidth="1"/>
    <col min="11012" max="11012" width="11.5546875" style="745" customWidth="1"/>
    <col min="11013" max="11013" width="13.33203125" style="745" customWidth="1"/>
    <col min="11014" max="11014" width="11.44140625" style="745" customWidth="1"/>
    <col min="11015" max="11015" width="17" style="745" customWidth="1"/>
    <col min="11016" max="11016" width="0" style="745" hidden="1" customWidth="1"/>
    <col min="11017" max="11017" width="16.33203125" style="745" customWidth="1"/>
    <col min="11018" max="11018" width="13.5546875" style="745" bestFit="1" customWidth="1"/>
    <col min="11019" max="11019" width="9.44140625" style="745"/>
    <col min="11020" max="11020" width="13.5546875" style="745" bestFit="1" customWidth="1"/>
    <col min="11021" max="11264" width="9.44140625" style="745"/>
    <col min="11265" max="11265" width="3.88671875" style="745" bestFit="1" customWidth="1"/>
    <col min="11266" max="11266" width="8.6640625" style="745" customWidth="1"/>
    <col min="11267" max="11267" width="48.6640625" style="745" customWidth="1"/>
    <col min="11268" max="11268" width="11.5546875" style="745" customWidth="1"/>
    <col min="11269" max="11269" width="13.33203125" style="745" customWidth="1"/>
    <col min="11270" max="11270" width="11.44140625" style="745" customWidth="1"/>
    <col min="11271" max="11271" width="17" style="745" customWidth="1"/>
    <col min="11272" max="11272" width="0" style="745" hidden="1" customWidth="1"/>
    <col min="11273" max="11273" width="16.33203125" style="745" customWidth="1"/>
    <col min="11274" max="11274" width="13.5546875" style="745" bestFit="1" customWidth="1"/>
    <col min="11275" max="11275" width="9.44140625" style="745"/>
    <col min="11276" max="11276" width="13.5546875" style="745" bestFit="1" customWidth="1"/>
    <col min="11277" max="11520" width="9.44140625" style="745"/>
    <col min="11521" max="11521" width="3.88671875" style="745" bestFit="1" customWidth="1"/>
    <col min="11522" max="11522" width="8.6640625" style="745" customWidth="1"/>
    <col min="11523" max="11523" width="48.6640625" style="745" customWidth="1"/>
    <col min="11524" max="11524" width="11.5546875" style="745" customWidth="1"/>
    <col min="11525" max="11525" width="13.33203125" style="745" customWidth="1"/>
    <col min="11526" max="11526" width="11.44140625" style="745" customWidth="1"/>
    <col min="11527" max="11527" width="17" style="745" customWidth="1"/>
    <col min="11528" max="11528" width="0" style="745" hidden="1" customWidth="1"/>
    <col min="11529" max="11529" width="16.33203125" style="745" customWidth="1"/>
    <col min="11530" max="11530" width="13.5546875" style="745" bestFit="1" customWidth="1"/>
    <col min="11531" max="11531" width="9.44140625" style="745"/>
    <col min="11532" max="11532" width="13.5546875" style="745" bestFit="1" customWidth="1"/>
    <col min="11533" max="11776" width="9.44140625" style="745"/>
    <col min="11777" max="11777" width="3.88671875" style="745" bestFit="1" customWidth="1"/>
    <col min="11778" max="11778" width="8.6640625" style="745" customWidth="1"/>
    <col min="11779" max="11779" width="48.6640625" style="745" customWidth="1"/>
    <col min="11780" max="11780" width="11.5546875" style="745" customWidth="1"/>
    <col min="11781" max="11781" width="13.33203125" style="745" customWidth="1"/>
    <col min="11782" max="11782" width="11.44140625" style="745" customWidth="1"/>
    <col min="11783" max="11783" width="17" style="745" customWidth="1"/>
    <col min="11784" max="11784" width="0" style="745" hidden="1" customWidth="1"/>
    <col min="11785" max="11785" width="16.33203125" style="745" customWidth="1"/>
    <col min="11786" max="11786" width="13.5546875" style="745" bestFit="1" customWidth="1"/>
    <col min="11787" max="11787" width="9.44140625" style="745"/>
    <col min="11788" max="11788" width="13.5546875" style="745" bestFit="1" customWidth="1"/>
    <col min="11789" max="12032" width="9.44140625" style="745"/>
    <col min="12033" max="12033" width="3.88671875" style="745" bestFit="1" customWidth="1"/>
    <col min="12034" max="12034" width="8.6640625" style="745" customWidth="1"/>
    <col min="12035" max="12035" width="48.6640625" style="745" customWidth="1"/>
    <col min="12036" max="12036" width="11.5546875" style="745" customWidth="1"/>
    <col min="12037" max="12037" width="13.33203125" style="745" customWidth="1"/>
    <col min="12038" max="12038" width="11.44140625" style="745" customWidth="1"/>
    <col min="12039" max="12039" width="17" style="745" customWidth="1"/>
    <col min="12040" max="12040" width="0" style="745" hidden="1" customWidth="1"/>
    <col min="12041" max="12041" width="16.33203125" style="745" customWidth="1"/>
    <col min="12042" max="12042" width="13.5546875" style="745" bestFit="1" customWidth="1"/>
    <col min="12043" max="12043" width="9.44140625" style="745"/>
    <col min="12044" max="12044" width="13.5546875" style="745" bestFit="1" customWidth="1"/>
    <col min="12045" max="12288" width="9.44140625" style="745"/>
    <col min="12289" max="12289" width="3.88671875" style="745" bestFit="1" customWidth="1"/>
    <col min="12290" max="12290" width="8.6640625" style="745" customWidth="1"/>
    <col min="12291" max="12291" width="48.6640625" style="745" customWidth="1"/>
    <col min="12292" max="12292" width="11.5546875" style="745" customWidth="1"/>
    <col min="12293" max="12293" width="13.33203125" style="745" customWidth="1"/>
    <col min="12294" max="12294" width="11.44140625" style="745" customWidth="1"/>
    <col min="12295" max="12295" width="17" style="745" customWidth="1"/>
    <col min="12296" max="12296" width="0" style="745" hidden="1" customWidth="1"/>
    <col min="12297" max="12297" width="16.33203125" style="745" customWidth="1"/>
    <col min="12298" max="12298" width="13.5546875" style="745" bestFit="1" customWidth="1"/>
    <col min="12299" max="12299" width="9.44140625" style="745"/>
    <col min="12300" max="12300" width="13.5546875" style="745" bestFit="1" customWidth="1"/>
    <col min="12301" max="12544" width="9.44140625" style="745"/>
    <col min="12545" max="12545" width="3.88671875" style="745" bestFit="1" customWidth="1"/>
    <col min="12546" max="12546" width="8.6640625" style="745" customWidth="1"/>
    <col min="12547" max="12547" width="48.6640625" style="745" customWidth="1"/>
    <col min="12548" max="12548" width="11.5546875" style="745" customWidth="1"/>
    <col min="12549" max="12549" width="13.33203125" style="745" customWidth="1"/>
    <col min="12550" max="12550" width="11.44140625" style="745" customWidth="1"/>
    <col min="12551" max="12551" width="17" style="745" customWidth="1"/>
    <col min="12552" max="12552" width="0" style="745" hidden="1" customWidth="1"/>
    <col min="12553" max="12553" width="16.33203125" style="745" customWidth="1"/>
    <col min="12554" max="12554" width="13.5546875" style="745" bestFit="1" customWidth="1"/>
    <col min="12555" max="12555" width="9.44140625" style="745"/>
    <col min="12556" max="12556" width="13.5546875" style="745" bestFit="1" customWidth="1"/>
    <col min="12557" max="12800" width="9.44140625" style="745"/>
    <col min="12801" max="12801" width="3.88671875" style="745" bestFit="1" customWidth="1"/>
    <col min="12802" max="12802" width="8.6640625" style="745" customWidth="1"/>
    <col min="12803" max="12803" width="48.6640625" style="745" customWidth="1"/>
    <col min="12804" max="12804" width="11.5546875" style="745" customWidth="1"/>
    <col min="12805" max="12805" width="13.33203125" style="745" customWidth="1"/>
    <col min="12806" max="12806" width="11.44140625" style="745" customWidth="1"/>
    <col min="12807" max="12807" width="17" style="745" customWidth="1"/>
    <col min="12808" max="12808" width="0" style="745" hidden="1" customWidth="1"/>
    <col min="12809" max="12809" width="16.33203125" style="745" customWidth="1"/>
    <col min="12810" max="12810" width="13.5546875" style="745" bestFit="1" customWidth="1"/>
    <col min="12811" max="12811" width="9.44140625" style="745"/>
    <col min="12812" max="12812" width="13.5546875" style="745" bestFit="1" customWidth="1"/>
    <col min="12813" max="13056" width="9.44140625" style="745"/>
    <col min="13057" max="13057" width="3.88671875" style="745" bestFit="1" customWidth="1"/>
    <col min="13058" max="13058" width="8.6640625" style="745" customWidth="1"/>
    <col min="13059" max="13059" width="48.6640625" style="745" customWidth="1"/>
    <col min="13060" max="13060" width="11.5546875" style="745" customWidth="1"/>
    <col min="13061" max="13061" width="13.33203125" style="745" customWidth="1"/>
    <col min="13062" max="13062" width="11.44140625" style="745" customWidth="1"/>
    <col min="13063" max="13063" width="17" style="745" customWidth="1"/>
    <col min="13064" max="13064" width="0" style="745" hidden="1" customWidth="1"/>
    <col min="13065" max="13065" width="16.33203125" style="745" customWidth="1"/>
    <col min="13066" max="13066" width="13.5546875" style="745" bestFit="1" customWidth="1"/>
    <col min="13067" max="13067" width="9.44140625" style="745"/>
    <col min="13068" max="13068" width="13.5546875" style="745" bestFit="1" customWidth="1"/>
    <col min="13069" max="13312" width="9.44140625" style="745"/>
    <col min="13313" max="13313" width="3.88671875" style="745" bestFit="1" customWidth="1"/>
    <col min="13314" max="13314" width="8.6640625" style="745" customWidth="1"/>
    <col min="13315" max="13315" width="48.6640625" style="745" customWidth="1"/>
    <col min="13316" max="13316" width="11.5546875" style="745" customWidth="1"/>
    <col min="13317" max="13317" width="13.33203125" style="745" customWidth="1"/>
    <col min="13318" max="13318" width="11.44140625" style="745" customWidth="1"/>
    <col min="13319" max="13319" width="17" style="745" customWidth="1"/>
    <col min="13320" max="13320" width="0" style="745" hidden="1" customWidth="1"/>
    <col min="13321" max="13321" width="16.33203125" style="745" customWidth="1"/>
    <col min="13322" max="13322" width="13.5546875" style="745" bestFit="1" customWidth="1"/>
    <col min="13323" max="13323" width="9.44140625" style="745"/>
    <col min="13324" max="13324" width="13.5546875" style="745" bestFit="1" customWidth="1"/>
    <col min="13325" max="13568" width="9.44140625" style="745"/>
    <col min="13569" max="13569" width="3.88671875" style="745" bestFit="1" customWidth="1"/>
    <col min="13570" max="13570" width="8.6640625" style="745" customWidth="1"/>
    <col min="13571" max="13571" width="48.6640625" style="745" customWidth="1"/>
    <col min="13572" max="13572" width="11.5546875" style="745" customWidth="1"/>
    <col min="13573" max="13573" width="13.33203125" style="745" customWidth="1"/>
    <col min="13574" max="13574" width="11.44140625" style="745" customWidth="1"/>
    <col min="13575" max="13575" width="17" style="745" customWidth="1"/>
    <col min="13576" max="13576" width="0" style="745" hidden="1" customWidth="1"/>
    <col min="13577" max="13577" width="16.33203125" style="745" customWidth="1"/>
    <col min="13578" max="13578" width="13.5546875" style="745" bestFit="1" customWidth="1"/>
    <col min="13579" max="13579" width="9.44140625" style="745"/>
    <col min="13580" max="13580" width="13.5546875" style="745" bestFit="1" customWidth="1"/>
    <col min="13581" max="13824" width="9.44140625" style="745"/>
    <col min="13825" max="13825" width="3.88671875" style="745" bestFit="1" customWidth="1"/>
    <col min="13826" max="13826" width="8.6640625" style="745" customWidth="1"/>
    <col min="13827" max="13827" width="48.6640625" style="745" customWidth="1"/>
    <col min="13828" max="13828" width="11.5546875" style="745" customWidth="1"/>
    <col min="13829" max="13829" width="13.33203125" style="745" customWidth="1"/>
    <col min="13830" max="13830" width="11.44140625" style="745" customWidth="1"/>
    <col min="13831" max="13831" width="17" style="745" customWidth="1"/>
    <col min="13832" max="13832" width="0" style="745" hidden="1" customWidth="1"/>
    <col min="13833" max="13833" width="16.33203125" style="745" customWidth="1"/>
    <col min="13834" max="13834" width="13.5546875" style="745" bestFit="1" customWidth="1"/>
    <col min="13835" max="13835" width="9.44140625" style="745"/>
    <col min="13836" max="13836" width="13.5546875" style="745" bestFit="1" customWidth="1"/>
    <col min="13837" max="14080" width="9.44140625" style="745"/>
    <col min="14081" max="14081" width="3.88671875" style="745" bestFit="1" customWidth="1"/>
    <col min="14082" max="14082" width="8.6640625" style="745" customWidth="1"/>
    <col min="14083" max="14083" width="48.6640625" style="745" customWidth="1"/>
    <col min="14084" max="14084" width="11.5546875" style="745" customWidth="1"/>
    <col min="14085" max="14085" width="13.33203125" style="745" customWidth="1"/>
    <col min="14086" max="14086" width="11.44140625" style="745" customWidth="1"/>
    <col min="14087" max="14087" width="17" style="745" customWidth="1"/>
    <col min="14088" max="14088" width="0" style="745" hidden="1" customWidth="1"/>
    <col min="14089" max="14089" width="16.33203125" style="745" customWidth="1"/>
    <col min="14090" max="14090" width="13.5546875" style="745" bestFit="1" customWidth="1"/>
    <col min="14091" max="14091" width="9.44140625" style="745"/>
    <col min="14092" max="14092" width="13.5546875" style="745" bestFit="1" customWidth="1"/>
    <col min="14093" max="14336" width="9.44140625" style="745"/>
    <col min="14337" max="14337" width="3.88671875" style="745" bestFit="1" customWidth="1"/>
    <col min="14338" max="14338" width="8.6640625" style="745" customWidth="1"/>
    <col min="14339" max="14339" width="48.6640625" style="745" customWidth="1"/>
    <col min="14340" max="14340" width="11.5546875" style="745" customWidth="1"/>
    <col min="14341" max="14341" width="13.33203125" style="745" customWidth="1"/>
    <col min="14342" max="14342" width="11.44140625" style="745" customWidth="1"/>
    <col min="14343" max="14343" width="17" style="745" customWidth="1"/>
    <col min="14344" max="14344" width="0" style="745" hidden="1" customWidth="1"/>
    <col min="14345" max="14345" width="16.33203125" style="745" customWidth="1"/>
    <col min="14346" max="14346" width="13.5546875" style="745" bestFit="1" customWidth="1"/>
    <col min="14347" max="14347" width="9.44140625" style="745"/>
    <col min="14348" max="14348" width="13.5546875" style="745" bestFit="1" customWidth="1"/>
    <col min="14349" max="14592" width="9.44140625" style="745"/>
    <col min="14593" max="14593" width="3.88671875" style="745" bestFit="1" customWidth="1"/>
    <col min="14594" max="14594" width="8.6640625" style="745" customWidth="1"/>
    <col min="14595" max="14595" width="48.6640625" style="745" customWidth="1"/>
    <col min="14596" max="14596" width="11.5546875" style="745" customWidth="1"/>
    <col min="14597" max="14597" width="13.33203125" style="745" customWidth="1"/>
    <col min="14598" max="14598" width="11.44140625" style="745" customWidth="1"/>
    <col min="14599" max="14599" width="17" style="745" customWidth="1"/>
    <col min="14600" max="14600" width="0" style="745" hidden="1" customWidth="1"/>
    <col min="14601" max="14601" width="16.33203125" style="745" customWidth="1"/>
    <col min="14602" max="14602" width="13.5546875" style="745" bestFit="1" customWidth="1"/>
    <col min="14603" max="14603" width="9.44140625" style="745"/>
    <col min="14604" max="14604" width="13.5546875" style="745" bestFit="1" customWidth="1"/>
    <col min="14605" max="14848" width="9.44140625" style="745"/>
    <col min="14849" max="14849" width="3.88671875" style="745" bestFit="1" customWidth="1"/>
    <col min="14850" max="14850" width="8.6640625" style="745" customWidth="1"/>
    <col min="14851" max="14851" width="48.6640625" style="745" customWidth="1"/>
    <col min="14852" max="14852" width="11.5546875" style="745" customWidth="1"/>
    <col min="14853" max="14853" width="13.33203125" style="745" customWidth="1"/>
    <col min="14854" max="14854" width="11.44140625" style="745" customWidth="1"/>
    <col min="14855" max="14855" width="17" style="745" customWidth="1"/>
    <col min="14856" max="14856" width="0" style="745" hidden="1" customWidth="1"/>
    <col min="14857" max="14857" width="16.33203125" style="745" customWidth="1"/>
    <col min="14858" max="14858" width="13.5546875" style="745" bestFit="1" customWidth="1"/>
    <col min="14859" max="14859" width="9.44140625" style="745"/>
    <col min="14860" max="14860" width="13.5546875" style="745" bestFit="1" customWidth="1"/>
    <col min="14861" max="15104" width="9.44140625" style="745"/>
    <col min="15105" max="15105" width="3.88671875" style="745" bestFit="1" customWidth="1"/>
    <col min="15106" max="15106" width="8.6640625" style="745" customWidth="1"/>
    <col min="15107" max="15107" width="48.6640625" style="745" customWidth="1"/>
    <col min="15108" max="15108" width="11.5546875" style="745" customWidth="1"/>
    <col min="15109" max="15109" width="13.33203125" style="745" customWidth="1"/>
    <col min="15110" max="15110" width="11.44140625" style="745" customWidth="1"/>
    <col min="15111" max="15111" width="17" style="745" customWidth="1"/>
    <col min="15112" max="15112" width="0" style="745" hidden="1" customWidth="1"/>
    <col min="15113" max="15113" width="16.33203125" style="745" customWidth="1"/>
    <col min="15114" max="15114" width="13.5546875" style="745" bestFit="1" customWidth="1"/>
    <col min="15115" max="15115" width="9.44140625" style="745"/>
    <col min="15116" max="15116" width="13.5546875" style="745" bestFit="1" customWidth="1"/>
    <col min="15117" max="15360" width="9.44140625" style="745"/>
    <col min="15361" max="15361" width="3.88671875" style="745" bestFit="1" customWidth="1"/>
    <col min="15362" max="15362" width="8.6640625" style="745" customWidth="1"/>
    <col min="15363" max="15363" width="48.6640625" style="745" customWidth="1"/>
    <col min="15364" max="15364" width="11.5546875" style="745" customWidth="1"/>
    <col min="15365" max="15365" width="13.33203125" style="745" customWidth="1"/>
    <col min="15366" max="15366" width="11.44140625" style="745" customWidth="1"/>
    <col min="15367" max="15367" width="17" style="745" customWidth="1"/>
    <col min="15368" max="15368" width="0" style="745" hidden="1" customWidth="1"/>
    <col min="15369" max="15369" width="16.33203125" style="745" customWidth="1"/>
    <col min="15370" max="15370" width="13.5546875" style="745" bestFit="1" customWidth="1"/>
    <col min="15371" max="15371" width="9.44140625" style="745"/>
    <col min="15372" max="15372" width="13.5546875" style="745" bestFit="1" customWidth="1"/>
    <col min="15373" max="15616" width="9.44140625" style="745"/>
    <col min="15617" max="15617" width="3.88671875" style="745" bestFit="1" customWidth="1"/>
    <col min="15618" max="15618" width="8.6640625" style="745" customWidth="1"/>
    <col min="15619" max="15619" width="48.6640625" style="745" customWidth="1"/>
    <col min="15620" max="15620" width="11.5546875" style="745" customWidth="1"/>
    <col min="15621" max="15621" width="13.33203125" style="745" customWidth="1"/>
    <col min="15622" max="15622" width="11.44140625" style="745" customWidth="1"/>
    <col min="15623" max="15623" width="17" style="745" customWidth="1"/>
    <col min="15624" max="15624" width="0" style="745" hidden="1" customWidth="1"/>
    <col min="15625" max="15625" width="16.33203125" style="745" customWidth="1"/>
    <col min="15626" max="15626" width="13.5546875" style="745" bestFit="1" customWidth="1"/>
    <col min="15627" max="15627" width="9.44140625" style="745"/>
    <col min="15628" max="15628" width="13.5546875" style="745" bestFit="1" customWidth="1"/>
    <col min="15629" max="15872" width="9.44140625" style="745"/>
    <col min="15873" max="15873" width="3.88671875" style="745" bestFit="1" customWidth="1"/>
    <col min="15874" max="15874" width="8.6640625" style="745" customWidth="1"/>
    <col min="15875" max="15875" width="48.6640625" style="745" customWidth="1"/>
    <col min="15876" max="15876" width="11.5546875" style="745" customWidth="1"/>
    <col min="15877" max="15877" width="13.33203125" style="745" customWidth="1"/>
    <col min="15878" max="15878" width="11.44140625" style="745" customWidth="1"/>
    <col min="15879" max="15879" width="17" style="745" customWidth="1"/>
    <col min="15880" max="15880" width="0" style="745" hidden="1" customWidth="1"/>
    <col min="15881" max="15881" width="16.33203125" style="745" customWidth="1"/>
    <col min="15882" max="15882" width="13.5546875" style="745" bestFit="1" customWidth="1"/>
    <col min="15883" max="15883" width="9.44140625" style="745"/>
    <col min="15884" max="15884" width="13.5546875" style="745" bestFit="1" customWidth="1"/>
    <col min="15885" max="16128" width="9.44140625" style="745"/>
    <col min="16129" max="16129" width="3.88671875" style="745" bestFit="1" customWidth="1"/>
    <col min="16130" max="16130" width="8.6640625" style="745" customWidth="1"/>
    <col min="16131" max="16131" width="48.6640625" style="745" customWidth="1"/>
    <col min="16132" max="16132" width="11.5546875" style="745" customWidth="1"/>
    <col min="16133" max="16133" width="13.33203125" style="745" customWidth="1"/>
    <col min="16134" max="16134" width="11.44140625" style="745" customWidth="1"/>
    <col min="16135" max="16135" width="17" style="745" customWidth="1"/>
    <col min="16136" max="16136" width="0" style="745" hidden="1" customWidth="1"/>
    <col min="16137" max="16137" width="16.33203125" style="745" customWidth="1"/>
    <col min="16138" max="16138" width="13.5546875" style="745" bestFit="1" customWidth="1"/>
    <col min="16139" max="16139" width="9.44140625" style="745"/>
    <col min="16140" max="16140" width="13.5546875" style="745" bestFit="1" customWidth="1"/>
    <col min="16141" max="16384" width="9.44140625" style="745"/>
  </cols>
  <sheetData>
    <row r="1" spans="1:25" s="851" customFormat="1" ht="71.25" customHeight="1" thickBot="1" x14ac:dyDescent="0.3">
      <c r="A1" s="1067" t="str">
        <f>"BILL NO. "&amp;J3&amp;" - SOIL NAILING &amp; HORIZONTAL DRAINS"</f>
        <v>BILL NO. 5 - SOIL NAILING &amp; HORIZONTAL DRAINS</v>
      </c>
      <c r="B1" s="1068"/>
      <c r="C1" s="1068"/>
      <c r="D1" s="1069" t="str">
        <f>'Bill No 2'!$D$1</f>
        <v>REDUCTION OF LANDSLIDE  VULNERABILITY  BY MITIGATION MEASURES BETWEEN CULVERT NO. 31/1 AND 31/2 ON HATTON - MASKELIYA - DELHOUSE ROAD B – 149</v>
      </c>
      <c r="E1" s="1069"/>
      <c r="F1" s="1069"/>
      <c r="G1" s="1070"/>
      <c r="H1" s="754"/>
      <c r="I1" s="755"/>
      <c r="J1" s="755"/>
    </row>
    <row r="2" spans="1:25" s="719" customFormat="1" ht="18" customHeight="1" x14ac:dyDescent="0.25">
      <c r="A2" s="1071" t="s">
        <v>26</v>
      </c>
      <c r="B2" s="1072" t="s">
        <v>14</v>
      </c>
      <c r="C2" s="1072" t="s">
        <v>0</v>
      </c>
      <c r="D2" s="1072" t="s">
        <v>1</v>
      </c>
      <c r="E2" s="1072" t="s">
        <v>13</v>
      </c>
      <c r="F2" s="1072" t="s">
        <v>2</v>
      </c>
      <c r="G2" s="1073" t="s">
        <v>3</v>
      </c>
      <c r="H2" s="732"/>
      <c r="I2" s="790">
        <f>'BOQ summary'!$I$2</f>
        <v>140</v>
      </c>
      <c r="J2" s="791"/>
    </row>
    <row r="3" spans="1:25" s="719" customFormat="1" ht="18" customHeight="1" thickBot="1" x14ac:dyDescent="0.3">
      <c r="A3" s="1051"/>
      <c r="B3" s="1059"/>
      <c r="C3" s="1059"/>
      <c r="D3" s="1059"/>
      <c r="E3" s="1059"/>
      <c r="F3" s="1059"/>
      <c r="G3" s="1074"/>
      <c r="H3" s="732"/>
      <c r="I3" s="792">
        <v>0</v>
      </c>
      <c r="J3" s="793">
        <v>5</v>
      </c>
    </row>
    <row r="4" spans="1:25" s="719" customFormat="1" ht="18" customHeight="1" x14ac:dyDescent="0.25">
      <c r="A4" s="866">
        <f>$J$3+0.1</f>
        <v>5.0999999999999996</v>
      </c>
      <c r="B4" s="847"/>
      <c r="C4" s="750" t="s">
        <v>776</v>
      </c>
      <c r="D4" s="811"/>
      <c r="E4" s="811"/>
      <c r="F4" s="811"/>
      <c r="G4" s="932"/>
      <c r="H4" s="732"/>
      <c r="I4" s="812"/>
      <c r="J4" s="813"/>
    </row>
    <row r="5" spans="1:25" s="719" customFormat="1" ht="18" customHeight="1" x14ac:dyDescent="0.25">
      <c r="A5" s="867">
        <f>A4+0.01</f>
        <v>5.1099999999999994</v>
      </c>
      <c r="B5" s="819" t="s">
        <v>764</v>
      </c>
      <c r="C5" s="827" t="s">
        <v>792</v>
      </c>
      <c r="D5" s="843" t="s">
        <v>765</v>
      </c>
      <c r="E5" s="849"/>
      <c r="F5" s="844"/>
      <c r="G5" s="933"/>
      <c r="H5" s="732"/>
      <c r="I5" s="812"/>
      <c r="J5" s="813"/>
      <c r="N5" s="719">
        <v>90</v>
      </c>
      <c r="R5" s="719">
        <v>50</v>
      </c>
    </row>
    <row r="6" spans="1:25" s="719" customFormat="1" ht="45" customHeight="1" x14ac:dyDescent="0.25">
      <c r="A6" s="867">
        <f t="shared" ref="A6:A9" si="0">A5+0.01</f>
        <v>5.1199999999999992</v>
      </c>
      <c r="B6" s="757" t="s">
        <v>774</v>
      </c>
      <c r="C6" s="848" t="s">
        <v>781</v>
      </c>
      <c r="D6" s="847" t="s">
        <v>10</v>
      </c>
      <c r="E6" s="822">
        <v>6382</v>
      </c>
      <c r="F6" s="846"/>
      <c r="G6" s="933">
        <f t="shared" ref="G6:G9" si="1">F6*E6</f>
        <v>0</v>
      </c>
      <c r="H6" s="732">
        <f>M12*1</f>
        <v>6382</v>
      </c>
      <c r="I6" s="812"/>
      <c r="J6" s="830" t="s">
        <v>767</v>
      </c>
      <c r="K6" s="830" t="s">
        <v>768</v>
      </c>
      <c r="L6" s="830" t="s">
        <v>769</v>
      </c>
      <c r="M6" s="830" t="s">
        <v>773</v>
      </c>
      <c r="N6" s="830" t="s">
        <v>770</v>
      </c>
      <c r="O6" s="830" t="s">
        <v>38</v>
      </c>
      <c r="P6" s="830" t="s">
        <v>769</v>
      </c>
      <c r="Q6" s="830" t="s">
        <v>773</v>
      </c>
      <c r="R6" s="830" t="s">
        <v>770</v>
      </c>
      <c r="S6" s="830" t="s">
        <v>38</v>
      </c>
      <c r="T6" s="830" t="s">
        <v>769</v>
      </c>
      <c r="U6" s="830" t="s">
        <v>773</v>
      </c>
      <c r="Y6" s="719">
        <f t="shared" ref="Y6:Y7" si="2">E6/2</f>
        <v>3191</v>
      </c>
    </row>
    <row r="7" spans="1:25" s="719" customFormat="1" ht="45" customHeight="1" x14ac:dyDescent="0.25">
      <c r="A7" s="867">
        <f t="shared" si="0"/>
        <v>5.129999999999999</v>
      </c>
      <c r="B7" s="757" t="s">
        <v>766</v>
      </c>
      <c r="C7" s="848" t="s">
        <v>788</v>
      </c>
      <c r="D7" s="847" t="s">
        <v>10</v>
      </c>
      <c r="E7" s="822">
        <v>4090</v>
      </c>
      <c r="F7" s="974"/>
      <c r="G7" s="933">
        <f t="shared" si="1"/>
        <v>0</v>
      </c>
      <c r="H7" s="732">
        <f>M15*1-L12*0.3</f>
        <v>4089.8324790750094</v>
      </c>
      <c r="I7" s="812"/>
      <c r="J7" s="833"/>
      <c r="K7" s="830"/>
      <c r="L7" s="830">
        <v>23</v>
      </c>
      <c r="M7" s="830">
        <f>L7*K7</f>
        <v>0</v>
      </c>
      <c r="N7" s="833"/>
      <c r="O7" s="830">
        <v>15</v>
      </c>
      <c r="P7" s="830">
        <v>4</v>
      </c>
      <c r="Q7" s="830">
        <f>P7*O7</f>
        <v>60</v>
      </c>
      <c r="R7" s="833"/>
      <c r="S7" s="830">
        <v>5</v>
      </c>
      <c r="T7" s="830">
        <v>0</v>
      </c>
      <c r="U7" s="830">
        <f>T7*S7</f>
        <v>0</v>
      </c>
      <c r="Y7" s="719">
        <f t="shared" si="2"/>
        <v>2045</v>
      </c>
    </row>
    <row r="8" spans="1:25" s="719" customFormat="1" ht="45" customHeight="1" x14ac:dyDescent="0.25">
      <c r="A8" s="867">
        <f t="shared" si="0"/>
        <v>5.1399999999999988</v>
      </c>
      <c r="B8" s="757" t="s">
        <v>779</v>
      </c>
      <c r="C8" s="848" t="s">
        <v>787</v>
      </c>
      <c r="D8" s="847" t="s">
        <v>10</v>
      </c>
      <c r="E8" s="822">
        <v>850</v>
      </c>
      <c r="F8" s="974"/>
      <c r="G8" s="933">
        <f t="shared" si="1"/>
        <v>0</v>
      </c>
      <c r="H8" s="732">
        <f>M18*0.9</f>
        <v>850.5</v>
      </c>
      <c r="I8" s="812"/>
      <c r="J8" s="833"/>
      <c r="K8" s="830">
        <v>6</v>
      </c>
      <c r="L8" s="830">
        <v>171</v>
      </c>
      <c r="M8" s="830">
        <f t="shared" ref="M8:M11" si="3">L8*K8</f>
        <v>1026</v>
      </c>
      <c r="N8" s="831"/>
      <c r="O8" s="831">
        <v>20</v>
      </c>
      <c r="P8" s="831">
        <v>39</v>
      </c>
      <c r="Q8" s="830">
        <f t="shared" ref="Q8:Q10" si="4">P8*O8</f>
        <v>780</v>
      </c>
      <c r="R8" s="831"/>
      <c r="S8" s="830"/>
      <c r="T8" s="830"/>
      <c r="U8" s="830">
        <f t="shared" ref="U8:U10" si="5">T8*S8</f>
        <v>0</v>
      </c>
      <c r="Y8" s="719">
        <f>E8/2</f>
        <v>425</v>
      </c>
    </row>
    <row r="9" spans="1:25" s="719" customFormat="1" ht="45" customHeight="1" x14ac:dyDescent="0.25">
      <c r="A9" s="867">
        <f t="shared" si="0"/>
        <v>5.1499999999999986</v>
      </c>
      <c r="B9" s="757" t="s">
        <v>878</v>
      </c>
      <c r="C9" s="848" t="s">
        <v>879</v>
      </c>
      <c r="D9" s="847" t="s">
        <v>4</v>
      </c>
      <c r="E9" s="822">
        <v>8</v>
      </c>
      <c r="F9" s="974"/>
      <c r="G9" s="933">
        <f t="shared" si="1"/>
        <v>0</v>
      </c>
      <c r="H9" s="732"/>
      <c r="I9" s="812"/>
      <c r="J9" s="833"/>
      <c r="K9" s="830"/>
      <c r="L9" s="830"/>
      <c r="M9" s="830"/>
      <c r="N9" s="831"/>
      <c r="O9" s="831"/>
      <c r="P9" s="831"/>
      <c r="Q9" s="830"/>
      <c r="R9" s="831"/>
      <c r="S9" s="830"/>
      <c r="T9" s="830"/>
      <c r="U9" s="830"/>
    </row>
    <row r="10" spans="1:25" s="719" customFormat="1" ht="30" customHeight="1" x14ac:dyDescent="0.25">
      <c r="A10" s="866">
        <f>$J$3+0.2</f>
        <v>5.2</v>
      </c>
      <c r="B10" s="847"/>
      <c r="C10" s="750" t="s">
        <v>32</v>
      </c>
      <c r="D10" s="847"/>
      <c r="E10" s="822"/>
      <c r="F10" s="974"/>
      <c r="G10" s="933"/>
      <c r="H10" s="754"/>
      <c r="I10" s="812"/>
      <c r="J10" s="833"/>
      <c r="K10" s="830">
        <v>8</v>
      </c>
      <c r="L10" s="830">
        <v>402</v>
      </c>
      <c r="M10" s="830">
        <f t="shared" si="3"/>
        <v>3216</v>
      </c>
      <c r="N10" s="831"/>
      <c r="O10" s="831"/>
      <c r="P10" s="831"/>
      <c r="Q10" s="830">
        <f t="shared" si="4"/>
        <v>0</v>
      </c>
      <c r="R10" s="831"/>
      <c r="S10" s="831"/>
      <c r="T10" s="831"/>
      <c r="U10" s="830">
        <f t="shared" si="5"/>
        <v>0</v>
      </c>
    </row>
    <row r="11" spans="1:25" s="719" customFormat="1" ht="50.4" customHeight="1" x14ac:dyDescent="0.25">
      <c r="A11" s="867">
        <f>A10+0.01</f>
        <v>5.21</v>
      </c>
      <c r="B11" s="863" t="s">
        <v>41</v>
      </c>
      <c r="C11" s="864" t="s">
        <v>777</v>
      </c>
      <c r="D11" s="863" t="s">
        <v>10</v>
      </c>
      <c r="E11" s="822">
        <v>840</v>
      </c>
      <c r="F11" s="974"/>
      <c r="G11" s="933">
        <f t="shared" ref="G11:G14" si="6">F11*E11</f>
        <v>0</v>
      </c>
      <c r="H11" s="749">
        <f>Q12*1</f>
        <v>840</v>
      </c>
      <c r="I11" s="755"/>
      <c r="J11" s="833"/>
      <c r="K11" s="830">
        <v>10</v>
      </c>
      <c r="L11" s="830">
        <v>214</v>
      </c>
      <c r="M11" s="830">
        <f t="shared" si="3"/>
        <v>2140</v>
      </c>
      <c r="N11" s="831"/>
      <c r="O11" s="831"/>
      <c r="P11" s="831"/>
      <c r="Q11" s="830"/>
      <c r="R11" s="831"/>
      <c r="S11" s="831"/>
      <c r="T11" s="831"/>
      <c r="U11" s="830"/>
    </row>
    <row r="12" spans="1:25" s="851" customFormat="1" ht="28.95" customHeight="1" x14ac:dyDescent="0.25">
      <c r="A12" s="866">
        <f>A10+0.1</f>
        <v>5.3</v>
      </c>
      <c r="B12" s="847"/>
      <c r="C12" s="750" t="s">
        <v>196</v>
      </c>
      <c r="D12" s="847"/>
      <c r="E12" s="822"/>
      <c r="F12" s="974"/>
      <c r="G12" s="933"/>
      <c r="H12" s="754"/>
      <c r="I12" s="756"/>
      <c r="J12" s="833"/>
      <c r="K12" s="834" t="s">
        <v>528</v>
      </c>
      <c r="L12" s="834">
        <f>SUM(L7:L11)</f>
        <v>810</v>
      </c>
      <c r="M12" s="834">
        <f>SUM(M7:M11)</f>
        <v>6382</v>
      </c>
      <c r="N12" s="835"/>
      <c r="O12" s="835"/>
      <c r="P12" s="835"/>
      <c r="Q12" s="834">
        <f>SUM(Q7:Q11)</f>
        <v>840</v>
      </c>
      <c r="R12" s="835"/>
      <c r="S12" s="835"/>
      <c r="T12" s="835"/>
      <c r="U12" s="834">
        <f>SUM(U7:U11)</f>
        <v>0</v>
      </c>
    </row>
    <row r="13" spans="1:25" s="851" customFormat="1" ht="27" customHeight="1" x14ac:dyDescent="0.25">
      <c r="A13" s="867">
        <f>A12+0.01</f>
        <v>5.31</v>
      </c>
      <c r="B13" s="847" t="s">
        <v>791</v>
      </c>
      <c r="C13" s="848" t="s">
        <v>610</v>
      </c>
      <c r="D13" s="873" t="s">
        <v>6</v>
      </c>
      <c r="E13" s="822">
        <v>2060</v>
      </c>
      <c r="F13" s="974"/>
      <c r="G13" s="933">
        <f t="shared" si="6"/>
        <v>0</v>
      </c>
      <c r="H13" s="732">
        <f>2572*0.8</f>
        <v>2057.6</v>
      </c>
      <c r="I13" s="756"/>
      <c r="J13" s="814" t="s">
        <v>771</v>
      </c>
      <c r="K13" s="814" t="s">
        <v>772</v>
      </c>
      <c r="L13" s="870">
        <f>5162/3+45</f>
        <v>1765.6666666666667</v>
      </c>
      <c r="M13" s="836">
        <f>L13/COS(RADIANS(10))</f>
        <v>1792.9049210529306</v>
      </c>
      <c r="N13" s="737"/>
      <c r="O13" s="737"/>
      <c r="P13" s="737"/>
      <c r="Q13" s="737"/>
      <c r="R13" s="719"/>
      <c r="S13" s="719"/>
      <c r="T13" s="719"/>
      <c r="U13" s="719"/>
    </row>
    <row r="14" spans="1:25" s="719" customFormat="1" ht="43.2" customHeight="1" x14ac:dyDescent="0.25">
      <c r="A14" s="867">
        <f>A13+0.01</f>
        <v>5.3199999999999994</v>
      </c>
      <c r="B14" s="757" t="s">
        <v>755</v>
      </c>
      <c r="C14" s="848" t="s">
        <v>756</v>
      </c>
      <c r="D14" s="847" t="s">
        <v>775</v>
      </c>
      <c r="E14" s="822">
        <v>1195</v>
      </c>
      <c r="F14" s="974"/>
      <c r="G14" s="933">
        <f t="shared" si="6"/>
        <v>0</v>
      </c>
      <c r="H14" s="732">
        <f>(2572-'Bill No 4'!N7-H7*0.3)*1.2</f>
        <v>1192.8603075329968</v>
      </c>
      <c r="I14" s="755"/>
      <c r="J14" s="832"/>
      <c r="K14" s="814" t="s">
        <v>700</v>
      </c>
      <c r="L14" s="815">
        <f>5388/3</f>
        <v>1796</v>
      </c>
      <c r="M14" s="836">
        <f>L14/SIN(RADIANS(45))</f>
        <v>2539.9275580220788</v>
      </c>
      <c r="N14" s="737"/>
      <c r="O14" s="737"/>
      <c r="P14" s="737"/>
      <c r="Q14" s="753"/>
      <c r="R14" s="737"/>
      <c r="S14" s="737"/>
      <c r="T14" s="737"/>
      <c r="U14" s="737"/>
    </row>
    <row r="15" spans="1:25" s="851" customFormat="1" ht="36.6" customHeight="1" thickBot="1" x14ac:dyDescent="0.3">
      <c r="A15" s="934"/>
      <c r="B15" s="1043" t="str">
        <f>"TOTAL OF "&amp;$A$1&amp;" (TRANSFERRED TO SUMMARY)"</f>
        <v>TOTAL OF BILL NO. 5 - SOIL NAILING &amp; HORIZONTAL DRAINS (TRANSFERRED TO SUMMARY)</v>
      </c>
      <c r="C15" s="1044"/>
      <c r="D15" s="1044"/>
      <c r="E15" s="1044"/>
      <c r="F15" s="1045"/>
      <c r="G15" s="935">
        <f>SUM(G4:G14)</f>
        <v>0</v>
      </c>
      <c r="H15" s="758"/>
      <c r="I15" s="756"/>
      <c r="J15" s="832"/>
      <c r="K15" s="832"/>
      <c r="L15" s="832"/>
      <c r="M15" s="837">
        <f>SUM(M13:M14)</f>
        <v>4332.8324790750094</v>
      </c>
      <c r="N15" s="737"/>
      <c r="O15" s="830"/>
      <c r="P15" s="737"/>
      <c r="Q15" s="745"/>
      <c r="R15" s="737"/>
      <c r="S15" s="737"/>
      <c r="T15" s="737"/>
      <c r="U15" s="737"/>
      <c r="V15" s="737"/>
    </row>
    <row r="16" spans="1:25" s="851" customFormat="1" ht="31.5" customHeight="1" x14ac:dyDescent="0.25">
      <c r="A16" s="742"/>
      <c r="B16" s="742"/>
      <c r="C16" s="743"/>
      <c r="D16" s="742"/>
      <c r="E16" s="742"/>
      <c r="F16" s="760"/>
      <c r="G16" s="760"/>
      <c r="H16" s="746"/>
      <c r="I16" s="759"/>
      <c r="J16" s="814" t="s">
        <v>780</v>
      </c>
      <c r="K16" s="814" t="s">
        <v>772</v>
      </c>
      <c r="L16" s="815"/>
      <c r="M16" s="836">
        <f>L16/COS(RADIANS(10))</f>
        <v>0</v>
      </c>
      <c r="N16" s="737"/>
      <c r="O16" s="737"/>
      <c r="P16" s="737"/>
      <c r="Q16" s="745"/>
      <c r="R16" s="753"/>
      <c r="S16" s="753"/>
      <c r="T16" s="753"/>
      <c r="U16" s="753"/>
      <c r="V16" s="737"/>
    </row>
    <row r="17" spans="1:22" s="753" customFormat="1" ht="30" customHeight="1" x14ac:dyDescent="0.25">
      <c r="A17" s="742"/>
      <c r="B17" s="742"/>
      <c r="C17" s="743"/>
      <c r="D17" s="742"/>
      <c r="E17" s="742"/>
      <c r="F17" s="760"/>
      <c r="G17" s="760"/>
      <c r="H17" s="746"/>
      <c r="I17" s="761"/>
      <c r="J17" s="832"/>
      <c r="K17" s="814" t="s">
        <v>700</v>
      </c>
      <c r="L17" s="815"/>
      <c r="M17" s="836">
        <f>L17/SIN(RADIANS(60))</f>
        <v>0</v>
      </c>
      <c r="N17" s="851"/>
      <c r="O17" s="851"/>
      <c r="P17" s="851"/>
      <c r="Q17" s="851"/>
      <c r="R17" s="851"/>
      <c r="S17" s="851"/>
      <c r="T17" s="851"/>
      <c r="U17" s="851"/>
    </row>
    <row r="18" spans="1:22" ht="13.8" x14ac:dyDescent="0.25">
      <c r="A18" s="742"/>
      <c r="B18" s="742"/>
      <c r="C18" s="743"/>
      <c r="D18" s="742"/>
      <c r="E18" s="742"/>
      <c r="F18" s="760"/>
      <c r="G18" s="760"/>
      <c r="J18" s="832"/>
      <c r="K18" s="832"/>
      <c r="L18" s="832"/>
      <c r="M18" s="837">
        <v>945</v>
      </c>
      <c r="N18" s="753"/>
      <c r="O18" s="753"/>
      <c r="P18" s="753"/>
      <c r="Q18" s="753"/>
      <c r="R18" s="753"/>
      <c r="S18" s="753"/>
      <c r="T18" s="753"/>
      <c r="U18" s="753"/>
    </row>
    <row r="19" spans="1:22" x14ac:dyDescent="0.25">
      <c r="A19" s="742"/>
      <c r="B19" s="742"/>
      <c r="C19" s="743"/>
      <c r="D19" s="742"/>
      <c r="E19" s="742"/>
      <c r="F19" s="760"/>
      <c r="G19"/>
      <c r="H19"/>
      <c r="J19" s="745"/>
    </row>
    <row r="20" spans="1:22" x14ac:dyDescent="0.25">
      <c r="A20" s="742"/>
      <c r="B20" s="742"/>
      <c r="C20" s="743"/>
      <c r="D20" s="742"/>
      <c r="E20" s="742"/>
      <c r="F20" s="760"/>
      <c r="G20"/>
      <c r="H20"/>
    </row>
    <row r="21" spans="1:22" s="746" customFormat="1" x14ac:dyDescent="0.25">
      <c r="A21" s="742"/>
      <c r="B21" s="742"/>
      <c r="C21" s="743"/>
      <c r="D21" s="742"/>
      <c r="E21" s="742"/>
      <c r="F21" s="760"/>
      <c r="G21"/>
      <c r="H21"/>
      <c r="I21" s="761"/>
      <c r="J21" s="761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</row>
    <row r="22" spans="1:22" s="746" customFormat="1" x14ac:dyDescent="0.25">
      <c r="A22" s="742"/>
      <c r="B22" s="742"/>
      <c r="C22" s="743"/>
      <c r="D22" s="742"/>
      <c r="E22" s="742"/>
      <c r="F22" s="760"/>
      <c r="G22"/>
      <c r="H22"/>
      <c r="I22" s="761"/>
      <c r="J22" s="761"/>
      <c r="K22" s="745"/>
      <c r="L22" s="745"/>
      <c r="M22" s="745"/>
      <c r="N22" s="745"/>
      <c r="O22" s="745"/>
      <c r="P22" s="745"/>
      <c r="Q22" s="745"/>
      <c r="R22" s="745"/>
      <c r="S22" s="745"/>
      <c r="T22" s="745"/>
      <c r="U22" s="745"/>
      <c r="V22" s="745"/>
    </row>
    <row r="23" spans="1:22" s="746" customFormat="1" x14ac:dyDescent="0.25">
      <c r="A23" s="742"/>
      <c r="B23" s="742"/>
      <c r="C23" s="743"/>
      <c r="D23" s="742"/>
      <c r="E23" s="742"/>
      <c r="F23" s="760"/>
      <c r="G23"/>
      <c r="H23"/>
      <c r="I23" s="761"/>
      <c r="J23" s="761"/>
      <c r="K23" s="745"/>
      <c r="L23" s="745"/>
      <c r="M23" s="745"/>
      <c r="N23" s="745"/>
      <c r="O23" s="745"/>
      <c r="P23" s="745"/>
      <c r="Q23" s="745"/>
      <c r="R23" s="745"/>
      <c r="S23" s="745"/>
      <c r="T23" s="745"/>
      <c r="U23" s="745"/>
      <c r="V23" s="745"/>
    </row>
    <row r="24" spans="1:22" s="746" customFormat="1" x14ac:dyDescent="0.25">
      <c r="A24" s="742"/>
      <c r="B24" s="742"/>
      <c r="C24" s="743"/>
      <c r="D24" s="742"/>
      <c r="E24" s="742"/>
      <c r="F24" s="760"/>
      <c r="G24"/>
      <c r="H24"/>
      <c r="I24" s="761"/>
      <c r="J24" s="761"/>
      <c r="K24" s="745"/>
      <c r="L24" s="745"/>
      <c r="M24" s="745"/>
      <c r="N24" s="745"/>
      <c r="O24" s="745"/>
      <c r="P24" s="745"/>
      <c r="Q24" s="745"/>
      <c r="R24" s="745"/>
      <c r="S24" s="745"/>
      <c r="T24" s="745"/>
      <c r="U24" s="745"/>
      <c r="V24" s="745"/>
    </row>
    <row r="25" spans="1:22" s="746" customFormat="1" x14ac:dyDescent="0.25">
      <c r="A25" s="742"/>
      <c r="B25" s="742"/>
      <c r="C25" s="743"/>
      <c r="D25" s="742"/>
      <c r="E25" s="742"/>
      <c r="F25" s="760"/>
      <c r="G25"/>
      <c r="H25"/>
      <c r="I25" s="761"/>
      <c r="J25" s="761"/>
      <c r="K25" s="745"/>
      <c r="L25" s="745"/>
      <c r="M25" s="745"/>
      <c r="N25" s="745"/>
      <c r="O25" s="745"/>
      <c r="P25" s="745"/>
      <c r="Q25" s="745"/>
      <c r="R25" s="745"/>
      <c r="S25" s="745"/>
      <c r="T25" s="745"/>
      <c r="U25" s="745"/>
      <c r="V25" s="745"/>
    </row>
    <row r="26" spans="1:22" s="746" customFormat="1" x14ac:dyDescent="0.25">
      <c r="A26" s="742"/>
      <c r="B26" s="742"/>
      <c r="C26" s="743"/>
      <c r="D26" s="742"/>
      <c r="E26" s="742"/>
      <c r="F26" s="760"/>
      <c r="G26"/>
      <c r="H26"/>
      <c r="I26" s="761"/>
      <c r="J26" s="761"/>
      <c r="K26" s="745"/>
      <c r="L26" s="745"/>
      <c r="M26" s="745"/>
      <c r="N26" s="745"/>
      <c r="O26" s="745"/>
      <c r="P26" s="745"/>
      <c r="Q26" s="745"/>
      <c r="R26" s="745"/>
      <c r="S26" s="745"/>
      <c r="T26" s="745"/>
      <c r="U26" s="745"/>
      <c r="V26" s="745"/>
    </row>
    <row r="27" spans="1:22" s="746" customFormat="1" x14ac:dyDescent="0.25">
      <c r="A27" s="742"/>
      <c r="B27" s="742"/>
      <c r="C27" s="743"/>
      <c r="D27" s="742"/>
      <c r="E27" s="742"/>
      <c r="F27" s="760"/>
      <c r="G27"/>
      <c r="H27"/>
      <c r="I27" s="761"/>
      <c r="J27" s="761"/>
      <c r="K27" s="745"/>
      <c r="L27" s="745"/>
      <c r="M27" s="745"/>
      <c r="N27" s="745"/>
      <c r="O27" s="745"/>
      <c r="P27" s="745"/>
      <c r="Q27" s="745"/>
      <c r="R27" s="745"/>
      <c r="S27" s="745"/>
      <c r="T27" s="745"/>
      <c r="U27" s="745"/>
      <c r="V27" s="745"/>
    </row>
    <row r="28" spans="1:22" s="746" customFormat="1" x14ac:dyDescent="0.25">
      <c r="A28" s="742"/>
      <c r="B28" s="742"/>
      <c r="C28" s="743"/>
      <c r="D28" s="742"/>
      <c r="E28" s="742"/>
      <c r="F28" s="760"/>
      <c r="G28"/>
      <c r="H28"/>
      <c r="I28" s="761"/>
      <c r="J28" s="761"/>
      <c r="K28" s="745"/>
      <c r="L28" s="745"/>
      <c r="M28" s="745"/>
      <c r="N28" s="745"/>
      <c r="O28" s="745"/>
      <c r="P28" s="745"/>
      <c r="Q28" s="745"/>
      <c r="R28" s="745"/>
      <c r="S28" s="745"/>
      <c r="T28" s="745"/>
      <c r="U28" s="745"/>
      <c r="V28" s="745"/>
    </row>
    <row r="29" spans="1:22" s="746" customFormat="1" x14ac:dyDescent="0.25">
      <c r="A29" s="742"/>
      <c r="B29" s="742"/>
      <c r="C29" s="743"/>
      <c r="D29" s="742"/>
      <c r="E29" s="742"/>
      <c r="F29" s="760"/>
      <c r="G29"/>
      <c r="H29"/>
      <c r="I29" s="761"/>
      <c r="J29" s="761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</row>
    <row r="30" spans="1:22" s="746" customFormat="1" x14ac:dyDescent="0.25">
      <c r="A30" s="742"/>
      <c r="B30" s="742"/>
      <c r="C30" s="743"/>
      <c r="D30" s="742"/>
      <c r="E30" s="742"/>
      <c r="F30" s="760"/>
      <c r="G30"/>
      <c r="H30"/>
      <c r="I30" s="761"/>
      <c r="J30" s="761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</row>
    <row r="31" spans="1:22" s="746" customFormat="1" x14ac:dyDescent="0.25">
      <c r="A31" s="742"/>
      <c r="B31" s="742"/>
      <c r="C31" s="743"/>
      <c r="D31" s="742"/>
      <c r="E31" s="742"/>
      <c r="F31" s="760"/>
      <c r="G31"/>
      <c r="H31"/>
      <c r="I31" s="761"/>
      <c r="J31" s="761"/>
      <c r="K31" s="745"/>
      <c r="L31" s="745"/>
      <c r="M31" s="745"/>
      <c r="N31" s="745"/>
      <c r="O31" s="745"/>
      <c r="P31" s="745"/>
      <c r="Q31" s="745"/>
      <c r="R31" s="745"/>
      <c r="S31" s="745"/>
      <c r="T31" s="745"/>
      <c r="U31" s="745"/>
      <c r="V31" s="745"/>
    </row>
    <row r="32" spans="1:22" s="746" customFormat="1" x14ac:dyDescent="0.25">
      <c r="A32" s="747"/>
      <c r="B32" s="747"/>
      <c r="C32" s="745"/>
      <c r="D32" s="747"/>
      <c r="E32" s="747"/>
      <c r="F32" s="762"/>
      <c r="G32"/>
      <c r="H32"/>
      <c r="I32" s="761"/>
      <c r="J32" s="761"/>
      <c r="K32" s="745"/>
      <c r="L32" s="745"/>
      <c r="M32" s="745"/>
      <c r="N32" s="745"/>
      <c r="O32" s="745"/>
      <c r="P32" s="745"/>
      <c r="Q32" s="745"/>
      <c r="R32" s="745"/>
      <c r="S32" s="745"/>
      <c r="T32" s="745"/>
      <c r="U32" s="745"/>
      <c r="V32" s="745"/>
    </row>
    <row r="33" spans="1:22" s="746" customFormat="1" x14ac:dyDescent="0.25">
      <c r="A33" s="747"/>
      <c r="B33" s="747"/>
      <c r="C33" s="745"/>
      <c r="D33" s="747"/>
      <c r="E33" s="747"/>
      <c r="F33" s="762"/>
      <c r="G33"/>
      <c r="H33"/>
      <c r="I33" s="761"/>
      <c r="J33" s="761"/>
      <c r="K33" s="745"/>
      <c r="L33" s="745"/>
      <c r="M33" s="745"/>
      <c r="N33" s="745"/>
      <c r="O33" s="745"/>
      <c r="P33" s="745"/>
      <c r="Q33" s="745"/>
      <c r="R33" s="745"/>
      <c r="S33" s="745"/>
      <c r="T33" s="745"/>
      <c r="U33" s="745"/>
      <c r="V33" s="745"/>
    </row>
    <row r="34" spans="1:22" s="746" customFormat="1" x14ac:dyDescent="0.25">
      <c r="A34" s="747"/>
      <c r="B34" s="747"/>
      <c r="C34" s="745"/>
      <c r="D34" s="747"/>
      <c r="E34" s="727"/>
      <c r="F34" s="762"/>
      <c r="G34"/>
      <c r="H34"/>
      <c r="I34" s="761"/>
      <c r="J34" s="761"/>
      <c r="K34" s="745"/>
      <c r="L34" s="745"/>
      <c r="M34" s="745"/>
      <c r="N34" s="745"/>
      <c r="O34" s="745"/>
      <c r="P34" s="745"/>
      <c r="Q34" s="745"/>
      <c r="R34" s="745"/>
      <c r="S34" s="745"/>
      <c r="T34" s="745"/>
      <c r="U34" s="745"/>
      <c r="V34" s="745"/>
    </row>
    <row r="35" spans="1:22" s="746" customFormat="1" x14ac:dyDescent="0.25">
      <c r="A35" s="747"/>
      <c r="B35" s="747"/>
      <c r="C35" s="745"/>
      <c r="D35" s="747"/>
      <c r="E35" s="727"/>
      <c r="F35" s="762"/>
      <c r="G35"/>
      <c r="H35"/>
      <c r="I35" s="761"/>
      <c r="J35" s="761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</row>
    <row r="36" spans="1:22" s="746" customFormat="1" x14ac:dyDescent="0.25">
      <c r="A36" s="747"/>
      <c r="B36" s="747"/>
      <c r="C36" s="745"/>
      <c r="D36" s="747"/>
      <c r="E36" s="727"/>
      <c r="F36" s="762"/>
      <c r="G36"/>
      <c r="H36"/>
      <c r="I36" s="761"/>
      <c r="J36" s="761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</row>
    <row r="37" spans="1:22" s="746" customFormat="1" x14ac:dyDescent="0.25">
      <c r="A37" s="747"/>
      <c r="B37" s="747"/>
      <c r="C37" s="745"/>
      <c r="D37" s="747"/>
      <c r="E37" s="727"/>
      <c r="F37" s="762"/>
      <c r="G37"/>
      <c r="H37"/>
      <c r="I37" s="761"/>
      <c r="J37" s="761"/>
      <c r="K37" s="745"/>
      <c r="L37" s="745"/>
      <c r="M37" s="745"/>
      <c r="N37" s="745"/>
      <c r="O37" s="745"/>
      <c r="P37" s="745"/>
      <c r="Q37" s="745"/>
      <c r="R37" s="745"/>
      <c r="S37" s="745"/>
      <c r="T37" s="745"/>
      <c r="U37" s="745"/>
      <c r="V37" s="745"/>
    </row>
    <row r="38" spans="1:22" s="746" customFormat="1" x14ac:dyDescent="0.25">
      <c r="A38" s="747"/>
      <c r="B38" s="747"/>
      <c r="C38" s="745"/>
      <c r="D38" s="747"/>
      <c r="E38" s="727"/>
      <c r="F38" s="762"/>
      <c r="G38"/>
      <c r="H38"/>
      <c r="I38" s="761"/>
      <c r="J38" s="761"/>
      <c r="K38" s="745"/>
      <c r="L38" s="745"/>
      <c r="M38" s="745"/>
      <c r="N38" s="745"/>
      <c r="O38" s="745"/>
      <c r="P38" s="745"/>
      <c r="Q38" s="745"/>
      <c r="R38" s="745"/>
      <c r="S38" s="745"/>
      <c r="T38" s="745"/>
      <c r="U38" s="745"/>
      <c r="V38" s="745"/>
    </row>
    <row r="39" spans="1:22" s="746" customFormat="1" x14ac:dyDescent="0.25">
      <c r="A39" s="747"/>
      <c r="B39" s="747"/>
      <c r="C39" s="745"/>
      <c r="D39" s="747"/>
      <c r="E39" s="727"/>
      <c r="F39" s="762"/>
      <c r="G39"/>
      <c r="H39"/>
      <c r="I39" s="761"/>
      <c r="J39" s="761"/>
      <c r="K39" s="745"/>
      <c r="L39" s="745"/>
      <c r="M39" s="745"/>
      <c r="N39" s="745"/>
      <c r="O39" s="745"/>
      <c r="P39" s="745"/>
      <c r="Q39" s="745"/>
      <c r="R39" s="745"/>
      <c r="S39" s="745"/>
      <c r="T39" s="745"/>
      <c r="U39" s="745"/>
      <c r="V39" s="745"/>
    </row>
    <row r="40" spans="1:22" s="746" customFormat="1" x14ac:dyDescent="0.25">
      <c r="A40" s="747"/>
      <c r="B40" s="747"/>
      <c r="C40" s="745"/>
      <c r="D40" s="747"/>
      <c r="E40" s="727"/>
      <c r="F40" s="762"/>
      <c r="G40"/>
      <c r="H40"/>
      <c r="I40" s="761"/>
      <c r="J40" s="761"/>
      <c r="K40" s="745"/>
      <c r="L40" s="745"/>
      <c r="M40" s="745"/>
      <c r="N40" s="745"/>
      <c r="O40" s="745"/>
      <c r="P40" s="745"/>
      <c r="Q40" s="745"/>
      <c r="R40" s="745"/>
      <c r="S40" s="745"/>
      <c r="T40" s="745"/>
      <c r="U40" s="745"/>
      <c r="V40" s="745"/>
    </row>
    <row r="41" spans="1:22" s="746" customFormat="1" x14ac:dyDescent="0.25">
      <c r="A41" s="747"/>
      <c r="B41" s="747"/>
      <c r="C41" s="745"/>
      <c r="D41" s="747"/>
      <c r="E41" s="727"/>
      <c r="F41" s="762"/>
      <c r="G41"/>
      <c r="H41"/>
      <c r="I41" s="761"/>
      <c r="J41" s="761"/>
      <c r="K41" s="745"/>
      <c r="L41" s="745"/>
      <c r="M41" s="745"/>
      <c r="N41" s="745"/>
      <c r="O41" s="745"/>
      <c r="P41" s="745"/>
      <c r="Q41" s="745"/>
      <c r="R41" s="745"/>
      <c r="S41" s="745"/>
      <c r="T41" s="745"/>
      <c r="U41" s="745"/>
      <c r="V41" s="745"/>
    </row>
    <row r="42" spans="1:22" s="746" customFormat="1" x14ac:dyDescent="0.25">
      <c r="A42" s="747"/>
      <c r="B42" s="747"/>
      <c r="C42" s="745"/>
      <c r="D42" s="747"/>
      <c r="E42" s="727"/>
      <c r="F42" s="762"/>
      <c r="G42"/>
      <c r="H42"/>
      <c r="I42" s="761"/>
      <c r="J42" s="761"/>
      <c r="K42" s="745"/>
      <c r="L42" s="745"/>
      <c r="M42" s="745"/>
      <c r="N42" s="745"/>
      <c r="O42" s="745"/>
      <c r="P42" s="745"/>
      <c r="Q42" s="745"/>
      <c r="R42" s="745"/>
      <c r="S42" s="745"/>
      <c r="T42" s="745"/>
      <c r="U42" s="745"/>
      <c r="V42" s="745"/>
    </row>
    <row r="43" spans="1:22" s="746" customFormat="1" x14ac:dyDescent="0.25">
      <c r="A43" s="747"/>
      <c r="B43" s="747"/>
      <c r="C43" s="745"/>
      <c r="D43" s="747"/>
      <c r="E43" s="727"/>
      <c r="F43" s="762"/>
      <c r="G43"/>
      <c r="H43"/>
      <c r="I43" s="761"/>
      <c r="J43" s="761"/>
      <c r="K43" s="745"/>
      <c r="L43" s="745"/>
      <c r="M43" s="745"/>
      <c r="N43" s="745"/>
      <c r="O43" s="745"/>
      <c r="P43" s="745"/>
      <c r="Q43" s="745"/>
      <c r="R43" s="745"/>
      <c r="S43" s="745"/>
      <c r="T43" s="745"/>
      <c r="U43" s="745"/>
      <c r="V43" s="745"/>
    </row>
    <row r="44" spans="1:22" s="746" customFormat="1" x14ac:dyDescent="0.25">
      <c r="A44" s="747"/>
      <c r="B44" s="747"/>
      <c r="C44" s="745"/>
      <c r="D44" s="747"/>
      <c r="E44" s="727"/>
      <c r="F44" s="762"/>
      <c r="G44"/>
      <c r="H44"/>
      <c r="I44" s="761"/>
      <c r="J44" s="761"/>
      <c r="K44" s="745"/>
      <c r="L44" s="745"/>
      <c r="M44" s="745"/>
      <c r="N44" s="745"/>
      <c r="O44" s="745"/>
      <c r="P44" s="745"/>
      <c r="Q44" s="745"/>
      <c r="R44" s="745"/>
      <c r="S44" s="745"/>
      <c r="T44" s="745"/>
      <c r="U44" s="745"/>
      <c r="V44" s="745"/>
    </row>
    <row r="45" spans="1:22" s="746" customFormat="1" x14ac:dyDescent="0.25">
      <c r="A45" s="747"/>
      <c r="B45" s="747"/>
      <c r="C45" s="745"/>
      <c r="D45" s="747"/>
      <c r="E45" s="727"/>
      <c r="F45" s="762"/>
      <c r="G45"/>
      <c r="H45"/>
      <c r="I45" s="761"/>
      <c r="J45" s="761"/>
      <c r="K45" s="745"/>
      <c r="L45" s="745"/>
      <c r="M45" s="745"/>
      <c r="N45" s="745"/>
      <c r="O45" s="745"/>
      <c r="P45" s="745"/>
      <c r="Q45" s="745"/>
      <c r="R45" s="745"/>
      <c r="S45" s="745"/>
      <c r="T45" s="745"/>
      <c r="U45" s="745"/>
      <c r="V45" s="745"/>
    </row>
    <row r="46" spans="1:22" s="746" customFormat="1" x14ac:dyDescent="0.25">
      <c r="A46" s="747"/>
      <c r="B46" s="747"/>
      <c r="C46" s="745"/>
      <c r="D46" s="747"/>
      <c r="E46" s="747"/>
      <c r="F46" s="762"/>
      <c r="G46"/>
      <c r="H46"/>
      <c r="I46" s="761"/>
      <c r="J46" s="761"/>
      <c r="K46" s="745"/>
      <c r="L46" s="745"/>
      <c r="M46" s="745"/>
      <c r="N46" s="745"/>
      <c r="O46" s="745"/>
      <c r="P46" s="745"/>
      <c r="Q46" s="745"/>
      <c r="R46" s="745"/>
      <c r="S46" s="745"/>
      <c r="T46" s="745"/>
      <c r="U46" s="745"/>
      <c r="V46" s="745"/>
    </row>
    <row r="47" spans="1:22" s="746" customFormat="1" x14ac:dyDescent="0.25">
      <c r="A47" s="747"/>
      <c r="B47" s="747"/>
      <c r="C47" s="745"/>
      <c r="D47" s="747"/>
      <c r="E47" s="747"/>
      <c r="F47" s="762"/>
      <c r="G47"/>
      <c r="H47"/>
      <c r="I47" s="761"/>
      <c r="J47" s="761"/>
      <c r="K47" s="745"/>
      <c r="L47" s="745"/>
      <c r="M47" s="745"/>
      <c r="N47" s="745"/>
      <c r="O47" s="745"/>
      <c r="P47" s="745"/>
      <c r="Q47" s="745"/>
      <c r="R47" s="745"/>
      <c r="S47" s="745"/>
      <c r="T47" s="745"/>
      <c r="U47" s="745"/>
      <c r="V47" s="745"/>
    </row>
    <row r="48" spans="1:22" s="761" customFormat="1" x14ac:dyDescent="0.25">
      <c r="A48" s="747"/>
      <c r="B48" s="747"/>
      <c r="C48" s="745"/>
      <c r="D48" s="747"/>
      <c r="E48" s="747"/>
      <c r="F48" s="762"/>
      <c r="G48" s="762"/>
      <c r="H48" s="746"/>
      <c r="K48" s="745"/>
      <c r="L48" s="745"/>
      <c r="M48" s="745"/>
      <c r="N48" s="745"/>
      <c r="O48" s="745"/>
      <c r="P48" s="745"/>
      <c r="Q48" s="745"/>
      <c r="R48" s="745"/>
      <c r="S48" s="745"/>
      <c r="T48" s="745"/>
      <c r="U48" s="745"/>
      <c r="V48" s="745"/>
    </row>
    <row r="49" spans="1:22" s="761" customFormat="1" x14ac:dyDescent="0.25">
      <c r="A49" s="747"/>
      <c r="B49" s="747"/>
      <c r="C49" s="745"/>
      <c r="D49" s="747"/>
      <c r="E49" s="747"/>
      <c r="F49" s="762"/>
      <c r="G49" s="762"/>
      <c r="H49" s="746"/>
      <c r="K49" s="745"/>
      <c r="L49" s="745"/>
      <c r="M49" s="745"/>
      <c r="N49" s="745"/>
      <c r="O49" s="745"/>
      <c r="P49" s="745"/>
      <c r="Q49" s="745"/>
      <c r="R49" s="745"/>
      <c r="S49" s="745"/>
      <c r="T49" s="745"/>
      <c r="U49" s="745"/>
      <c r="V49" s="745"/>
    </row>
  </sheetData>
  <mergeCells count="10">
    <mergeCell ref="B15:F15"/>
    <mergeCell ref="A1:C1"/>
    <mergeCell ref="D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4803149606299202" right="0.511811023622047" top="0.511811023622047" bottom="0.511811023622047" header="0" footer="0"/>
  <pageSetup paperSize="9" scale="75" fitToHeight="0" orientation="portrait" r:id="rId1"/>
  <colBreaks count="1" manualBreakCount="1">
    <brk id="9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D063-1B2E-44EF-9B5D-E289181ABB15}">
  <sheetPr>
    <tabColor theme="9" tint="0.59999389629810485"/>
    <pageSetUpPr fitToPage="1"/>
  </sheetPr>
  <dimension ref="A1:J35"/>
  <sheetViews>
    <sheetView view="pageBreakPreview" topLeftCell="A25" zoomScaleNormal="100" zoomScaleSheetLayoutView="100" workbookViewId="0">
      <selection activeCell="P33" sqref="P33"/>
    </sheetView>
  </sheetViews>
  <sheetFormatPr defaultColWidth="9.109375" defaultRowHeight="13.2" x14ac:dyDescent="0.25"/>
  <cols>
    <col min="1" max="1" width="9.44140625" style="953" customWidth="1"/>
    <col min="2" max="2" width="51.6640625" style="609" customWidth="1"/>
    <col min="3" max="4" width="12" style="609" customWidth="1"/>
    <col min="5" max="5" width="11.44140625" style="523" customWidth="1"/>
    <col min="6" max="6" width="20.44140625" style="523" customWidth="1"/>
    <col min="7" max="7" width="9.33203125" style="609" bestFit="1" customWidth="1"/>
    <col min="8" max="9" width="0" style="609" hidden="1" customWidth="1"/>
    <col min="10" max="10" width="9.44140625" style="609" hidden="1" customWidth="1"/>
    <col min="11" max="15" width="0" style="609" hidden="1" customWidth="1"/>
    <col min="16" max="16384" width="9.109375" style="609"/>
  </cols>
  <sheetData>
    <row r="1" spans="1:10" s="851" customFormat="1" ht="38.4" customHeight="1" thickBot="1" x14ac:dyDescent="0.3">
      <c r="A1" s="1067" t="s">
        <v>943</v>
      </c>
      <c r="B1" s="1068"/>
      <c r="C1" s="1068" t="str">
        <f>'Bill No 5'!D1</f>
        <v>REDUCTION OF LANDSLIDE  VULNERABILITY  BY MITIGATION MEASURES BETWEEN CULVERT NO. 31/1 AND 31/2 ON HATTON - MASKELIYA - DELHOUSE ROAD B – 149</v>
      </c>
      <c r="D1" s="1069"/>
      <c r="E1" s="1069"/>
      <c r="F1" s="1070"/>
    </row>
    <row r="2" spans="1:10" ht="30.6" customHeight="1" x14ac:dyDescent="0.25">
      <c r="A2" s="979" t="s">
        <v>880</v>
      </c>
      <c r="B2" s="954" t="s">
        <v>0</v>
      </c>
      <c r="C2" s="954" t="s">
        <v>1</v>
      </c>
      <c r="D2" s="954" t="s">
        <v>881</v>
      </c>
      <c r="E2" s="921" t="s">
        <v>2</v>
      </c>
      <c r="F2" s="980" t="s">
        <v>324</v>
      </c>
    </row>
    <row r="3" spans="1:10" ht="22.5" customHeight="1" x14ac:dyDescent="0.25">
      <c r="A3" s="981">
        <v>6.1</v>
      </c>
      <c r="B3" s="955" t="s">
        <v>20</v>
      </c>
      <c r="C3" s="956"/>
      <c r="D3" s="956"/>
      <c r="E3" s="957"/>
      <c r="F3" s="982"/>
    </row>
    <row r="4" spans="1:10" ht="22.5" customHeight="1" x14ac:dyDescent="0.25">
      <c r="A4" s="983" t="s">
        <v>910</v>
      </c>
      <c r="B4" s="958" t="s">
        <v>21</v>
      </c>
      <c r="C4" s="959" t="s">
        <v>882</v>
      </c>
      <c r="D4" s="960">
        <v>20</v>
      </c>
      <c r="E4" s="961"/>
      <c r="F4" s="928">
        <f>D4*E4</f>
        <v>0</v>
      </c>
      <c r="J4" s="614"/>
    </row>
    <row r="5" spans="1:10" ht="22.5" customHeight="1" x14ac:dyDescent="0.25">
      <c r="A5" s="984" t="s">
        <v>911</v>
      </c>
      <c r="B5" s="962" t="s">
        <v>22</v>
      </c>
      <c r="C5" s="963" t="s">
        <v>882</v>
      </c>
      <c r="D5" s="975">
        <v>20</v>
      </c>
      <c r="E5" s="964"/>
      <c r="F5" s="930">
        <f t="shared" ref="F5:F12" si="0">D5*E5</f>
        <v>0</v>
      </c>
    </row>
    <row r="6" spans="1:10" ht="22.5" customHeight="1" x14ac:dyDescent="0.25">
      <c r="A6" s="984" t="s">
        <v>912</v>
      </c>
      <c r="B6" s="962" t="s">
        <v>16</v>
      </c>
      <c r="C6" s="963" t="s">
        <v>882</v>
      </c>
      <c r="D6" s="975">
        <v>20</v>
      </c>
      <c r="E6" s="964"/>
      <c r="F6" s="930">
        <f t="shared" si="0"/>
        <v>0</v>
      </c>
    </row>
    <row r="7" spans="1:10" ht="22.5" customHeight="1" x14ac:dyDescent="0.25">
      <c r="A7" s="984" t="s">
        <v>913</v>
      </c>
      <c r="B7" s="962" t="s">
        <v>883</v>
      </c>
      <c r="C7" s="963" t="s">
        <v>882</v>
      </c>
      <c r="D7" s="975">
        <v>20</v>
      </c>
      <c r="E7" s="964"/>
      <c r="F7" s="930">
        <f t="shared" si="0"/>
        <v>0</v>
      </c>
    </row>
    <row r="8" spans="1:10" ht="22.5" customHeight="1" x14ac:dyDescent="0.25">
      <c r="A8" s="984" t="s">
        <v>914</v>
      </c>
      <c r="B8" s="962" t="s">
        <v>884</v>
      </c>
      <c r="C8" s="963" t="s">
        <v>882</v>
      </c>
      <c r="D8" s="975">
        <v>20</v>
      </c>
      <c r="E8" s="964"/>
      <c r="F8" s="930">
        <f t="shared" si="0"/>
        <v>0</v>
      </c>
    </row>
    <row r="9" spans="1:10" ht="22.5" customHeight="1" x14ac:dyDescent="0.25">
      <c r="A9" s="984" t="s">
        <v>915</v>
      </c>
      <c r="B9" s="962" t="s">
        <v>885</v>
      </c>
      <c r="C9" s="963" t="s">
        <v>882</v>
      </c>
      <c r="D9" s="975">
        <v>20</v>
      </c>
      <c r="E9" s="964"/>
      <c r="F9" s="930">
        <f t="shared" si="0"/>
        <v>0</v>
      </c>
    </row>
    <row r="10" spans="1:10" ht="22.5" customHeight="1" x14ac:dyDescent="0.25">
      <c r="A10" s="984" t="s">
        <v>916</v>
      </c>
      <c r="B10" s="962" t="s">
        <v>886</v>
      </c>
      <c r="C10" s="963" t="s">
        <v>882</v>
      </c>
      <c r="D10" s="975">
        <v>20</v>
      </c>
      <c r="E10" s="964"/>
      <c r="F10" s="930">
        <f t="shared" si="0"/>
        <v>0</v>
      </c>
    </row>
    <row r="11" spans="1:10" ht="22.5" customHeight="1" x14ac:dyDescent="0.25">
      <c r="A11" s="984" t="s">
        <v>917</v>
      </c>
      <c r="B11" s="962" t="s">
        <v>887</v>
      </c>
      <c r="C11" s="963" t="s">
        <v>882</v>
      </c>
      <c r="D11" s="975">
        <v>20</v>
      </c>
      <c r="E11" s="964"/>
      <c r="F11" s="930">
        <f t="shared" si="0"/>
        <v>0</v>
      </c>
    </row>
    <row r="12" spans="1:10" ht="22.5" customHeight="1" x14ac:dyDescent="0.25">
      <c r="A12" s="984" t="s">
        <v>918</v>
      </c>
      <c r="B12" s="962" t="s">
        <v>888</v>
      </c>
      <c r="C12" s="963" t="s">
        <v>882</v>
      </c>
      <c r="D12" s="975">
        <v>20</v>
      </c>
      <c r="E12" s="964"/>
      <c r="F12" s="930">
        <f t="shared" si="0"/>
        <v>0</v>
      </c>
    </row>
    <row r="13" spans="1:10" ht="22.5" customHeight="1" x14ac:dyDescent="0.25">
      <c r="A13" s="985">
        <v>6.2</v>
      </c>
      <c r="B13" s="976" t="s">
        <v>23</v>
      </c>
      <c r="C13" s="977"/>
      <c r="D13" s="977"/>
      <c r="E13" s="978"/>
      <c r="F13" s="986"/>
    </row>
    <row r="14" spans="1:10" ht="25.5" customHeight="1" x14ac:dyDescent="0.25">
      <c r="A14" s="987" t="s">
        <v>921</v>
      </c>
      <c r="B14" s="967" t="s">
        <v>17</v>
      </c>
      <c r="C14" s="968" t="s">
        <v>889</v>
      </c>
      <c r="D14" s="968">
        <v>5</v>
      </c>
      <c r="E14" s="964"/>
      <c r="F14" s="930">
        <f>D14*E14</f>
        <v>0</v>
      </c>
    </row>
    <row r="15" spans="1:10" ht="22.5" customHeight="1" x14ac:dyDescent="0.25">
      <c r="A15" s="987" t="s">
        <v>922</v>
      </c>
      <c r="B15" s="967" t="s">
        <v>18</v>
      </c>
      <c r="C15" s="968" t="s">
        <v>9</v>
      </c>
      <c r="D15" s="968">
        <v>5</v>
      </c>
      <c r="E15" s="964"/>
      <c r="F15" s="930">
        <f t="shared" ref="F15:F34" si="1">D15*E15</f>
        <v>0</v>
      </c>
    </row>
    <row r="16" spans="1:10" ht="22.5" customHeight="1" x14ac:dyDescent="0.25">
      <c r="A16" s="987" t="s">
        <v>923</v>
      </c>
      <c r="B16" s="967" t="s">
        <v>890</v>
      </c>
      <c r="C16" s="968" t="s">
        <v>9</v>
      </c>
      <c r="D16" s="968">
        <v>5</v>
      </c>
      <c r="E16" s="964"/>
      <c r="F16" s="930">
        <f t="shared" si="1"/>
        <v>0</v>
      </c>
    </row>
    <row r="17" spans="1:10" ht="22.5" customHeight="1" x14ac:dyDescent="0.25">
      <c r="A17" s="987" t="s">
        <v>924</v>
      </c>
      <c r="B17" s="967" t="s">
        <v>891</v>
      </c>
      <c r="C17" s="968" t="s">
        <v>9</v>
      </c>
      <c r="D17" s="968">
        <v>5</v>
      </c>
      <c r="E17" s="964"/>
      <c r="F17" s="930">
        <f t="shared" si="1"/>
        <v>0</v>
      </c>
    </row>
    <row r="18" spans="1:10" ht="22.5" customHeight="1" x14ac:dyDescent="0.25">
      <c r="A18" s="987" t="s">
        <v>925</v>
      </c>
      <c r="B18" s="967" t="s">
        <v>892</v>
      </c>
      <c r="C18" s="968" t="s">
        <v>19</v>
      </c>
      <c r="D18" s="968">
        <v>100</v>
      </c>
      <c r="E18" s="964"/>
      <c r="F18" s="930">
        <f t="shared" si="1"/>
        <v>0</v>
      </c>
    </row>
    <row r="19" spans="1:10" ht="22.5" customHeight="1" x14ac:dyDescent="0.25">
      <c r="A19" s="987" t="s">
        <v>926</v>
      </c>
      <c r="B19" s="967" t="s">
        <v>893</v>
      </c>
      <c r="C19" s="968" t="s">
        <v>19</v>
      </c>
      <c r="D19" s="968">
        <v>100</v>
      </c>
      <c r="E19" s="964"/>
      <c r="F19" s="930">
        <f t="shared" si="1"/>
        <v>0</v>
      </c>
    </row>
    <row r="20" spans="1:10" ht="22.5" customHeight="1" x14ac:dyDescent="0.25">
      <c r="A20" s="987" t="s">
        <v>927</v>
      </c>
      <c r="B20" s="967" t="s">
        <v>894</v>
      </c>
      <c r="C20" s="968" t="s">
        <v>10</v>
      </c>
      <c r="D20" s="968">
        <v>10</v>
      </c>
      <c r="E20" s="964"/>
      <c r="F20" s="930">
        <f t="shared" si="1"/>
        <v>0</v>
      </c>
    </row>
    <row r="21" spans="1:10" ht="22.5" customHeight="1" x14ac:dyDescent="0.25">
      <c r="A21" s="987" t="s">
        <v>928</v>
      </c>
      <c r="B21" s="967" t="s">
        <v>895</v>
      </c>
      <c r="C21" s="968" t="s">
        <v>9</v>
      </c>
      <c r="D21" s="968">
        <v>10</v>
      </c>
      <c r="E21" s="964"/>
      <c r="F21" s="930">
        <f t="shared" si="1"/>
        <v>0</v>
      </c>
    </row>
    <row r="22" spans="1:10" ht="22.5" customHeight="1" x14ac:dyDescent="0.25">
      <c r="A22" s="987" t="s">
        <v>929</v>
      </c>
      <c r="B22" s="967" t="s">
        <v>896</v>
      </c>
      <c r="C22" s="968" t="s">
        <v>9</v>
      </c>
      <c r="D22" s="968">
        <v>5</v>
      </c>
      <c r="E22" s="964"/>
      <c r="F22" s="930">
        <f t="shared" si="1"/>
        <v>0</v>
      </c>
    </row>
    <row r="23" spans="1:10" ht="22.5" customHeight="1" x14ac:dyDescent="0.25">
      <c r="A23" s="987" t="s">
        <v>930</v>
      </c>
      <c r="B23" s="967" t="s">
        <v>919</v>
      </c>
      <c r="C23" s="968" t="s">
        <v>6</v>
      </c>
      <c r="D23" s="968">
        <v>10</v>
      </c>
      <c r="E23" s="964"/>
      <c r="F23" s="930">
        <f t="shared" si="1"/>
        <v>0</v>
      </c>
    </row>
    <row r="24" spans="1:10" ht="22.5" customHeight="1" x14ac:dyDescent="0.25">
      <c r="A24" s="985">
        <v>6.3</v>
      </c>
      <c r="B24" s="976" t="s">
        <v>897</v>
      </c>
      <c r="C24" s="977"/>
      <c r="D24" s="977"/>
      <c r="E24" s="978"/>
      <c r="F24" s="986"/>
    </row>
    <row r="25" spans="1:10" ht="22.5" customHeight="1" x14ac:dyDescent="0.25">
      <c r="A25" s="987" t="s">
        <v>931</v>
      </c>
      <c r="B25" s="967" t="s">
        <v>898</v>
      </c>
      <c r="C25" s="963" t="s">
        <v>882</v>
      </c>
      <c r="D25" s="963">
        <v>5</v>
      </c>
      <c r="E25" s="964"/>
      <c r="F25" s="930">
        <f t="shared" si="1"/>
        <v>0</v>
      </c>
    </row>
    <row r="26" spans="1:10" ht="22.5" customHeight="1" x14ac:dyDescent="0.25">
      <c r="A26" s="987" t="s">
        <v>932</v>
      </c>
      <c r="B26" s="967" t="s">
        <v>899</v>
      </c>
      <c r="C26" s="963" t="s">
        <v>900</v>
      </c>
      <c r="D26" s="963">
        <v>10</v>
      </c>
      <c r="E26" s="964"/>
      <c r="F26" s="930">
        <f t="shared" si="1"/>
        <v>0</v>
      </c>
      <c r="J26" s="952" t="s">
        <v>901</v>
      </c>
    </row>
    <row r="27" spans="1:10" ht="22.5" customHeight="1" x14ac:dyDescent="0.25">
      <c r="A27" s="987" t="s">
        <v>933</v>
      </c>
      <c r="B27" s="967" t="s">
        <v>902</v>
      </c>
      <c r="C27" s="963" t="s">
        <v>882</v>
      </c>
      <c r="D27" s="963">
        <v>10</v>
      </c>
      <c r="E27" s="964"/>
      <c r="F27" s="930">
        <f t="shared" si="1"/>
        <v>0</v>
      </c>
    </row>
    <row r="28" spans="1:10" ht="22.5" customHeight="1" x14ac:dyDescent="0.25">
      <c r="A28" s="987" t="s">
        <v>934</v>
      </c>
      <c r="B28" s="967" t="s">
        <v>903</v>
      </c>
      <c r="C28" s="963" t="s">
        <v>882</v>
      </c>
      <c r="D28" s="963">
        <v>10</v>
      </c>
      <c r="E28" s="964"/>
      <c r="F28" s="930">
        <f t="shared" si="1"/>
        <v>0</v>
      </c>
      <c r="H28" s="609">
        <v>1250</v>
      </c>
      <c r="I28" s="609">
        <v>1.25</v>
      </c>
      <c r="J28" s="609">
        <f>+H28*1.25</f>
        <v>1562.5</v>
      </c>
    </row>
    <row r="29" spans="1:10" ht="22.5" customHeight="1" x14ac:dyDescent="0.25">
      <c r="A29" s="987" t="s">
        <v>935</v>
      </c>
      <c r="B29" s="971" t="s">
        <v>904</v>
      </c>
      <c r="C29" s="972" t="s">
        <v>882</v>
      </c>
      <c r="D29" s="963">
        <v>10</v>
      </c>
      <c r="E29" s="973"/>
      <c r="F29" s="930">
        <f t="shared" si="1"/>
        <v>0</v>
      </c>
      <c r="H29" s="609">
        <v>5000</v>
      </c>
      <c r="J29" s="609">
        <f>+H29*1.25</f>
        <v>6250</v>
      </c>
    </row>
    <row r="30" spans="1:10" ht="22.5" customHeight="1" x14ac:dyDescent="0.25">
      <c r="A30" s="987" t="s">
        <v>936</v>
      </c>
      <c r="B30" s="971" t="s">
        <v>905</v>
      </c>
      <c r="C30" s="972" t="s">
        <v>882</v>
      </c>
      <c r="D30" s="963">
        <v>10</v>
      </c>
      <c r="E30" s="973"/>
      <c r="F30" s="930">
        <f t="shared" si="1"/>
        <v>0</v>
      </c>
      <c r="H30" s="609">
        <v>1850</v>
      </c>
      <c r="J30" s="609">
        <f>+H30*1.25</f>
        <v>2312.5</v>
      </c>
    </row>
    <row r="31" spans="1:10" ht="22.5" customHeight="1" x14ac:dyDescent="0.25">
      <c r="A31" s="987" t="s">
        <v>937</v>
      </c>
      <c r="B31" s="971" t="s">
        <v>906</v>
      </c>
      <c r="C31" s="972" t="s">
        <v>882</v>
      </c>
      <c r="D31" s="963">
        <v>10</v>
      </c>
      <c r="E31" s="973"/>
      <c r="F31" s="930">
        <f t="shared" si="1"/>
        <v>0</v>
      </c>
    </row>
    <row r="32" spans="1:10" ht="22.5" customHeight="1" x14ac:dyDescent="0.25">
      <c r="A32" s="987" t="s">
        <v>938</v>
      </c>
      <c r="B32" s="967" t="s">
        <v>907</v>
      </c>
      <c r="C32" s="963" t="s">
        <v>882</v>
      </c>
      <c r="D32" s="963">
        <v>10</v>
      </c>
      <c r="E32" s="964"/>
      <c r="F32" s="930">
        <f t="shared" si="1"/>
        <v>0</v>
      </c>
    </row>
    <row r="33" spans="1:6" ht="22.5" customHeight="1" x14ac:dyDescent="0.25">
      <c r="A33" s="987" t="s">
        <v>939</v>
      </c>
      <c r="B33" s="967" t="s">
        <v>908</v>
      </c>
      <c r="C33" s="963" t="s">
        <v>882</v>
      </c>
      <c r="D33" s="963">
        <v>10</v>
      </c>
      <c r="E33" s="964"/>
      <c r="F33" s="930">
        <f t="shared" si="1"/>
        <v>0</v>
      </c>
    </row>
    <row r="34" spans="1:6" ht="22.5" customHeight="1" x14ac:dyDescent="0.25">
      <c r="A34" s="988" t="s">
        <v>940</v>
      </c>
      <c r="B34" s="969" t="s">
        <v>909</v>
      </c>
      <c r="C34" s="970" t="s">
        <v>882</v>
      </c>
      <c r="D34" s="965">
        <v>10</v>
      </c>
      <c r="E34" s="966"/>
      <c r="F34" s="989">
        <f t="shared" si="1"/>
        <v>0</v>
      </c>
    </row>
    <row r="35" spans="1:6" ht="30" customHeight="1" thickBot="1" x14ac:dyDescent="0.3">
      <c r="A35" s="990"/>
      <c r="B35" s="1075" t="s">
        <v>920</v>
      </c>
      <c r="C35" s="1076"/>
      <c r="D35" s="1076"/>
      <c r="E35" s="1076"/>
      <c r="F35" s="991">
        <f>SUM(F4:F34)</f>
        <v>0</v>
      </c>
    </row>
  </sheetData>
  <mergeCells count="3">
    <mergeCell ref="B35:E35"/>
    <mergeCell ref="A1:C1"/>
    <mergeCell ref="D1:F1"/>
  </mergeCells>
  <phoneticPr fontId="98" type="noConversion"/>
  <printOptions horizontalCentered="1"/>
  <pageMargins left="0.74803149606299202" right="0.511811023622047" top="0.511811023622047" bottom="0.511811023622047" header="0" footer="0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Q166"/>
  <sheetViews>
    <sheetView view="pageBreakPreview" zoomScale="90" zoomScaleNormal="100" zoomScaleSheetLayoutView="90" workbookViewId="0">
      <pane ySplit="2" topLeftCell="A34" activePane="bottomLeft" state="frozen"/>
      <selection pane="bottomLeft" activeCell="J34" sqref="J34"/>
    </sheetView>
  </sheetViews>
  <sheetFormatPr defaultColWidth="9.109375" defaultRowHeight="13.2" x14ac:dyDescent="0.25"/>
  <cols>
    <col min="1" max="1" width="26.5546875" style="609" customWidth="1"/>
    <col min="2" max="5" width="10.6640625" style="609" customWidth="1"/>
    <col min="6" max="7" width="12.6640625" style="609" customWidth="1"/>
    <col min="8" max="8" width="4.5546875" style="609" bestFit="1" customWidth="1"/>
    <col min="9" max="10" width="12.6640625" style="609" customWidth="1"/>
    <col min="11" max="11" width="10.33203125" style="609" bestFit="1" customWidth="1"/>
    <col min="12" max="12" width="10" style="609" bestFit="1" customWidth="1"/>
    <col min="13" max="16384" width="9.109375" style="609"/>
  </cols>
  <sheetData>
    <row r="1" spans="1:12" ht="20.100000000000001" customHeight="1" x14ac:dyDescent="0.25">
      <c r="A1" s="1092" t="s">
        <v>711</v>
      </c>
      <c r="B1" s="1093"/>
      <c r="C1" s="1093"/>
      <c r="D1" s="1093"/>
      <c r="E1" s="1093"/>
      <c r="F1" s="1093"/>
      <c r="G1" s="1093"/>
      <c r="H1" s="1093"/>
      <c r="I1" s="1093"/>
      <c r="J1" s="1094"/>
    </row>
    <row r="2" spans="1:12" s="617" customFormat="1" ht="30" customHeight="1" x14ac:dyDescent="0.25">
      <c r="A2" s="615"/>
      <c r="B2" s="616" t="s">
        <v>48</v>
      </c>
      <c r="C2" s="616" t="s">
        <v>49</v>
      </c>
      <c r="D2" s="616" t="s">
        <v>50</v>
      </c>
      <c r="E2" s="616" t="s">
        <v>51</v>
      </c>
      <c r="F2" s="616" t="s">
        <v>52</v>
      </c>
      <c r="G2" s="616" t="s">
        <v>53</v>
      </c>
      <c r="H2" s="616" t="s">
        <v>54</v>
      </c>
      <c r="I2" s="616" t="s">
        <v>712</v>
      </c>
      <c r="J2" s="616" t="s">
        <v>56</v>
      </c>
      <c r="L2" s="618"/>
    </row>
    <row r="3" spans="1:12" ht="24.9" customHeight="1" x14ac:dyDescent="0.25">
      <c r="A3" s="1095" t="s">
        <v>57</v>
      </c>
      <c r="B3" s="1096"/>
      <c r="C3" s="1096"/>
      <c r="D3" s="1096"/>
      <c r="E3" s="1096"/>
      <c r="F3" s="1096"/>
      <c r="G3" s="1096"/>
      <c r="H3" s="1096"/>
      <c r="I3" s="1096"/>
      <c r="J3" s="1097"/>
    </row>
    <row r="4" spans="1:12" ht="15" x14ac:dyDescent="0.35">
      <c r="A4" s="1098" t="s">
        <v>58</v>
      </c>
      <c r="B4" s="1099"/>
      <c r="C4" s="1099"/>
      <c r="D4" s="1099"/>
      <c r="E4" s="1099"/>
      <c r="F4" s="1100"/>
      <c r="G4" s="619"/>
      <c r="H4" s="620"/>
      <c r="I4" s="619"/>
      <c r="J4" s="619"/>
    </row>
    <row r="5" spans="1:12" ht="15" x14ac:dyDescent="0.35">
      <c r="A5" s="621"/>
      <c r="B5" s="622"/>
      <c r="C5" s="623"/>
      <c r="D5" s="624"/>
      <c r="E5" s="623"/>
      <c r="F5" s="622"/>
      <c r="G5" s="623"/>
      <c r="H5" s="623"/>
      <c r="I5" s="625"/>
      <c r="J5" s="625"/>
      <c r="L5" s="614"/>
    </row>
    <row r="6" spans="1:12" ht="15" x14ac:dyDescent="0.35">
      <c r="A6" s="626" t="s">
        <v>713</v>
      </c>
      <c r="B6" s="627">
        <f>(134.61)*1.155</f>
        <v>155.47455000000002</v>
      </c>
      <c r="C6" s="628">
        <f>2+1.2</f>
        <v>3.2</v>
      </c>
      <c r="D6" s="629"/>
      <c r="E6" s="630"/>
      <c r="F6" s="631">
        <f>PRODUCT(B6:E6)</f>
        <v>497.51856000000009</v>
      </c>
      <c r="G6" s="630"/>
      <c r="H6" s="630" t="s">
        <v>59</v>
      </c>
      <c r="I6" s="625">
        <f>F6*1.1</f>
        <v>547.27041600000018</v>
      </c>
      <c r="J6" s="632">
        <f>ROUNDUP(I6,2)</f>
        <v>547.28</v>
      </c>
      <c r="K6" s="614"/>
      <c r="L6" s="614"/>
    </row>
    <row r="7" spans="1:12" ht="15" x14ac:dyDescent="0.35">
      <c r="A7" s="626"/>
      <c r="B7" s="631"/>
      <c r="C7" s="628"/>
      <c r="D7" s="629"/>
      <c r="E7" s="630"/>
      <c r="F7" s="631"/>
      <c r="G7" s="630"/>
      <c r="H7" s="630"/>
      <c r="I7" s="625"/>
      <c r="J7" s="625"/>
      <c r="K7" s="614"/>
      <c r="L7" s="614"/>
    </row>
    <row r="8" spans="1:12" ht="15" x14ac:dyDescent="0.35">
      <c r="A8" s="626" t="s">
        <v>714</v>
      </c>
      <c r="B8" s="631">
        <v>113.86</v>
      </c>
      <c r="C8" s="628">
        <v>3</v>
      </c>
      <c r="D8" s="629"/>
      <c r="E8" s="630"/>
      <c r="F8" s="631">
        <f>PRODUCT(B8:E8)</f>
        <v>341.58</v>
      </c>
      <c r="G8" s="630"/>
      <c r="H8" s="630" t="s">
        <v>59</v>
      </c>
      <c r="I8" s="625">
        <f>F8*1.1</f>
        <v>375.738</v>
      </c>
      <c r="J8" s="632">
        <f>ROUNDUP(I8,2)</f>
        <v>375.74</v>
      </c>
      <c r="K8" s="614"/>
      <c r="L8" s="614"/>
    </row>
    <row r="9" spans="1:12" ht="15" x14ac:dyDescent="0.35">
      <c r="A9" s="626"/>
      <c r="B9" s="631"/>
      <c r="C9" s="628"/>
      <c r="D9" s="629"/>
      <c r="E9" s="630"/>
      <c r="F9" s="631"/>
      <c r="G9" s="630"/>
      <c r="H9" s="630"/>
      <c r="I9" s="625"/>
      <c r="J9" s="625"/>
      <c r="K9" s="614"/>
      <c r="L9" s="614"/>
    </row>
    <row r="10" spans="1:12" ht="15" x14ac:dyDescent="0.35">
      <c r="A10" s="626" t="s">
        <v>715</v>
      </c>
      <c r="B10" s="631">
        <f>29.79+27</f>
        <v>56.79</v>
      </c>
      <c r="C10" s="628">
        <v>2.65</v>
      </c>
      <c r="D10" s="629"/>
      <c r="E10" s="630"/>
      <c r="F10" s="631">
        <f>PRODUCT(B10:E10)</f>
        <v>150.49349999999998</v>
      </c>
      <c r="G10" s="630"/>
      <c r="H10" s="630" t="s">
        <v>59</v>
      </c>
      <c r="I10" s="625">
        <f>F10*1.1</f>
        <v>165.54284999999999</v>
      </c>
      <c r="J10" s="632">
        <f>ROUNDUP(I10,2)</f>
        <v>165.54999999999998</v>
      </c>
      <c r="K10" s="614"/>
      <c r="L10" s="614"/>
    </row>
    <row r="11" spans="1:12" ht="15" x14ac:dyDescent="0.35">
      <c r="A11" s="626"/>
      <c r="B11" s="631"/>
      <c r="C11" s="628"/>
      <c r="D11" s="629"/>
      <c r="E11" s="630"/>
      <c r="F11" s="631"/>
      <c r="G11" s="630"/>
      <c r="H11" s="630"/>
      <c r="I11" s="625"/>
      <c r="J11" s="625"/>
      <c r="K11" s="614"/>
      <c r="L11" s="614"/>
    </row>
    <row r="12" spans="1:12" ht="15" x14ac:dyDescent="0.35">
      <c r="A12" s="626" t="s">
        <v>716</v>
      </c>
      <c r="B12" s="631">
        <v>12.05</v>
      </c>
      <c r="C12" s="628">
        <v>4.1500000000000004</v>
      </c>
      <c r="D12" s="629"/>
      <c r="E12" s="630"/>
      <c r="F12" s="631">
        <f>PRODUCT(B12:E12)</f>
        <v>50.007500000000007</v>
      </c>
      <c r="G12" s="630"/>
      <c r="H12" s="630" t="s">
        <v>59</v>
      </c>
      <c r="I12" s="625">
        <f>F12*1.1</f>
        <v>55.008250000000011</v>
      </c>
      <c r="J12" s="632">
        <f>ROUNDUP(I12,2)</f>
        <v>55.01</v>
      </c>
      <c r="K12" s="614"/>
      <c r="L12" s="614"/>
    </row>
    <row r="13" spans="1:12" ht="15" x14ac:dyDescent="0.35">
      <c r="A13" s="626"/>
      <c r="B13" s="631"/>
      <c r="C13" s="628"/>
      <c r="D13" s="629"/>
      <c r="E13" s="630"/>
      <c r="F13" s="631"/>
      <c r="G13" s="630"/>
      <c r="H13" s="630"/>
      <c r="I13" s="625"/>
      <c r="J13" s="625"/>
      <c r="K13" s="614"/>
      <c r="L13" s="614"/>
    </row>
    <row r="14" spans="1:12" ht="15" x14ac:dyDescent="0.35">
      <c r="A14" s="626" t="s">
        <v>620</v>
      </c>
      <c r="B14" s="631">
        <v>18.86</v>
      </c>
      <c r="C14" s="633"/>
      <c r="D14" s="629"/>
      <c r="E14" s="630"/>
      <c r="F14" s="631">
        <f>PRODUCT(B14:E14)</f>
        <v>18.86</v>
      </c>
      <c r="G14" s="630"/>
      <c r="H14" s="630" t="s">
        <v>59</v>
      </c>
      <c r="I14" s="625">
        <f>F14*1.1</f>
        <v>20.746000000000002</v>
      </c>
      <c r="J14" s="632">
        <f>ROUNDUP(I14,2)</f>
        <v>20.75</v>
      </c>
      <c r="K14" s="614"/>
      <c r="L14" s="614"/>
    </row>
    <row r="15" spans="1:12" ht="15" x14ac:dyDescent="0.35">
      <c r="A15" s="626"/>
      <c r="B15" s="631"/>
      <c r="C15" s="633"/>
      <c r="D15" s="629"/>
      <c r="E15" s="630"/>
      <c r="F15" s="631"/>
      <c r="G15" s="630"/>
      <c r="H15" s="630"/>
      <c r="I15" s="625"/>
      <c r="J15" s="625"/>
      <c r="K15" s="614"/>
      <c r="L15" s="614"/>
    </row>
    <row r="16" spans="1:12" ht="15" x14ac:dyDescent="0.35">
      <c r="A16" s="626" t="s">
        <v>717</v>
      </c>
      <c r="B16" s="631">
        <f>31.61+22.46</f>
        <v>54.07</v>
      </c>
      <c r="C16" s="633">
        <v>5.5</v>
      </c>
      <c r="D16" s="629"/>
      <c r="E16" s="630"/>
      <c r="F16" s="631">
        <f>PRODUCT(B16:E16)</f>
        <v>297.38499999999999</v>
      </c>
      <c r="G16" s="630"/>
      <c r="H16" s="630" t="s">
        <v>59</v>
      </c>
      <c r="I16" s="625">
        <f>F16*1.1</f>
        <v>327.12350000000004</v>
      </c>
      <c r="J16" s="632">
        <f>ROUNDUP(I16,2)</f>
        <v>327.13</v>
      </c>
      <c r="K16" s="614"/>
      <c r="L16" s="614"/>
    </row>
    <row r="17" spans="1:12" ht="15" x14ac:dyDescent="0.35">
      <c r="A17" s="626"/>
      <c r="B17" s="631"/>
      <c r="C17" s="633"/>
      <c r="D17" s="629"/>
      <c r="E17" s="630"/>
      <c r="F17" s="631"/>
      <c r="G17" s="630"/>
      <c r="H17" s="630"/>
      <c r="I17" s="625"/>
      <c r="J17" s="625"/>
      <c r="K17" s="614"/>
      <c r="L17" s="614"/>
    </row>
    <row r="18" spans="1:12" ht="15" x14ac:dyDescent="0.35">
      <c r="A18" s="634" t="s">
        <v>718</v>
      </c>
      <c r="B18" s="635">
        <v>3.5</v>
      </c>
      <c r="C18" s="636">
        <v>3.5</v>
      </c>
      <c r="D18" s="637"/>
      <c r="E18" s="638"/>
      <c r="F18" s="631">
        <f>PRODUCT(B18:E18)</f>
        <v>12.25</v>
      </c>
      <c r="G18" s="630"/>
      <c r="H18" s="630" t="s">
        <v>59</v>
      </c>
      <c r="I18" s="625">
        <f>F18*1.1</f>
        <v>13.475000000000001</v>
      </c>
      <c r="J18" s="632">
        <f>ROUNDUP(I18,2)</f>
        <v>13.48</v>
      </c>
      <c r="L18" s="614"/>
    </row>
    <row r="19" spans="1:12" ht="15" x14ac:dyDescent="0.35">
      <c r="A19" s="634"/>
      <c r="B19" s="635"/>
      <c r="C19" s="636"/>
      <c r="D19" s="637"/>
      <c r="E19" s="638"/>
      <c r="F19" s="635"/>
      <c r="G19" s="638"/>
      <c r="H19" s="638"/>
      <c r="I19" s="625"/>
      <c r="J19" s="639">
        <f>SUM(J6:J18)</f>
        <v>1504.94</v>
      </c>
      <c r="L19" s="614"/>
    </row>
    <row r="20" spans="1:12" ht="15" x14ac:dyDescent="0.35">
      <c r="A20" s="634"/>
      <c r="B20" s="635"/>
      <c r="C20" s="636"/>
      <c r="D20" s="637"/>
      <c r="E20" s="638"/>
      <c r="F20" s="635"/>
      <c r="G20" s="638"/>
      <c r="H20" s="638"/>
      <c r="I20" s="640"/>
      <c r="J20" s="641"/>
      <c r="L20" s="614"/>
    </row>
    <row r="21" spans="1:12" ht="15" x14ac:dyDescent="0.35">
      <c r="A21" s="1077" t="s">
        <v>177</v>
      </c>
      <c r="B21" s="1078"/>
      <c r="C21" s="1078"/>
      <c r="D21" s="1078"/>
      <c r="E21" s="1078"/>
      <c r="F21" s="1078"/>
      <c r="G21" s="1078"/>
      <c r="H21" s="1078"/>
      <c r="I21" s="1078"/>
      <c r="J21" s="1079"/>
      <c r="L21" s="614"/>
    </row>
    <row r="22" spans="1:12" ht="15" x14ac:dyDescent="0.35">
      <c r="A22" s="642"/>
      <c r="B22" s="643">
        <v>14</v>
      </c>
      <c r="C22" s="644">
        <v>5.36</v>
      </c>
      <c r="D22" s="645"/>
      <c r="E22" s="646"/>
      <c r="F22" s="622">
        <f>PRODUCT(B22:E22)</f>
        <v>75.040000000000006</v>
      </c>
      <c r="G22" s="623"/>
      <c r="H22" s="623" t="s">
        <v>59</v>
      </c>
      <c r="I22" s="625">
        <f>F22*1.1</f>
        <v>82.544000000000011</v>
      </c>
      <c r="J22" s="639">
        <f>ROUNDUP(I22,2)</f>
        <v>82.550000000000011</v>
      </c>
      <c r="L22" s="614"/>
    </row>
    <row r="23" spans="1:12" ht="15" x14ac:dyDescent="0.35">
      <c r="A23" s="634"/>
      <c r="B23" s="635"/>
      <c r="C23" s="636"/>
      <c r="D23" s="637"/>
      <c r="E23" s="638"/>
      <c r="F23" s="635"/>
      <c r="G23" s="638"/>
      <c r="H23" s="638"/>
      <c r="I23" s="625"/>
      <c r="J23" s="647"/>
      <c r="L23" s="614"/>
    </row>
    <row r="24" spans="1:12" ht="15" x14ac:dyDescent="0.35">
      <c r="A24" s="634"/>
      <c r="B24" s="635"/>
      <c r="C24" s="636"/>
      <c r="D24" s="637"/>
      <c r="E24" s="638"/>
      <c r="F24" s="635"/>
      <c r="G24" s="638"/>
      <c r="H24" s="638"/>
      <c r="I24" s="625"/>
      <c r="J24" s="647"/>
      <c r="L24" s="614"/>
    </row>
    <row r="25" spans="1:12" ht="24.9" customHeight="1" x14ac:dyDescent="0.25">
      <c r="A25" s="1095" t="s">
        <v>66</v>
      </c>
      <c r="B25" s="1096"/>
      <c r="C25" s="1096"/>
      <c r="D25" s="1096"/>
      <c r="E25" s="1096"/>
      <c r="F25" s="1096"/>
      <c r="G25" s="1096"/>
      <c r="H25" s="1096"/>
      <c r="I25" s="1096"/>
      <c r="J25" s="1097"/>
    </row>
    <row r="26" spans="1:12" ht="15" x14ac:dyDescent="0.35">
      <c r="A26" s="1089" t="s">
        <v>72</v>
      </c>
      <c r="B26" s="1090"/>
      <c r="C26" s="1090"/>
      <c r="D26" s="1090"/>
      <c r="E26" s="1090"/>
      <c r="F26" s="1091"/>
      <c r="G26" s="648"/>
      <c r="H26" s="620"/>
      <c r="I26" s="619"/>
      <c r="J26" s="619"/>
    </row>
    <row r="27" spans="1:12" ht="15" x14ac:dyDescent="0.35">
      <c r="A27" s="1089" t="s">
        <v>73</v>
      </c>
      <c r="B27" s="1090"/>
      <c r="C27" s="1090"/>
      <c r="D27" s="1090"/>
      <c r="E27" s="1090"/>
      <c r="F27" s="1091"/>
      <c r="G27" s="648"/>
      <c r="H27" s="620"/>
      <c r="I27" s="619"/>
      <c r="J27" s="619"/>
    </row>
    <row r="28" spans="1:12" ht="15" x14ac:dyDescent="0.35">
      <c r="A28" s="1089" t="s">
        <v>74</v>
      </c>
      <c r="B28" s="1090"/>
      <c r="C28" s="1090"/>
      <c r="D28" s="1090"/>
      <c r="E28" s="1090"/>
      <c r="F28" s="1091"/>
      <c r="G28" s="649"/>
      <c r="H28" s="650"/>
      <c r="I28" s="649"/>
      <c r="J28" s="649"/>
    </row>
    <row r="29" spans="1:12" ht="15" x14ac:dyDescent="0.35">
      <c r="A29" s="626"/>
      <c r="B29" s="631"/>
      <c r="C29" s="629"/>
      <c r="D29" s="629"/>
      <c r="E29" s="630"/>
      <c r="F29" s="631"/>
      <c r="G29" s="630"/>
      <c r="H29" s="630"/>
      <c r="I29" s="625"/>
      <c r="J29" s="625"/>
      <c r="K29" s="614"/>
      <c r="L29" s="614"/>
    </row>
    <row r="30" spans="1:12" ht="15" x14ac:dyDescent="0.35">
      <c r="A30" s="626" t="str">
        <f>A6</f>
        <v>DS(L) - Type A</v>
      </c>
      <c r="B30" s="627">
        <f>B6</f>
        <v>155.47455000000002</v>
      </c>
      <c r="C30" s="629">
        <v>1.2</v>
      </c>
      <c r="D30" s="629">
        <v>0.7</v>
      </c>
      <c r="E30" s="630"/>
      <c r="F30" s="631">
        <f>PRODUCT(B30,C30,D30,E30)</f>
        <v>130.59862200000001</v>
      </c>
      <c r="G30" s="630"/>
      <c r="H30" s="630" t="s">
        <v>68</v>
      </c>
      <c r="I30" s="625">
        <f>F30*1.1</f>
        <v>143.65848420000003</v>
      </c>
      <c r="J30" s="651">
        <f>ROUNDUP(I30,2)</f>
        <v>143.66</v>
      </c>
      <c r="K30" s="614"/>
      <c r="L30" s="614"/>
    </row>
    <row r="31" spans="1:12" ht="15" x14ac:dyDescent="0.35">
      <c r="A31" s="626" t="str">
        <f>A8</f>
        <v>DS(K) - B</v>
      </c>
      <c r="B31" s="631">
        <f>B8</f>
        <v>113.86</v>
      </c>
      <c r="C31" s="629">
        <v>1.1000000000000001</v>
      </c>
      <c r="D31" s="629">
        <v>0.4</v>
      </c>
      <c r="E31" s="630"/>
      <c r="F31" s="631">
        <f>PRODUCT(B31,C31,D31,E31)</f>
        <v>50.098400000000005</v>
      </c>
      <c r="G31" s="630"/>
      <c r="H31" s="630" t="s">
        <v>68</v>
      </c>
      <c r="I31" s="625">
        <f>F31*1.1</f>
        <v>55.108240000000009</v>
      </c>
      <c r="J31" s="651">
        <f>ROUNDUP(I31,2)</f>
        <v>55.11</v>
      </c>
      <c r="K31" s="614"/>
      <c r="L31" s="614"/>
    </row>
    <row r="32" spans="1:12" ht="15" x14ac:dyDescent="0.35">
      <c r="A32" s="626" t="str">
        <f>A10</f>
        <v>DS(M) - B</v>
      </c>
      <c r="B32" s="631">
        <f>B10</f>
        <v>56.79</v>
      </c>
      <c r="C32" s="629">
        <v>0.55000000000000004</v>
      </c>
      <c r="D32" s="629">
        <v>0.65</v>
      </c>
      <c r="E32" s="630"/>
      <c r="F32" s="631">
        <f>PRODUCT(B32,C32,D32,E32)</f>
        <v>20.302424999999999</v>
      </c>
      <c r="G32" s="630"/>
      <c r="H32" s="630" t="s">
        <v>68</v>
      </c>
      <c r="I32" s="625">
        <f>F32*1.1</f>
        <v>22.332667500000003</v>
      </c>
      <c r="J32" s="651">
        <f>ROUNDUP(I32,2)</f>
        <v>22.34</v>
      </c>
      <c r="K32" s="614"/>
      <c r="L32" s="614"/>
    </row>
    <row r="33" spans="1:12" ht="15" x14ac:dyDescent="0.35">
      <c r="A33" s="626" t="str">
        <f>A18</f>
        <v>Catch Pits</v>
      </c>
      <c r="B33" s="631">
        <v>1.5</v>
      </c>
      <c r="C33" s="629">
        <v>1.5</v>
      </c>
      <c r="D33" s="629">
        <v>1</v>
      </c>
      <c r="E33" s="630"/>
      <c r="F33" s="631">
        <f>PRODUCT(B33,C33,D33,E33)</f>
        <v>2.25</v>
      </c>
      <c r="G33" s="630"/>
      <c r="H33" s="630" t="s">
        <v>68</v>
      </c>
      <c r="I33" s="625">
        <f>F33*1.1</f>
        <v>2.4750000000000001</v>
      </c>
      <c r="J33" s="651">
        <f>ROUNDUP(I33,2)</f>
        <v>2.48</v>
      </c>
      <c r="K33" s="614"/>
      <c r="L33" s="614"/>
    </row>
    <row r="34" spans="1:12" ht="15" x14ac:dyDescent="0.35">
      <c r="A34" s="626"/>
      <c r="B34" s="631"/>
      <c r="C34" s="629"/>
      <c r="D34" s="629"/>
      <c r="E34" s="630"/>
      <c r="F34" s="631"/>
      <c r="G34" s="630"/>
      <c r="H34" s="630"/>
      <c r="I34" s="625"/>
      <c r="J34" s="652">
        <f>SUM(J30:J33)</f>
        <v>223.58999999999997</v>
      </c>
      <c r="K34" s="614"/>
      <c r="L34" s="614"/>
    </row>
    <row r="35" spans="1:12" ht="15" x14ac:dyDescent="0.35">
      <c r="A35" s="626"/>
      <c r="B35" s="631"/>
      <c r="C35" s="629"/>
      <c r="D35" s="629"/>
      <c r="E35" s="630"/>
      <c r="F35" s="631"/>
      <c r="G35" s="630"/>
      <c r="H35" s="630"/>
      <c r="I35" s="625"/>
      <c r="J35" s="625"/>
      <c r="K35" s="614"/>
      <c r="L35" s="614"/>
    </row>
    <row r="36" spans="1:12" ht="15" x14ac:dyDescent="0.35">
      <c r="A36" s="626" t="str">
        <f>A12</f>
        <v>Retaining Wall - Type 2</v>
      </c>
      <c r="B36" s="631">
        <f>B12</f>
        <v>12.05</v>
      </c>
      <c r="C36" s="629">
        <v>2.0499999999999998</v>
      </c>
      <c r="D36" s="629"/>
      <c r="E36" s="630"/>
      <c r="F36" s="631">
        <f>PRODUCT(B36,C36,D36,E36)</f>
        <v>24.702500000000001</v>
      </c>
      <c r="G36" s="630"/>
      <c r="H36" s="630" t="s">
        <v>68</v>
      </c>
      <c r="I36" s="625">
        <f>F36*1.1</f>
        <v>27.172750000000004</v>
      </c>
      <c r="J36" s="651">
        <f>ROUNDUP(I36,2)</f>
        <v>27.180000000000003</v>
      </c>
      <c r="K36" s="614"/>
      <c r="L36" s="614"/>
    </row>
    <row r="37" spans="1:12" ht="15" x14ac:dyDescent="0.35">
      <c r="A37" s="626" t="str">
        <f>A14</f>
        <v>Berm Sealing</v>
      </c>
      <c r="B37" s="631">
        <f>B14</f>
        <v>18.86</v>
      </c>
      <c r="C37" s="629">
        <v>0.15</v>
      </c>
      <c r="D37" s="629"/>
      <c r="E37" s="630"/>
      <c r="F37" s="631">
        <f>PRODUCT(B37,C37,D37,E37)</f>
        <v>2.8289999999999997</v>
      </c>
      <c r="G37" s="630"/>
      <c r="H37" s="630" t="s">
        <v>719</v>
      </c>
      <c r="I37" s="625">
        <f>F37*1.1</f>
        <v>3.1118999999999999</v>
      </c>
      <c r="J37" s="651">
        <f>ROUNDUP(I37,2)</f>
        <v>3.1199999999999997</v>
      </c>
      <c r="K37" s="614"/>
      <c r="L37" s="614"/>
    </row>
    <row r="38" spans="1:12" ht="15" x14ac:dyDescent="0.35">
      <c r="A38" s="626" t="str">
        <f>A16</f>
        <v>Grouted Riprap</v>
      </c>
      <c r="B38" s="631">
        <f>B16</f>
        <v>54.07</v>
      </c>
      <c r="C38" s="629">
        <v>1.4</v>
      </c>
      <c r="D38" s="629"/>
      <c r="E38" s="630"/>
      <c r="F38" s="631">
        <f>PRODUCT(B38,C38,D38,E38)</f>
        <v>75.697999999999993</v>
      </c>
      <c r="G38" s="630"/>
      <c r="H38" s="630" t="s">
        <v>68</v>
      </c>
      <c r="I38" s="625">
        <f>F38*1.1</f>
        <v>83.267799999999994</v>
      </c>
      <c r="J38" s="651">
        <f>ROUNDUP(I38,2)</f>
        <v>83.27000000000001</v>
      </c>
      <c r="K38" s="614"/>
      <c r="L38" s="614"/>
    </row>
    <row r="39" spans="1:12" ht="15" x14ac:dyDescent="0.35">
      <c r="A39" s="634"/>
      <c r="B39" s="635"/>
      <c r="C39" s="637"/>
      <c r="D39" s="637"/>
      <c r="E39" s="638"/>
      <c r="F39" s="635"/>
      <c r="G39" s="638"/>
      <c r="H39" s="638"/>
      <c r="I39" s="640"/>
      <c r="J39" s="653">
        <f>SUM(J36:J38)</f>
        <v>113.57000000000002</v>
      </c>
      <c r="K39" s="614"/>
      <c r="L39" s="614"/>
    </row>
    <row r="40" spans="1:12" ht="15" x14ac:dyDescent="0.35">
      <c r="A40" s="634"/>
      <c r="B40" s="635"/>
      <c r="C40" s="637"/>
      <c r="D40" s="637"/>
      <c r="E40" s="638"/>
      <c r="F40" s="635"/>
      <c r="G40" s="638"/>
      <c r="H40" s="638"/>
      <c r="I40" s="640"/>
      <c r="J40" s="640"/>
      <c r="K40" s="614"/>
      <c r="L40" s="614"/>
    </row>
    <row r="41" spans="1:12" ht="15" x14ac:dyDescent="0.35">
      <c r="A41" s="1077" t="s">
        <v>720</v>
      </c>
      <c r="B41" s="1078"/>
      <c r="C41" s="1078"/>
      <c r="D41" s="1078"/>
      <c r="E41" s="1078"/>
      <c r="F41" s="1078"/>
      <c r="G41" s="1078"/>
      <c r="H41" s="1078"/>
      <c r="I41" s="1078"/>
      <c r="J41" s="1079"/>
      <c r="K41" s="614"/>
      <c r="L41" s="614"/>
    </row>
    <row r="42" spans="1:12" ht="15" x14ac:dyDescent="0.35">
      <c r="A42" s="626" t="str">
        <f>A36</f>
        <v>Retaining Wall - Type 2</v>
      </c>
      <c r="B42" s="622">
        <f>B36</f>
        <v>12.05</v>
      </c>
      <c r="C42" s="624">
        <v>4.7</v>
      </c>
      <c r="D42" s="624"/>
      <c r="E42" s="623"/>
      <c r="F42" s="631">
        <f>PRODUCT(B42,C42,D42,E42)-J72</f>
        <v>47.885000000000005</v>
      </c>
      <c r="G42" s="630"/>
      <c r="H42" s="630" t="s">
        <v>68</v>
      </c>
      <c r="I42" s="625">
        <f>F42*1.1</f>
        <v>52.673500000000011</v>
      </c>
      <c r="J42" s="652">
        <f>ROUNDUP(I42,2)</f>
        <v>52.68</v>
      </c>
      <c r="K42" s="614"/>
      <c r="L42" s="614"/>
    </row>
    <row r="43" spans="1:12" ht="15" x14ac:dyDescent="0.35">
      <c r="A43" s="621"/>
      <c r="B43" s="622"/>
      <c r="C43" s="624"/>
      <c r="D43" s="624"/>
      <c r="E43" s="623"/>
      <c r="F43" s="622"/>
      <c r="G43" s="623"/>
      <c r="H43" s="623"/>
      <c r="I43" s="625"/>
      <c r="J43" s="625"/>
      <c r="K43" s="614"/>
      <c r="L43" s="614"/>
    </row>
    <row r="44" spans="1:12" ht="15" x14ac:dyDescent="0.35">
      <c r="A44" s="626"/>
      <c r="B44" s="631"/>
      <c r="C44" s="629"/>
      <c r="D44" s="629"/>
      <c r="E44" s="630"/>
      <c r="F44" s="631"/>
      <c r="G44" s="630"/>
      <c r="H44" s="630"/>
      <c r="I44" s="625"/>
      <c r="J44" s="625"/>
      <c r="L44" s="614"/>
    </row>
    <row r="45" spans="1:12" ht="25.95" customHeight="1" x14ac:dyDescent="0.25">
      <c r="A45" s="1086" t="s">
        <v>93</v>
      </c>
      <c r="B45" s="1087"/>
      <c r="C45" s="1087"/>
      <c r="D45" s="1087"/>
      <c r="E45" s="1087"/>
      <c r="F45" s="1087"/>
      <c r="G45" s="1087"/>
      <c r="H45" s="1087"/>
      <c r="I45" s="1087"/>
      <c r="J45" s="1088"/>
    </row>
    <row r="46" spans="1:12" ht="15" x14ac:dyDescent="0.35">
      <c r="A46" s="1083" t="s">
        <v>361</v>
      </c>
      <c r="B46" s="1084"/>
      <c r="C46" s="1084"/>
      <c r="D46" s="1084"/>
      <c r="E46" s="1084"/>
      <c r="F46" s="1085"/>
      <c r="G46" s="619"/>
      <c r="H46" s="620"/>
      <c r="I46" s="619"/>
      <c r="J46" s="619"/>
    </row>
    <row r="47" spans="1:12" ht="15" x14ac:dyDescent="0.35">
      <c r="A47" s="626" t="str">
        <f t="shared" ref="A47:B49" si="0">A30</f>
        <v>DS(L) - Type A</v>
      </c>
      <c r="B47" s="627">
        <f t="shared" si="0"/>
        <v>155.47455000000002</v>
      </c>
      <c r="C47" s="654">
        <v>1.2</v>
      </c>
      <c r="D47" s="654">
        <v>0.05</v>
      </c>
      <c r="E47" s="655"/>
      <c r="F47" s="656">
        <f>PRODUCT(B47:E47)</f>
        <v>9.3284730000000007</v>
      </c>
      <c r="G47" s="657"/>
      <c r="H47" s="658" t="s">
        <v>68</v>
      </c>
      <c r="I47" s="659">
        <f>F47*1.1</f>
        <v>10.261320300000001</v>
      </c>
      <c r="J47" s="660">
        <f>ROUNDUP(I47,2)</f>
        <v>10.27</v>
      </c>
      <c r="L47" s="614"/>
    </row>
    <row r="48" spans="1:12" ht="15" x14ac:dyDescent="0.35">
      <c r="A48" s="626" t="str">
        <f t="shared" si="0"/>
        <v>DS(K) - B</v>
      </c>
      <c r="B48" s="631">
        <f t="shared" si="0"/>
        <v>113.86</v>
      </c>
      <c r="C48" s="661">
        <v>1.1000000000000001</v>
      </c>
      <c r="D48" s="661">
        <v>0.05</v>
      </c>
      <c r="E48" s="662"/>
      <c r="F48" s="631">
        <f>PRODUCT(B48:E48)</f>
        <v>6.2623000000000006</v>
      </c>
      <c r="G48" s="663"/>
      <c r="H48" s="630" t="s">
        <v>68</v>
      </c>
      <c r="I48" s="625">
        <f>F48*1.1</f>
        <v>6.8885300000000012</v>
      </c>
      <c r="J48" s="639">
        <f>ROUNDUP(I48,2)</f>
        <v>6.89</v>
      </c>
      <c r="L48" s="614"/>
    </row>
    <row r="49" spans="1:12" ht="15" x14ac:dyDescent="0.35">
      <c r="A49" s="626" t="str">
        <f t="shared" si="0"/>
        <v>DS(M) - B</v>
      </c>
      <c r="B49" s="631">
        <f t="shared" si="0"/>
        <v>56.79</v>
      </c>
      <c r="C49" s="661">
        <v>0.65</v>
      </c>
      <c r="D49" s="661">
        <v>0.05</v>
      </c>
      <c r="E49" s="662"/>
      <c r="F49" s="631">
        <f>PRODUCT(B49:E49)</f>
        <v>1.845675</v>
      </c>
      <c r="G49" s="663"/>
      <c r="H49" s="630" t="s">
        <v>68</v>
      </c>
      <c r="I49" s="625">
        <f>F49*1.1</f>
        <v>2.0302424999999999</v>
      </c>
      <c r="J49" s="664">
        <f>ROUNDUP(I49,2)</f>
        <v>2.0399999999999996</v>
      </c>
      <c r="L49" s="614"/>
    </row>
    <row r="50" spans="1:12" ht="15" x14ac:dyDescent="0.35">
      <c r="A50" s="626" t="str">
        <f>A36</f>
        <v>Retaining Wall - Type 2</v>
      </c>
      <c r="B50" s="631">
        <f>B36</f>
        <v>12.05</v>
      </c>
      <c r="C50" s="661">
        <v>2.15</v>
      </c>
      <c r="D50" s="661">
        <v>0.05</v>
      </c>
      <c r="E50" s="662"/>
      <c r="F50" s="631">
        <f>PRODUCT(B50:E50)</f>
        <v>1.2953749999999999</v>
      </c>
      <c r="G50" s="663"/>
      <c r="H50" s="630" t="s">
        <v>68</v>
      </c>
      <c r="I50" s="625">
        <f>F50*1.1</f>
        <v>1.4249125</v>
      </c>
      <c r="J50" s="664">
        <f>ROUNDUP(I50,2)</f>
        <v>1.43</v>
      </c>
      <c r="L50" s="614"/>
    </row>
    <row r="51" spans="1:12" ht="15" x14ac:dyDescent="0.35">
      <c r="A51" s="634"/>
      <c r="B51" s="631"/>
      <c r="C51" s="661"/>
      <c r="D51" s="661"/>
      <c r="E51" s="662"/>
      <c r="F51" s="631"/>
      <c r="G51" s="663"/>
      <c r="H51" s="630"/>
      <c r="I51" s="625"/>
      <c r="J51" s="665"/>
      <c r="L51" s="614"/>
    </row>
    <row r="52" spans="1:12" ht="15" x14ac:dyDescent="0.35">
      <c r="A52" s="1083" t="s">
        <v>95</v>
      </c>
      <c r="B52" s="1084"/>
      <c r="C52" s="1084"/>
      <c r="D52" s="1084"/>
      <c r="E52" s="1084"/>
      <c r="F52" s="1085"/>
      <c r="G52" s="619"/>
      <c r="H52" s="620"/>
      <c r="I52" s="619"/>
      <c r="J52" s="619"/>
    </row>
    <row r="53" spans="1:12" ht="15" x14ac:dyDescent="0.35">
      <c r="A53" s="626" t="str">
        <f>A47</f>
        <v>DS(L) - Type A</v>
      </c>
      <c r="B53" s="627">
        <f>B47</f>
        <v>155.47455000000002</v>
      </c>
      <c r="C53" s="654">
        <v>0.6</v>
      </c>
      <c r="D53" s="654">
        <v>0.125</v>
      </c>
      <c r="E53" s="655">
        <v>2</v>
      </c>
      <c r="F53" s="656">
        <f>PRODUCT(B53:E53)</f>
        <v>23.321182500000003</v>
      </c>
      <c r="G53" s="657"/>
      <c r="H53" s="658" t="s">
        <v>68</v>
      </c>
      <c r="I53" s="659">
        <f>F53*1.1</f>
        <v>25.653300750000003</v>
      </c>
      <c r="J53" s="666">
        <f>ROUNDUP(I53,2)</f>
        <v>25.66</v>
      </c>
      <c r="L53" s="614"/>
    </row>
    <row r="54" spans="1:12" ht="15" x14ac:dyDescent="0.35">
      <c r="A54" s="626"/>
      <c r="B54" s="627">
        <f>B53</f>
        <v>155.47455000000002</v>
      </c>
      <c r="C54" s="667">
        <v>1.1000000000000001</v>
      </c>
      <c r="D54" s="667">
        <v>0.125</v>
      </c>
      <c r="E54" s="668"/>
      <c r="F54" s="622">
        <f>PRODUCT(B54:E54)</f>
        <v>21.377750625000004</v>
      </c>
      <c r="G54" s="669"/>
      <c r="H54" s="630" t="s">
        <v>68</v>
      </c>
      <c r="I54" s="625">
        <f>F54*1.1</f>
        <v>23.515525687500006</v>
      </c>
      <c r="J54" s="670">
        <f>ROUNDUP(I54,2)</f>
        <v>23.520000000000003</v>
      </c>
      <c r="L54" s="614"/>
    </row>
    <row r="55" spans="1:12" ht="15" x14ac:dyDescent="0.35">
      <c r="A55" s="626"/>
      <c r="B55" s="631"/>
      <c r="C55" s="667"/>
      <c r="D55" s="667"/>
      <c r="E55" s="668"/>
      <c r="F55" s="622"/>
      <c r="G55" s="669"/>
      <c r="H55" s="623"/>
      <c r="I55" s="625"/>
      <c r="J55" s="639">
        <f>SUM(J53:J54)</f>
        <v>49.180000000000007</v>
      </c>
      <c r="L55" s="614"/>
    </row>
    <row r="56" spans="1:12" ht="15" x14ac:dyDescent="0.35">
      <c r="A56" s="626"/>
      <c r="B56" s="631"/>
      <c r="C56" s="667"/>
      <c r="D56" s="667"/>
      <c r="E56" s="668"/>
      <c r="F56" s="622"/>
      <c r="G56" s="669"/>
      <c r="H56" s="623"/>
      <c r="I56" s="625"/>
      <c r="J56" s="665"/>
      <c r="L56" s="614"/>
    </row>
    <row r="57" spans="1:12" ht="15" x14ac:dyDescent="0.35">
      <c r="A57" s="626" t="str">
        <f>A48</f>
        <v>DS(K) - B</v>
      </c>
      <c r="B57" s="631">
        <f>B48</f>
        <v>113.86</v>
      </c>
      <c r="C57" s="667">
        <v>1</v>
      </c>
      <c r="D57" s="667">
        <v>0.1</v>
      </c>
      <c r="E57" s="668"/>
      <c r="F57" s="631">
        <f>PRODUCT(B57:E57)</f>
        <v>11.386000000000001</v>
      </c>
      <c r="G57" s="669"/>
      <c r="H57" s="630" t="s">
        <v>68</v>
      </c>
      <c r="I57" s="671">
        <f>F57*1.1</f>
        <v>12.524600000000001</v>
      </c>
      <c r="J57" s="672">
        <f>ROUNDUP(I57,2)</f>
        <v>12.53</v>
      </c>
      <c r="L57" s="614"/>
    </row>
    <row r="58" spans="1:12" ht="15" x14ac:dyDescent="0.35">
      <c r="A58" s="626"/>
      <c r="B58" s="631">
        <f>B57</f>
        <v>113.86</v>
      </c>
      <c r="C58" s="667">
        <v>0.4</v>
      </c>
      <c r="D58" s="667">
        <v>0.1</v>
      </c>
      <c r="E58" s="668"/>
      <c r="F58" s="631">
        <f>PRODUCT(B58:E58)</f>
        <v>4.5544000000000002</v>
      </c>
      <c r="G58" s="669"/>
      <c r="H58" s="630" t="s">
        <v>721</v>
      </c>
      <c r="I58" s="671">
        <f>F58*1.1</f>
        <v>5.0098400000000005</v>
      </c>
      <c r="J58" s="672">
        <f>ROUNDUP(I58,2)</f>
        <v>5.01</v>
      </c>
      <c r="L58" s="614"/>
    </row>
    <row r="59" spans="1:12" ht="15" x14ac:dyDescent="0.35">
      <c r="A59" s="626"/>
      <c r="B59" s="631"/>
      <c r="C59" s="667"/>
      <c r="D59" s="667"/>
      <c r="E59" s="668"/>
      <c r="F59" s="622"/>
      <c r="G59" s="669"/>
      <c r="H59" s="623"/>
      <c r="I59" s="625"/>
      <c r="J59" s="639">
        <f>SUM(J57:J58)</f>
        <v>17.54</v>
      </c>
      <c r="L59" s="614"/>
    </row>
    <row r="60" spans="1:12" ht="15" x14ac:dyDescent="0.35">
      <c r="A60" s="673"/>
      <c r="B60" s="631"/>
      <c r="C60" s="627"/>
      <c r="D60" s="629"/>
      <c r="E60" s="630"/>
      <c r="F60" s="631"/>
      <c r="G60" s="630"/>
      <c r="H60" s="630"/>
      <c r="I60" s="671"/>
      <c r="J60" s="671"/>
      <c r="L60" s="674"/>
    </row>
    <row r="61" spans="1:12" ht="15" x14ac:dyDescent="0.35">
      <c r="A61" s="626" t="str">
        <f>A49</f>
        <v>DS(M) - B</v>
      </c>
      <c r="B61" s="631">
        <f>B49</f>
        <v>56.79</v>
      </c>
      <c r="C61" s="627">
        <v>0.55000000000000004</v>
      </c>
      <c r="D61" s="629">
        <v>0.1</v>
      </c>
      <c r="E61" s="630">
        <v>2</v>
      </c>
      <c r="F61" s="631">
        <f>PRODUCT(B61,C61,D61,E61)</f>
        <v>6.2469000000000001</v>
      </c>
      <c r="G61" s="630"/>
      <c r="H61" s="630" t="s">
        <v>68</v>
      </c>
      <c r="I61" s="625">
        <f>F61*1.1</f>
        <v>6.8715900000000003</v>
      </c>
      <c r="J61" s="632">
        <f>ROUNDUP(I61,2)</f>
        <v>6.88</v>
      </c>
      <c r="L61" s="614"/>
    </row>
    <row r="62" spans="1:12" ht="15" x14ac:dyDescent="0.35">
      <c r="A62" s="626"/>
      <c r="B62" s="631">
        <f>B61</f>
        <v>56.79</v>
      </c>
      <c r="C62" s="627">
        <v>0.45</v>
      </c>
      <c r="D62" s="629">
        <v>0.1</v>
      </c>
      <c r="E62" s="630"/>
      <c r="F62" s="631">
        <f>PRODUCT(B62,C62,D62,E62)</f>
        <v>2.5555500000000002</v>
      </c>
      <c r="G62" s="630"/>
      <c r="H62" s="630" t="s">
        <v>68</v>
      </c>
      <c r="I62" s="625">
        <f>F62*1.1</f>
        <v>2.8111050000000004</v>
      </c>
      <c r="J62" s="632">
        <f>ROUNDUP(I62,2)</f>
        <v>2.82</v>
      </c>
      <c r="L62" s="614"/>
    </row>
    <row r="63" spans="1:12" ht="15" x14ac:dyDescent="0.35">
      <c r="A63" s="673"/>
      <c r="B63" s="675"/>
      <c r="C63" s="627"/>
      <c r="D63" s="629"/>
      <c r="E63" s="630"/>
      <c r="F63" s="631"/>
      <c r="G63" s="630"/>
      <c r="H63" s="630"/>
      <c r="I63" s="671"/>
      <c r="J63" s="676">
        <f>SUM(J61:J62)</f>
        <v>9.6999999999999993</v>
      </c>
      <c r="L63" s="674"/>
    </row>
    <row r="64" spans="1:12" ht="15" x14ac:dyDescent="0.35">
      <c r="A64" s="673"/>
      <c r="B64" s="675"/>
      <c r="C64" s="627"/>
      <c r="D64" s="629"/>
      <c r="E64" s="630"/>
      <c r="F64" s="631"/>
      <c r="G64" s="630"/>
      <c r="H64" s="630"/>
      <c r="I64" s="671"/>
      <c r="J64" s="677"/>
      <c r="L64" s="674"/>
    </row>
    <row r="65" spans="1:12" ht="15" x14ac:dyDescent="0.35">
      <c r="A65" s="673" t="str">
        <f>A37</f>
        <v>Berm Sealing</v>
      </c>
      <c r="B65" s="675">
        <f>B12</f>
        <v>12.05</v>
      </c>
      <c r="C65" s="627">
        <v>3.65</v>
      </c>
      <c r="D65" s="629">
        <v>0.15</v>
      </c>
      <c r="E65" s="630"/>
      <c r="F65" s="631">
        <f>PRODUCT(B65,C65,D65,E65)</f>
        <v>6.5973750000000004</v>
      </c>
      <c r="G65" s="630"/>
      <c r="H65" s="630" t="s">
        <v>68</v>
      </c>
      <c r="I65" s="625">
        <f>F65*1.1</f>
        <v>7.2571125000000007</v>
      </c>
      <c r="J65" s="632">
        <f>ROUNDUP(I65,2)</f>
        <v>7.26</v>
      </c>
      <c r="L65" s="674"/>
    </row>
    <row r="66" spans="1:12" ht="15" x14ac:dyDescent="0.35">
      <c r="A66" s="673"/>
      <c r="B66" s="675"/>
      <c r="C66" s="627"/>
      <c r="D66" s="629"/>
      <c r="E66" s="630"/>
      <c r="F66" s="631"/>
      <c r="G66" s="630"/>
      <c r="H66" s="630"/>
      <c r="I66" s="671"/>
      <c r="J66" s="676">
        <f>SUM(J64:J65)</f>
        <v>7.26</v>
      </c>
      <c r="L66" s="674"/>
    </row>
    <row r="67" spans="1:12" ht="15" x14ac:dyDescent="0.35">
      <c r="A67" s="673"/>
      <c r="B67" s="675"/>
      <c r="C67" s="627"/>
      <c r="D67" s="629"/>
      <c r="E67" s="630"/>
      <c r="F67" s="631"/>
      <c r="G67" s="630"/>
      <c r="H67" s="630"/>
      <c r="I67" s="671"/>
      <c r="J67" s="677"/>
      <c r="L67" s="674"/>
    </row>
    <row r="68" spans="1:12" ht="15" x14ac:dyDescent="0.35">
      <c r="A68" s="626" t="str">
        <f>A50</f>
        <v>Retaining Wall - Type 2</v>
      </c>
      <c r="B68" s="631">
        <f>B50</f>
        <v>12.05</v>
      </c>
      <c r="C68" s="627">
        <v>2.15</v>
      </c>
      <c r="D68" s="629">
        <v>0.25</v>
      </c>
      <c r="E68" s="630"/>
      <c r="F68" s="631">
        <f>PRODUCT(B68,C68,D68,E68)</f>
        <v>6.4768749999999997</v>
      </c>
      <c r="G68" s="630"/>
      <c r="H68" s="630" t="s">
        <v>68</v>
      </c>
      <c r="I68" s="625">
        <f>F68*1.1</f>
        <v>7.1245625000000006</v>
      </c>
      <c r="J68" s="632">
        <f>ROUNDUP(I68,2)</f>
        <v>7.13</v>
      </c>
      <c r="L68" s="674"/>
    </row>
    <row r="69" spans="1:12" ht="15" x14ac:dyDescent="0.35">
      <c r="A69" s="673"/>
      <c r="B69" s="675"/>
      <c r="C69" s="627"/>
      <c r="D69" s="629"/>
      <c r="E69" s="630"/>
      <c r="F69" s="631"/>
      <c r="G69" s="630"/>
      <c r="H69" s="630"/>
      <c r="I69" s="671"/>
      <c r="J69" s="676">
        <f>SUM(J68:J68)</f>
        <v>7.13</v>
      </c>
      <c r="L69" s="674"/>
    </row>
    <row r="70" spans="1:12" ht="15" x14ac:dyDescent="0.35">
      <c r="A70" s="673" t="s">
        <v>722</v>
      </c>
      <c r="B70" s="675"/>
      <c r="C70" s="627"/>
      <c r="D70" s="629"/>
      <c r="E70" s="630"/>
      <c r="F70" s="631"/>
      <c r="G70" s="630"/>
      <c r="H70" s="630"/>
      <c r="I70" s="671"/>
      <c r="J70" s="677"/>
      <c r="L70" s="674"/>
    </row>
    <row r="71" spans="1:12" ht="15" x14ac:dyDescent="0.35">
      <c r="A71" s="673" t="str">
        <f>A68</f>
        <v>Retaining Wall - Type 2</v>
      </c>
      <c r="B71" s="675">
        <f>B68</f>
        <v>12.05</v>
      </c>
      <c r="C71" s="627">
        <v>0.66</v>
      </c>
      <c r="D71" s="629"/>
      <c r="E71" s="630"/>
      <c r="F71" s="631">
        <f>PRODUCT(B71,C71,D71,E71)</f>
        <v>7.9530000000000012</v>
      </c>
      <c r="G71" s="630"/>
      <c r="H71" s="630" t="s">
        <v>68</v>
      </c>
      <c r="I71" s="625">
        <f>F71*1.1</f>
        <v>8.7483000000000022</v>
      </c>
      <c r="J71" s="632">
        <f>ROUNDUP(I71,2)</f>
        <v>8.75</v>
      </c>
      <c r="L71" s="674"/>
    </row>
    <row r="72" spans="1:12" ht="15" x14ac:dyDescent="0.35">
      <c r="A72" s="673"/>
      <c r="B72" s="675"/>
      <c r="C72" s="627"/>
      <c r="D72" s="629"/>
      <c r="E72" s="630"/>
      <c r="F72" s="631"/>
      <c r="G72" s="630"/>
      <c r="H72" s="630"/>
      <c r="I72" s="671"/>
      <c r="J72" s="676">
        <f>SUM(J71:J71)</f>
        <v>8.75</v>
      </c>
      <c r="L72" s="674"/>
    </row>
    <row r="73" spans="1:12" ht="15" x14ac:dyDescent="0.35">
      <c r="A73" s="673"/>
      <c r="B73" s="675"/>
      <c r="C73" s="627"/>
      <c r="D73" s="629"/>
      <c r="E73" s="630"/>
      <c r="F73" s="631"/>
      <c r="G73" s="630"/>
      <c r="H73" s="630"/>
      <c r="I73" s="671"/>
      <c r="J73" s="677"/>
      <c r="L73" s="674"/>
    </row>
    <row r="74" spans="1:12" ht="15" x14ac:dyDescent="0.35">
      <c r="A74" s="673" t="s">
        <v>540</v>
      </c>
      <c r="B74" s="675">
        <f>B71</f>
        <v>12.05</v>
      </c>
      <c r="C74" s="627">
        <v>1.88</v>
      </c>
      <c r="D74" s="629"/>
      <c r="E74" s="630"/>
      <c r="F74" s="631">
        <f>PRODUCT(B74,C74,D74,E74)</f>
        <v>22.654</v>
      </c>
      <c r="G74" s="630"/>
      <c r="H74" s="630" t="s">
        <v>68</v>
      </c>
      <c r="I74" s="625">
        <f>F74*1.1</f>
        <v>24.919400000000003</v>
      </c>
      <c r="J74" s="632">
        <f>ROUNDUP(I74,2)</f>
        <v>24.92</v>
      </c>
      <c r="L74" s="674"/>
    </row>
    <row r="75" spans="1:12" ht="15" x14ac:dyDescent="0.35">
      <c r="A75" s="673"/>
      <c r="B75" s="675"/>
      <c r="C75" s="627"/>
      <c r="D75" s="629"/>
      <c r="E75" s="630"/>
      <c r="F75" s="631"/>
      <c r="G75" s="630"/>
      <c r="H75" s="630"/>
      <c r="I75" s="671"/>
      <c r="J75" s="676">
        <f>SUM(J74:J74)</f>
        <v>24.92</v>
      </c>
      <c r="L75" s="674"/>
    </row>
    <row r="76" spans="1:12" ht="15" x14ac:dyDescent="0.35">
      <c r="A76" s="673"/>
      <c r="B76" s="675"/>
      <c r="C76" s="627"/>
      <c r="D76" s="629"/>
      <c r="E76" s="630"/>
      <c r="F76" s="631"/>
      <c r="G76" s="630"/>
      <c r="H76" s="630"/>
      <c r="I76" s="671"/>
      <c r="J76" s="677"/>
      <c r="L76" s="674"/>
    </row>
    <row r="77" spans="1:12" ht="15" x14ac:dyDescent="0.35">
      <c r="A77" s="673" t="s">
        <v>723</v>
      </c>
      <c r="B77" s="675">
        <f>B74</f>
        <v>12.05</v>
      </c>
      <c r="C77" s="627">
        <v>2.6</v>
      </c>
      <c r="D77" s="629"/>
      <c r="E77" s="630"/>
      <c r="F77" s="631">
        <f>PRODUCT(B77,C77,D77,E77)</f>
        <v>31.330000000000002</v>
      </c>
      <c r="G77" s="630"/>
      <c r="H77" s="630" t="s">
        <v>68</v>
      </c>
      <c r="I77" s="625">
        <f>F77*1.1</f>
        <v>34.463000000000008</v>
      </c>
      <c r="J77" s="632">
        <f>ROUNDUP(I77,2)</f>
        <v>34.47</v>
      </c>
      <c r="L77" s="674"/>
    </row>
    <row r="78" spans="1:12" ht="15" x14ac:dyDescent="0.35">
      <c r="A78" s="673"/>
      <c r="B78" s="675"/>
      <c r="C78" s="627"/>
      <c r="D78" s="629"/>
      <c r="E78" s="630"/>
      <c r="F78" s="631"/>
      <c r="G78" s="630"/>
      <c r="H78" s="630"/>
      <c r="I78" s="671"/>
      <c r="J78" s="676">
        <f>SUM(J77:J77)</f>
        <v>34.47</v>
      </c>
      <c r="L78" s="674"/>
    </row>
    <row r="79" spans="1:12" ht="15" x14ac:dyDescent="0.35">
      <c r="A79" s="673"/>
      <c r="B79" s="675"/>
      <c r="C79" s="627"/>
      <c r="D79" s="629"/>
      <c r="E79" s="630"/>
      <c r="F79" s="631"/>
      <c r="G79" s="630"/>
      <c r="H79" s="630"/>
      <c r="I79" s="671"/>
      <c r="J79" s="677"/>
      <c r="L79" s="674"/>
    </row>
    <row r="80" spans="1:12" ht="15" x14ac:dyDescent="0.35">
      <c r="A80" s="673" t="s">
        <v>724</v>
      </c>
      <c r="B80" s="675">
        <f>B77</f>
        <v>12.05</v>
      </c>
      <c r="C80" s="627">
        <v>0.4</v>
      </c>
      <c r="D80" s="629"/>
      <c r="E80" s="630"/>
      <c r="F80" s="631">
        <f>PRODUCT(B80,C80,D80,E80)</f>
        <v>4.82</v>
      </c>
      <c r="G80" s="630"/>
      <c r="H80" s="630" t="s">
        <v>68</v>
      </c>
      <c r="I80" s="625">
        <f>F80*1.1</f>
        <v>5.3020000000000005</v>
      </c>
      <c r="J80" s="632">
        <f>ROUNDUP(I80,2)</f>
        <v>5.31</v>
      </c>
      <c r="L80" s="674"/>
    </row>
    <row r="81" spans="1:17" ht="15" x14ac:dyDescent="0.35">
      <c r="A81" s="673"/>
      <c r="B81" s="675"/>
      <c r="C81" s="627"/>
      <c r="D81" s="629"/>
      <c r="E81" s="630"/>
      <c r="F81" s="631"/>
      <c r="G81" s="630"/>
      <c r="H81" s="630"/>
      <c r="I81" s="671"/>
      <c r="J81" s="676">
        <f>SUM(J80:J80)</f>
        <v>5.31</v>
      </c>
      <c r="L81" s="674"/>
    </row>
    <row r="82" spans="1:17" ht="15" x14ac:dyDescent="0.35">
      <c r="A82" s="673"/>
      <c r="B82" s="675"/>
      <c r="C82" s="627"/>
      <c r="D82" s="629"/>
      <c r="E82" s="630"/>
      <c r="F82" s="631"/>
      <c r="G82" s="630"/>
      <c r="H82" s="630"/>
      <c r="I82" s="671"/>
      <c r="J82" s="677"/>
      <c r="L82" s="674"/>
    </row>
    <row r="83" spans="1:17" s="617" customFormat="1" ht="30" customHeight="1" x14ac:dyDescent="0.25">
      <c r="A83" s="678"/>
      <c r="B83" s="679" t="s">
        <v>87</v>
      </c>
      <c r="C83" s="679" t="s">
        <v>51</v>
      </c>
      <c r="D83" s="679" t="s">
        <v>38</v>
      </c>
      <c r="E83" s="680" t="s">
        <v>88</v>
      </c>
      <c r="F83" s="679" t="s">
        <v>89</v>
      </c>
      <c r="G83" s="679"/>
      <c r="H83" s="679"/>
      <c r="I83" s="679"/>
      <c r="J83" s="679"/>
    </row>
    <row r="84" spans="1:17" ht="15" x14ac:dyDescent="0.35">
      <c r="A84" s="1083" t="s">
        <v>90</v>
      </c>
      <c r="B84" s="1084"/>
      <c r="C84" s="1084"/>
      <c r="D84" s="1084"/>
      <c r="E84" s="1084"/>
      <c r="F84" s="1085"/>
      <c r="G84" s="619"/>
      <c r="H84" s="620"/>
      <c r="I84" s="619"/>
      <c r="J84" s="619"/>
      <c r="Q84" s="609">
        <f>1/3.3</f>
        <v>0.30303030303030304</v>
      </c>
    </row>
    <row r="85" spans="1:17" ht="15" x14ac:dyDescent="0.35">
      <c r="A85" s="626" t="str">
        <f>A53</f>
        <v>DS(L) - Type A</v>
      </c>
      <c r="B85" s="629"/>
      <c r="C85" s="630"/>
      <c r="D85" s="629"/>
      <c r="E85" s="630"/>
      <c r="F85" s="631"/>
      <c r="G85" s="661"/>
      <c r="H85" s="630"/>
      <c r="I85" s="661"/>
      <c r="J85" s="671"/>
    </row>
    <row r="86" spans="1:17" ht="15" x14ac:dyDescent="0.35">
      <c r="A86" s="681" t="s">
        <v>107</v>
      </c>
      <c r="B86" s="629">
        <v>10</v>
      </c>
      <c r="C86" s="671">
        <f>ROUND(D87/0.25,0)+1</f>
        <v>623</v>
      </c>
      <c r="D86" s="682">
        <v>2.2000000000000002</v>
      </c>
      <c r="E86" s="629">
        <f>B86^2/162.162</f>
        <v>0.61666728333394993</v>
      </c>
      <c r="F86" s="631">
        <f>PRODUCT(C86,D86,E86)</f>
        <v>845.20417853751189</v>
      </c>
      <c r="G86" s="661"/>
      <c r="H86" s="630" t="s">
        <v>91</v>
      </c>
      <c r="I86" s="625">
        <f>F86*1.1</f>
        <v>929.72459639126316</v>
      </c>
      <c r="J86" s="632">
        <f>ROUNDUP(I86,2)</f>
        <v>929.73</v>
      </c>
      <c r="K86" s="614"/>
      <c r="L86" s="614"/>
    </row>
    <row r="87" spans="1:17" ht="15" x14ac:dyDescent="0.35">
      <c r="A87" s="681" t="s">
        <v>92</v>
      </c>
      <c r="B87" s="629">
        <v>10</v>
      </c>
      <c r="C87" s="671">
        <f>ROUND(D86/0.25,0)+1</f>
        <v>10</v>
      </c>
      <c r="D87" s="629">
        <f>B53</f>
        <v>155.47455000000002</v>
      </c>
      <c r="E87" s="629">
        <f>B87^2/162.162</f>
        <v>0.61666728333394993</v>
      </c>
      <c r="F87" s="631">
        <f>PRODUCT(C87,D87,E87)</f>
        <v>958.76068376068383</v>
      </c>
      <c r="G87" s="630"/>
      <c r="H87" s="630" t="s">
        <v>91</v>
      </c>
      <c r="I87" s="625">
        <f>F87*1.1</f>
        <v>1054.6367521367522</v>
      </c>
      <c r="J87" s="632">
        <f>ROUNDUP(I87,2)</f>
        <v>1054.6400000000001</v>
      </c>
      <c r="L87" s="614"/>
    </row>
    <row r="88" spans="1:17" ht="15" x14ac:dyDescent="0.35">
      <c r="A88" s="681"/>
      <c r="B88" s="629"/>
      <c r="C88" s="630"/>
      <c r="D88" s="629"/>
      <c r="E88" s="630"/>
      <c r="F88" s="631"/>
      <c r="G88" s="661"/>
      <c r="H88" s="630"/>
      <c r="I88" s="671"/>
      <c r="J88" s="676">
        <f>SUM(J86:J87)</f>
        <v>1984.3700000000001</v>
      </c>
      <c r="L88" s="674"/>
    </row>
    <row r="89" spans="1:17" ht="15" x14ac:dyDescent="0.35">
      <c r="A89" s="626" t="str">
        <f>A57</f>
        <v>DS(K) - B</v>
      </c>
      <c r="B89" s="629"/>
      <c r="C89" s="630"/>
      <c r="D89" s="629"/>
      <c r="E89" s="671"/>
      <c r="F89" s="631"/>
      <c r="G89" s="661"/>
      <c r="H89" s="630"/>
      <c r="I89" s="671"/>
      <c r="J89" s="671"/>
    </row>
    <row r="90" spans="1:17" ht="15" x14ac:dyDescent="0.35">
      <c r="A90" s="681" t="s">
        <v>92</v>
      </c>
      <c r="B90" s="629">
        <v>10</v>
      </c>
      <c r="C90" s="671">
        <f>ROUND(D91/0.2,0)+1</f>
        <v>570</v>
      </c>
      <c r="D90" s="629">
        <v>1.3</v>
      </c>
      <c r="E90" s="629">
        <f>B90^2/162.162</f>
        <v>0.61666728333394993</v>
      </c>
      <c r="F90" s="631">
        <f>PRODUCT(C90,D90,E90)</f>
        <v>456.9504569504569</v>
      </c>
      <c r="G90" s="661"/>
      <c r="H90" s="630" t="s">
        <v>91</v>
      </c>
      <c r="I90" s="625">
        <f>F90*1.1</f>
        <v>502.64550264550263</v>
      </c>
      <c r="J90" s="632">
        <f>ROUNDUP(I90,2)</f>
        <v>502.65</v>
      </c>
      <c r="L90" s="614"/>
    </row>
    <row r="91" spans="1:17" ht="15" x14ac:dyDescent="0.35">
      <c r="A91" s="681" t="s">
        <v>107</v>
      </c>
      <c r="B91" s="629">
        <v>10</v>
      </c>
      <c r="C91" s="671">
        <f>ROUND(D90/0.25,0)+1</f>
        <v>6</v>
      </c>
      <c r="D91" s="629">
        <f>B8</f>
        <v>113.86</v>
      </c>
      <c r="E91" s="629">
        <f>B91^2/162.162</f>
        <v>0.61666728333394993</v>
      </c>
      <c r="F91" s="631">
        <f>PRODUCT(C91,D91,E91)</f>
        <v>421.28242128242124</v>
      </c>
      <c r="G91" s="661"/>
      <c r="H91" s="630" t="s">
        <v>91</v>
      </c>
      <c r="I91" s="625">
        <f>F91*1.1</f>
        <v>463.4106634106634</v>
      </c>
      <c r="J91" s="632">
        <f>ROUNDUP(I91,2)</f>
        <v>463.42</v>
      </c>
      <c r="L91" s="614"/>
    </row>
    <row r="92" spans="1:17" ht="15" x14ac:dyDescent="0.35">
      <c r="A92" s="681"/>
      <c r="B92" s="629"/>
      <c r="C92" s="630"/>
      <c r="D92" s="629"/>
      <c r="E92" s="663"/>
      <c r="F92" s="631"/>
      <c r="G92" s="661"/>
      <c r="H92" s="630"/>
      <c r="I92" s="671"/>
      <c r="J92" s="676">
        <f>SUM(J90:J91)</f>
        <v>966.06999999999994</v>
      </c>
      <c r="L92" s="674"/>
    </row>
    <row r="93" spans="1:17" ht="15" x14ac:dyDescent="0.35">
      <c r="A93" s="683" t="str">
        <f>A61</f>
        <v>DS(M) - B</v>
      </c>
      <c r="B93" s="629"/>
      <c r="C93" s="630"/>
      <c r="D93" s="629"/>
      <c r="E93" s="630"/>
      <c r="F93" s="631"/>
      <c r="G93" s="661"/>
      <c r="H93" s="630"/>
      <c r="I93" s="661"/>
      <c r="J93" s="677"/>
      <c r="L93" s="674"/>
    </row>
    <row r="94" spans="1:17" ht="15" x14ac:dyDescent="0.35">
      <c r="A94" s="681" t="s">
        <v>92</v>
      </c>
      <c r="B94" s="629">
        <v>10</v>
      </c>
      <c r="C94" s="671">
        <f>ROUND(D95/0.2,0)+1</f>
        <v>285</v>
      </c>
      <c r="D94" s="629">
        <v>1.35</v>
      </c>
      <c r="E94" s="629">
        <f>B94^2/162.162</f>
        <v>0.61666728333394993</v>
      </c>
      <c r="F94" s="631">
        <f>PRODUCT(C94,D94,E94)</f>
        <v>237.26273726273723</v>
      </c>
      <c r="G94" s="661"/>
      <c r="H94" s="630" t="s">
        <v>91</v>
      </c>
      <c r="I94" s="625">
        <f>F94*1.1</f>
        <v>260.98901098901098</v>
      </c>
      <c r="J94" s="632">
        <f>ROUNDUP(I94,2)</f>
        <v>260.99</v>
      </c>
      <c r="L94" s="674"/>
    </row>
    <row r="95" spans="1:17" ht="15" x14ac:dyDescent="0.35">
      <c r="A95" s="681" t="s">
        <v>725</v>
      </c>
      <c r="B95" s="629">
        <v>10</v>
      </c>
      <c r="C95" s="671">
        <f>ROUND(D94/0.225,0)+1</f>
        <v>7</v>
      </c>
      <c r="D95" s="629">
        <f>B61</f>
        <v>56.79</v>
      </c>
      <c r="E95" s="629">
        <f>B95^2/162.162</f>
        <v>0.61666728333394993</v>
      </c>
      <c r="F95" s="631">
        <f>PRODUCT(C95,D95,E95)</f>
        <v>245.14374514374509</v>
      </c>
      <c r="G95" s="630"/>
      <c r="H95" s="630" t="s">
        <v>91</v>
      </c>
      <c r="I95" s="625">
        <f>F95*1.1</f>
        <v>269.65811965811963</v>
      </c>
      <c r="J95" s="632">
        <f>ROUNDUP(I95,2)</f>
        <v>269.65999999999997</v>
      </c>
      <c r="L95" s="674"/>
    </row>
    <row r="96" spans="1:17" ht="15" x14ac:dyDescent="0.35">
      <c r="A96" s="681"/>
      <c r="B96" s="629"/>
      <c r="C96" s="630"/>
      <c r="D96" s="629"/>
      <c r="E96" s="630"/>
      <c r="F96" s="631"/>
      <c r="G96" s="661"/>
      <c r="H96" s="630"/>
      <c r="I96" s="661"/>
      <c r="J96" s="676">
        <f>SUM(J94:J95)</f>
        <v>530.65</v>
      </c>
      <c r="L96" s="674"/>
    </row>
    <row r="97" spans="1:12" ht="15" x14ac:dyDescent="0.35">
      <c r="A97" s="683" t="str">
        <f>A71</f>
        <v>Retaining Wall - Type 2</v>
      </c>
      <c r="B97" s="629"/>
      <c r="C97" s="630"/>
      <c r="D97" s="629"/>
      <c r="E97" s="630"/>
      <c r="F97" s="631"/>
      <c r="G97" s="661"/>
      <c r="H97" s="630"/>
      <c r="I97" s="661"/>
      <c r="J97" s="677"/>
      <c r="L97" s="674"/>
    </row>
    <row r="98" spans="1:12" ht="15" x14ac:dyDescent="0.35">
      <c r="A98" s="681" t="s">
        <v>726</v>
      </c>
      <c r="B98" s="629">
        <v>10</v>
      </c>
      <c r="C98" s="671">
        <f>ROUND(D99/0.2,0)+1</f>
        <v>61</v>
      </c>
      <c r="D98" s="629">
        <v>2.35</v>
      </c>
      <c r="E98" s="629">
        <v>0.88800000000000001</v>
      </c>
      <c r="F98" s="631">
        <f>PRODUCT(C98,D98,E98)</f>
        <v>127.2948</v>
      </c>
      <c r="G98" s="661"/>
      <c r="H98" s="630" t="s">
        <v>91</v>
      </c>
      <c r="I98" s="625">
        <f>F98*1.1</f>
        <v>140.02428</v>
      </c>
      <c r="J98" s="632">
        <f>ROUNDUP(I98,2)</f>
        <v>140.03</v>
      </c>
      <c r="L98" s="674"/>
    </row>
    <row r="99" spans="1:12" ht="15" x14ac:dyDescent="0.35">
      <c r="A99" s="681" t="s">
        <v>726</v>
      </c>
      <c r="B99" s="629">
        <v>10</v>
      </c>
      <c r="C99" s="671">
        <f>ROUND(D98/0.25,0)+1</f>
        <v>10</v>
      </c>
      <c r="D99" s="629">
        <f>B12</f>
        <v>12.05</v>
      </c>
      <c r="E99" s="629">
        <v>0.88800000000000001</v>
      </c>
      <c r="F99" s="631">
        <f>PRODUCT(C99,D99,E99)</f>
        <v>107.004</v>
      </c>
      <c r="G99" s="630"/>
      <c r="H99" s="630" t="s">
        <v>91</v>
      </c>
      <c r="I99" s="625">
        <f>F99*1.1</f>
        <v>117.70440000000002</v>
      </c>
      <c r="J99" s="632">
        <f>ROUNDUP(I99,2)</f>
        <v>117.71000000000001</v>
      </c>
      <c r="L99" s="674"/>
    </row>
    <row r="100" spans="1:12" ht="15" x14ac:dyDescent="0.35">
      <c r="A100" s="681"/>
      <c r="B100" s="629"/>
      <c r="C100" s="630"/>
      <c r="D100" s="629"/>
      <c r="E100" s="630"/>
      <c r="F100" s="631"/>
      <c r="G100" s="661"/>
      <c r="H100" s="630"/>
      <c r="I100" s="661"/>
      <c r="J100" s="676">
        <f>SUM(J98:J99)</f>
        <v>257.74</v>
      </c>
      <c r="L100" s="674"/>
    </row>
    <row r="101" spans="1:12" ht="15" x14ac:dyDescent="0.35">
      <c r="A101" s="681"/>
      <c r="B101" s="629"/>
      <c r="C101" s="630"/>
      <c r="D101" s="629"/>
      <c r="E101" s="630"/>
      <c r="F101" s="631"/>
      <c r="G101" s="661"/>
      <c r="H101" s="630"/>
      <c r="I101" s="661"/>
      <c r="J101" s="677"/>
      <c r="L101" s="674"/>
    </row>
    <row r="102" spans="1:12" ht="15" x14ac:dyDescent="0.35">
      <c r="A102" s="1083" t="s">
        <v>42</v>
      </c>
      <c r="B102" s="1084"/>
      <c r="C102" s="1084"/>
      <c r="D102" s="1084"/>
      <c r="E102" s="1084"/>
      <c r="F102" s="1085"/>
      <c r="G102" s="619"/>
      <c r="H102" s="620"/>
      <c r="I102" s="619"/>
      <c r="J102" s="619"/>
    </row>
    <row r="103" spans="1:12" ht="15" x14ac:dyDescent="0.35">
      <c r="A103" s="673" t="str">
        <f>A47</f>
        <v>DS(L) - Type A</v>
      </c>
      <c r="B103" s="629">
        <f>B53</f>
        <v>155.47455000000002</v>
      </c>
      <c r="C103" s="630"/>
      <c r="D103" s="629">
        <v>0.6</v>
      </c>
      <c r="E103" s="630">
        <v>2</v>
      </c>
      <c r="F103" s="631">
        <f>PRODUCT(B103:E103)</f>
        <v>186.56946000000002</v>
      </c>
      <c r="G103" s="630"/>
      <c r="H103" s="630" t="s">
        <v>59</v>
      </c>
      <c r="I103" s="671">
        <f>F103*1.1</f>
        <v>205.22640600000003</v>
      </c>
      <c r="J103" s="632">
        <f>ROUNDUP(I103,2)</f>
        <v>205.23</v>
      </c>
      <c r="L103" s="614"/>
    </row>
    <row r="104" spans="1:12" ht="15" x14ac:dyDescent="0.35">
      <c r="A104" s="673" t="str">
        <f>A53</f>
        <v>DS(L) - Type A</v>
      </c>
      <c r="B104" s="629">
        <f>B103</f>
        <v>155.47455000000002</v>
      </c>
      <c r="C104" s="630"/>
      <c r="D104" s="629">
        <v>0.7</v>
      </c>
      <c r="E104" s="630">
        <v>2</v>
      </c>
      <c r="F104" s="631">
        <f>PRODUCT(B104:E104)</f>
        <v>217.66437000000002</v>
      </c>
      <c r="G104" s="630"/>
      <c r="H104" s="630" t="s">
        <v>59</v>
      </c>
      <c r="I104" s="671">
        <f>F104*1.1</f>
        <v>239.43080700000004</v>
      </c>
      <c r="J104" s="632">
        <f>ROUNDUP(I104,2)</f>
        <v>239.44</v>
      </c>
      <c r="L104" s="614"/>
    </row>
    <row r="105" spans="1:12" ht="15" x14ac:dyDescent="0.35">
      <c r="A105" s="673"/>
      <c r="B105" s="631"/>
      <c r="C105" s="630"/>
      <c r="D105" s="629"/>
      <c r="E105" s="630"/>
      <c r="F105" s="631"/>
      <c r="G105" s="630"/>
      <c r="H105" s="630"/>
      <c r="I105" s="671"/>
      <c r="J105" s="676">
        <f>SUM(J103:J104)</f>
        <v>444.66999999999996</v>
      </c>
      <c r="L105" s="614"/>
    </row>
    <row r="106" spans="1:12" ht="15" x14ac:dyDescent="0.35">
      <c r="A106" s="673"/>
      <c r="B106" s="631"/>
      <c r="C106" s="630"/>
      <c r="D106" s="629"/>
      <c r="E106" s="630"/>
      <c r="F106" s="631"/>
      <c r="G106" s="630"/>
      <c r="H106" s="630"/>
      <c r="I106" s="671"/>
      <c r="J106" s="665"/>
      <c r="L106" s="614"/>
    </row>
    <row r="107" spans="1:12" ht="15" x14ac:dyDescent="0.35">
      <c r="A107" s="626" t="str">
        <f>A57</f>
        <v>DS(K) - B</v>
      </c>
      <c r="B107" s="631">
        <f>B57</f>
        <v>113.86</v>
      </c>
      <c r="C107" s="630"/>
      <c r="D107" s="629">
        <v>0.3</v>
      </c>
      <c r="E107" s="630">
        <v>1</v>
      </c>
      <c r="F107" s="631">
        <f>PRODUCT(B107:E107)</f>
        <v>34.158000000000001</v>
      </c>
      <c r="G107" s="630"/>
      <c r="H107" s="630" t="s">
        <v>59</v>
      </c>
      <c r="I107" s="671">
        <f>F107*1.1</f>
        <v>37.573800000000006</v>
      </c>
      <c r="J107" s="632">
        <f>ROUNDUP(I107,2)</f>
        <v>37.58</v>
      </c>
      <c r="L107" s="614"/>
    </row>
    <row r="108" spans="1:12" ht="15" x14ac:dyDescent="0.35">
      <c r="A108" s="626" t="str">
        <f>A107</f>
        <v>DS(K) - B</v>
      </c>
      <c r="B108" s="631">
        <f>B107</f>
        <v>113.86</v>
      </c>
      <c r="C108" s="630"/>
      <c r="D108" s="629">
        <v>0.4</v>
      </c>
      <c r="E108" s="630">
        <v>1</v>
      </c>
      <c r="F108" s="631">
        <f>PRODUCT(B108:E108)</f>
        <v>45.544000000000004</v>
      </c>
      <c r="G108" s="630"/>
      <c r="H108" s="630" t="s">
        <v>59</v>
      </c>
      <c r="I108" s="671">
        <f>F108*1.1</f>
        <v>50.098400000000005</v>
      </c>
      <c r="J108" s="632">
        <f>ROUNDUP(I108,2)</f>
        <v>50.1</v>
      </c>
      <c r="L108" s="614"/>
    </row>
    <row r="109" spans="1:12" ht="15" x14ac:dyDescent="0.35">
      <c r="A109" s="626"/>
      <c r="B109" s="631">
        <f>B108</f>
        <v>113.86</v>
      </c>
      <c r="C109" s="630"/>
      <c r="D109" s="629">
        <v>0.1</v>
      </c>
      <c r="E109" s="630">
        <v>1</v>
      </c>
      <c r="F109" s="631">
        <f>PRODUCT(B109:E109)</f>
        <v>11.386000000000001</v>
      </c>
      <c r="G109" s="630"/>
      <c r="H109" s="630" t="s">
        <v>68</v>
      </c>
      <c r="I109" s="671">
        <f>F109*1.1</f>
        <v>12.524600000000001</v>
      </c>
      <c r="J109" s="632">
        <f>ROUNDUP(I109,2)</f>
        <v>12.53</v>
      </c>
      <c r="L109" s="614"/>
    </row>
    <row r="110" spans="1:12" ht="15" x14ac:dyDescent="0.35">
      <c r="A110" s="673"/>
      <c r="B110" s="631"/>
      <c r="C110" s="630"/>
      <c r="D110" s="629"/>
      <c r="E110" s="630"/>
      <c r="F110" s="631"/>
      <c r="G110" s="671"/>
      <c r="H110" s="630"/>
      <c r="I110" s="671"/>
      <c r="J110" s="676">
        <f>SUM(J107:J109)</f>
        <v>100.21000000000001</v>
      </c>
      <c r="L110" s="674"/>
    </row>
    <row r="111" spans="1:12" ht="15" x14ac:dyDescent="0.35">
      <c r="A111" s="673"/>
      <c r="B111" s="631"/>
      <c r="C111" s="630"/>
      <c r="D111" s="629"/>
      <c r="E111" s="630"/>
      <c r="F111" s="631"/>
      <c r="G111" s="671"/>
      <c r="H111" s="630"/>
      <c r="I111" s="671"/>
      <c r="J111" s="665"/>
      <c r="L111" s="674"/>
    </row>
    <row r="112" spans="1:12" ht="15" x14ac:dyDescent="0.35">
      <c r="A112" s="673" t="str">
        <f>A61</f>
        <v>DS(M) - B</v>
      </c>
      <c r="B112" s="629">
        <f>B61</f>
        <v>56.79</v>
      </c>
      <c r="C112" s="630"/>
      <c r="D112" s="629">
        <v>0.45</v>
      </c>
      <c r="E112" s="630">
        <v>2</v>
      </c>
      <c r="F112" s="631">
        <f>PRODUCT(B112:E112)</f>
        <v>51.110999999999997</v>
      </c>
      <c r="G112" s="684"/>
      <c r="H112" s="684" t="s">
        <v>59</v>
      </c>
      <c r="I112" s="671">
        <f>F112*1.1</f>
        <v>56.222100000000005</v>
      </c>
      <c r="J112" s="632">
        <f>ROUNDUP(I112,2)</f>
        <v>56.23</v>
      </c>
      <c r="L112" s="614"/>
    </row>
    <row r="113" spans="1:13" ht="15" x14ac:dyDescent="0.35">
      <c r="A113" s="673" t="str">
        <f>A112</f>
        <v>DS(M) - B</v>
      </c>
      <c r="B113" s="629">
        <f>B112</f>
        <v>56.79</v>
      </c>
      <c r="C113" s="630"/>
      <c r="D113" s="629">
        <v>0.55000000000000004</v>
      </c>
      <c r="E113" s="630">
        <v>2</v>
      </c>
      <c r="F113" s="631">
        <f>PRODUCT(B113:E113)</f>
        <v>62.469000000000001</v>
      </c>
      <c r="G113" s="685"/>
      <c r="H113" s="684" t="s">
        <v>59</v>
      </c>
      <c r="I113" s="671">
        <f>F113*1.1</f>
        <v>68.715900000000005</v>
      </c>
      <c r="J113" s="632">
        <f>ROUNDUP(I113,2)</f>
        <v>68.72</v>
      </c>
      <c r="L113" s="614"/>
      <c r="M113" s="609">
        <f>172.7/0.275+1</f>
        <v>628.99999999999989</v>
      </c>
    </row>
    <row r="114" spans="1:13" ht="15" x14ac:dyDescent="0.35">
      <c r="A114" s="673"/>
      <c r="B114" s="629"/>
      <c r="C114" s="630"/>
      <c r="D114" s="629"/>
      <c r="E114" s="686"/>
      <c r="F114" s="631"/>
      <c r="G114" s="685"/>
      <c r="H114" s="684"/>
      <c r="I114" s="671"/>
      <c r="J114" s="664">
        <f>SUM(J112:J113)</f>
        <v>124.94999999999999</v>
      </c>
      <c r="L114" s="614"/>
    </row>
    <row r="115" spans="1:13" ht="15" x14ac:dyDescent="0.35">
      <c r="A115" s="673"/>
      <c r="B115" s="675"/>
      <c r="C115" s="630"/>
      <c r="D115" s="629"/>
      <c r="E115" s="630"/>
      <c r="F115" s="631"/>
      <c r="G115" s="671"/>
      <c r="H115" s="630"/>
      <c r="I115" s="671"/>
      <c r="J115" s="677"/>
      <c r="L115" s="674"/>
    </row>
    <row r="116" spans="1:13" ht="15" x14ac:dyDescent="0.35">
      <c r="A116" s="673" t="str">
        <f>A68</f>
        <v>Retaining Wall - Type 2</v>
      </c>
      <c r="B116" s="675">
        <f>B68</f>
        <v>12.05</v>
      </c>
      <c r="C116" s="630">
        <v>5.125</v>
      </c>
      <c r="D116" s="629"/>
      <c r="E116" s="630"/>
      <c r="F116" s="631">
        <f>PRODUCT(B116:E116)</f>
        <v>61.756250000000001</v>
      </c>
      <c r="G116" s="630"/>
      <c r="H116" s="630" t="s">
        <v>59</v>
      </c>
      <c r="I116" s="671">
        <f>F116*1.1</f>
        <v>67.931875000000005</v>
      </c>
      <c r="J116" s="632">
        <f>ROUNDUP(I116,2)</f>
        <v>67.940000000000012</v>
      </c>
      <c r="L116" s="674"/>
    </row>
    <row r="117" spans="1:13" ht="15" x14ac:dyDescent="0.35">
      <c r="A117" s="673"/>
      <c r="B117" s="675"/>
      <c r="C117" s="630"/>
      <c r="D117" s="629"/>
      <c r="E117" s="630"/>
      <c r="F117" s="631"/>
      <c r="G117" s="671"/>
      <c r="H117" s="630"/>
      <c r="I117" s="671"/>
      <c r="J117" s="676">
        <f>SUM(J116:J116)</f>
        <v>67.940000000000012</v>
      </c>
      <c r="L117" s="674"/>
    </row>
    <row r="118" spans="1:13" ht="15" x14ac:dyDescent="0.35">
      <c r="A118" s="673"/>
      <c r="B118" s="675"/>
      <c r="C118" s="630"/>
      <c r="D118" s="629"/>
      <c r="E118" s="630"/>
      <c r="F118" s="631"/>
      <c r="G118" s="671"/>
      <c r="H118" s="630"/>
      <c r="I118" s="671"/>
      <c r="J118" s="677"/>
      <c r="L118" s="674"/>
    </row>
    <row r="119" spans="1:13" ht="24.9" customHeight="1" x14ac:dyDescent="0.25">
      <c r="A119" s="1086" t="s">
        <v>117</v>
      </c>
      <c r="B119" s="1087"/>
      <c r="C119" s="1087"/>
      <c r="D119" s="1087"/>
      <c r="E119" s="1087"/>
      <c r="F119" s="1087"/>
      <c r="G119" s="1087"/>
      <c r="H119" s="1087"/>
      <c r="I119" s="1087"/>
      <c r="J119" s="1088"/>
    </row>
    <row r="120" spans="1:13" ht="15" x14ac:dyDescent="0.35">
      <c r="A120" s="1083" t="s">
        <v>94</v>
      </c>
      <c r="B120" s="1084"/>
      <c r="C120" s="1084"/>
      <c r="D120" s="1084"/>
      <c r="E120" s="1084"/>
      <c r="F120" s="1085"/>
      <c r="G120" s="619"/>
      <c r="H120" s="620"/>
      <c r="I120" s="619"/>
      <c r="J120" s="619"/>
    </row>
    <row r="121" spans="1:13" ht="15" x14ac:dyDescent="0.35">
      <c r="A121" s="626" t="s">
        <v>118</v>
      </c>
      <c r="B121" s="629">
        <v>1.5</v>
      </c>
      <c r="C121" s="629">
        <v>1.5</v>
      </c>
      <c r="D121" s="661">
        <v>0.05</v>
      </c>
      <c r="E121" s="630"/>
      <c r="F121" s="631">
        <f>PRODUCT(B121,C121,D121,E121)</f>
        <v>0.1125</v>
      </c>
      <c r="G121" s="671"/>
      <c r="H121" s="630" t="s">
        <v>68</v>
      </c>
      <c r="I121" s="671">
        <f>F121*1.1</f>
        <v>0.12375000000000001</v>
      </c>
      <c r="J121" s="664">
        <f>ROUNDUP(I121,2)</f>
        <v>0.13</v>
      </c>
      <c r="L121" s="614"/>
    </row>
    <row r="122" spans="1:13" ht="15" x14ac:dyDescent="0.35">
      <c r="A122" s="687"/>
      <c r="B122" s="633"/>
      <c r="C122" s="661"/>
      <c r="D122" s="629"/>
      <c r="E122" s="630"/>
      <c r="F122" s="631"/>
      <c r="G122" s="671"/>
      <c r="H122" s="630"/>
      <c r="I122" s="671"/>
      <c r="J122" s="671"/>
      <c r="L122" s="614"/>
    </row>
    <row r="123" spans="1:13" ht="15" x14ac:dyDescent="0.35">
      <c r="A123" s="1083" t="s">
        <v>95</v>
      </c>
      <c r="B123" s="1084"/>
      <c r="C123" s="1084"/>
      <c r="D123" s="1084"/>
      <c r="E123" s="1084"/>
      <c r="F123" s="1085"/>
      <c r="G123" s="619"/>
      <c r="H123" s="620"/>
      <c r="I123" s="619"/>
      <c r="J123" s="619"/>
      <c r="L123" s="614"/>
    </row>
    <row r="124" spans="1:13" ht="15" x14ac:dyDescent="0.35">
      <c r="A124" s="626" t="s">
        <v>727</v>
      </c>
      <c r="B124" s="629">
        <v>0.9</v>
      </c>
      <c r="C124" s="629">
        <v>0.1</v>
      </c>
      <c r="D124" s="629">
        <v>1.5</v>
      </c>
      <c r="E124" s="630">
        <v>4</v>
      </c>
      <c r="F124" s="631">
        <f>PRODUCT(B124,C124,D124,E124)</f>
        <v>0.54</v>
      </c>
      <c r="G124" s="630"/>
      <c r="H124" s="630" t="s">
        <v>68</v>
      </c>
      <c r="I124" s="671">
        <f>F124*1.1</f>
        <v>0.59400000000000008</v>
      </c>
      <c r="J124" s="632">
        <f>ROUNDUP(I124,2)</f>
        <v>0.6</v>
      </c>
      <c r="L124" s="614"/>
    </row>
    <row r="125" spans="1:13" ht="15" x14ac:dyDescent="0.35">
      <c r="A125" s="626" t="s">
        <v>728</v>
      </c>
      <c r="B125" s="629">
        <v>1.5</v>
      </c>
      <c r="C125" s="661">
        <v>0.1</v>
      </c>
      <c r="D125" s="629">
        <v>1.5</v>
      </c>
      <c r="E125" s="630"/>
      <c r="F125" s="631">
        <f>PRODUCT(B125,C125,D125,E125)</f>
        <v>0.22500000000000003</v>
      </c>
      <c r="G125" s="630"/>
      <c r="H125" s="630" t="s">
        <v>68</v>
      </c>
      <c r="I125" s="671">
        <f>F125*1.1</f>
        <v>0.24750000000000005</v>
      </c>
      <c r="J125" s="632">
        <f>ROUNDUP(I125,2)</f>
        <v>0.25</v>
      </c>
      <c r="K125" s="614"/>
      <c r="L125" s="614"/>
    </row>
    <row r="126" spans="1:13" ht="15" x14ac:dyDescent="0.35">
      <c r="A126" s="626"/>
      <c r="B126" s="629"/>
      <c r="C126" s="661"/>
      <c r="D126" s="629"/>
      <c r="E126" s="630"/>
      <c r="F126" s="631"/>
      <c r="G126" s="630"/>
      <c r="H126" s="630"/>
      <c r="I126" s="671"/>
      <c r="J126" s="664">
        <f>SUM(J123:J125)</f>
        <v>0.85</v>
      </c>
      <c r="L126" s="614"/>
    </row>
    <row r="127" spans="1:13" ht="15" x14ac:dyDescent="0.35">
      <c r="A127" s="626"/>
      <c r="B127" s="629"/>
      <c r="C127" s="661"/>
      <c r="D127" s="629"/>
      <c r="E127" s="630"/>
      <c r="F127" s="631"/>
      <c r="G127" s="630"/>
      <c r="H127" s="630"/>
      <c r="I127" s="671"/>
      <c r="J127" s="665"/>
      <c r="L127" s="614"/>
    </row>
    <row r="128" spans="1:13" ht="15" x14ac:dyDescent="0.35">
      <c r="A128" s="626"/>
      <c r="B128" s="633"/>
      <c r="C128" s="661"/>
      <c r="D128" s="629"/>
      <c r="E128" s="630"/>
      <c r="F128" s="631"/>
      <c r="G128" s="630"/>
      <c r="H128" s="630"/>
      <c r="I128" s="671"/>
      <c r="J128" s="671"/>
      <c r="L128" s="674"/>
    </row>
    <row r="129" spans="1:12" ht="30" x14ac:dyDescent="0.25">
      <c r="A129" s="678"/>
      <c r="B129" s="679" t="s">
        <v>87</v>
      </c>
      <c r="C129" s="679" t="s">
        <v>51</v>
      </c>
      <c r="D129" s="679" t="s">
        <v>38</v>
      </c>
      <c r="E129" s="680" t="s">
        <v>88</v>
      </c>
      <c r="F129" s="679" t="s">
        <v>89</v>
      </c>
      <c r="G129" s="679"/>
      <c r="H129" s="679"/>
      <c r="I129" s="679"/>
      <c r="J129" s="679"/>
      <c r="L129" s="614"/>
    </row>
    <row r="130" spans="1:12" ht="15" x14ac:dyDescent="0.35">
      <c r="A130" s="1083" t="s">
        <v>90</v>
      </c>
      <c r="B130" s="1084"/>
      <c r="C130" s="1084"/>
      <c r="D130" s="1084"/>
      <c r="E130" s="1084"/>
      <c r="F130" s="1085"/>
      <c r="G130" s="619"/>
      <c r="H130" s="620"/>
      <c r="I130" s="619"/>
      <c r="J130" s="619"/>
      <c r="L130" s="614"/>
    </row>
    <row r="131" spans="1:12" ht="15" x14ac:dyDescent="0.35">
      <c r="A131" s="673" t="s">
        <v>45</v>
      </c>
      <c r="B131" s="629"/>
      <c r="C131" s="630"/>
      <c r="D131" s="629"/>
      <c r="E131" s="630"/>
      <c r="F131" s="631"/>
      <c r="G131" s="661"/>
      <c r="H131" s="630"/>
      <c r="I131" s="661"/>
      <c r="J131" s="630"/>
      <c r="L131" s="614"/>
    </row>
    <row r="132" spans="1:12" ht="15" x14ac:dyDescent="0.35">
      <c r="A132" s="681" t="s">
        <v>107</v>
      </c>
      <c r="B132" s="629">
        <v>10</v>
      </c>
      <c r="C132" s="630">
        <v>4</v>
      </c>
      <c r="D132" s="629">
        <f>ROUNDUP(1.5/0.2,0+1)</f>
        <v>7.5</v>
      </c>
      <c r="E132" s="629">
        <f>B132^2/162.162</f>
        <v>0.61666728333394993</v>
      </c>
      <c r="F132" s="631">
        <f>PRODUCT(C132,D132,E132)</f>
        <v>18.500018500018498</v>
      </c>
      <c r="G132" s="661"/>
      <c r="H132" s="630" t="s">
        <v>91</v>
      </c>
      <c r="I132" s="671">
        <f>F132*1.1</f>
        <v>20.350020350020351</v>
      </c>
      <c r="J132" s="632">
        <f>ROUNDUP(I132,2)</f>
        <v>20.360000000000003</v>
      </c>
      <c r="L132" s="614"/>
    </row>
    <row r="133" spans="1:12" ht="15" x14ac:dyDescent="0.35">
      <c r="A133" s="681"/>
      <c r="B133" s="629"/>
      <c r="C133" s="630"/>
      <c r="D133" s="630"/>
      <c r="E133" s="629"/>
      <c r="F133" s="631"/>
      <c r="G133" s="630"/>
      <c r="H133" s="630"/>
      <c r="I133" s="671"/>
      <c r="J133" s="664">
        <f>SUM(J132:J132)</f>
        <v>20.360000000000003</v>
      </c>
      <c r="L133" s="614"/>
    </row>
    <row r="134" spans="1:12" ht="15" x14ac:dyDescent="0.35">
      <c r="A134" s="681"/>
      <c r="B134" s="629"/>
      <c r="C134" s="630"/>
      <c r="D134" s="629"/>
      <c r="E134" s="630"/>
      <c r="F134" s="627"/>
      <c r="G134" s="661"/>
      <c r="H134" s="630"/>
      <c r="I134" s="671"/>
      <c r="J134" s="671"/>
      <c r="L134" s="674"/>
    </row>
    <row r="135" spans="1:12" ht="15" x14ac:dyDescent="0.35">
      <c r="A135" s="1083" t="s">
        <v>42</v>
      </c>
      <c r="B135" s="1084"/>
      <c r="C135" s="1084"/>
      <c r="D135" s="1084"/>
      <c r="E135" s="1084"/>
      <c r="F135" s="1085"/>
      <c r="G135" s="619"/>
      <c r="H135" s="620"/>
      <c r="I135" s="619"/>
      <c r="J135" s="619"/>
      <c r="L135" s="614"/>
    </row>
    <row r="136" spans="1:12" ht="15" x14ac:dyDescent="0.35">
      <c r="A136" s="626" t="s">
        <v>122</v>
      </c>
      <c r="B136" s="633">
        <v>1</v>
      </c>
      <c r="C136" s="630">
        <v>1.5</v>
      </c>
      <c r="D136" s="629"/>
      <c r="E136" s="630">
        <v>4</v>
      </c>
      <c r="F136" s="631">
        <f>PRODUCT(B136:E136)</f>
        <v>6</v>
      </c>
      <c r="G136" s="630"/>
      <c r="H136" s="630" t="s">
        <v>59</v>
      </c>
      <c r="I136" s="671">
        <f>F136*1.1</f>
        <v>6.6000000000000005</v>
      </c>
      <c r="J136" s="632">
        <f>ROUNDUP(I136,2)</f>
        <v>6.6</v>
      </c>
      <c r="L136" s="614"/>
    </row>
    <row r="137" spans="1:12" ht="15" x14ac:dyDescent="0.35">
      <c r="A137" s="626" t="s">
        <v>123</v>
      </c>
      <c r="B137" s="633">
        <v>1.1000000000000001</v>
      </c>
      <c r="C137" s="630">
        <v>1.5</v>
      </c>
      <c r="D137" s="629"/>
      <c r="E137" s="630">
        <v>4</v>
      </c>
      <c r="F137" s="631">
        <f>PRODUCT(B137:E137)</f>
        <v>6.6000000000000005</v>
      </c>
      <c r="G137" s="630"/>
      <c r="H137" s="630" t="s">
        <v>59</v>
      </c>
      <c r="I137" s="671">
        <f>F137*1.1</f>
        <v>7.2600000000000016</v>
      </c>
      <c r="J137" s="632">
        <f>ROUNDUP(I137,2)</f>
        <v>7.26</v>
      </c>
      <c r="L137" s="614"/>
    </row>
    <row r="138" spans="1:12" ht="15" x14ac:dyDescent="0.35">
      <c r="A138" s="681"/>
      <c r="B138" s="633"/>
      <c r="C138" s="630"/>
      <c r="D138" s="629"/>
      <c r="E138" s="630"/>
      <c r="F138" s="631"/>
      <c r="G138" s="630"/>
      <c r="H138" s="630"/>
      <c r="I138" s="671"/>
      <c r="J138" s="664">
        <f>SUM(J136:J137)</f>
        <v>13.86</v>
      </c>
      <c r="L138" s="614"/>
    </row>
    <row r="139" spans="1:12" ht="15" x14ac:dyDescent="0.35">
      <c r="A139" s="688"/>
      <c r="B139" s="689"/>
      <c r="C139" s="690"/>
      <c r="D139" s="691"/>
      <c r="E139" s="690"/>
      <c r="F139" s="692"/>
      <c r="G139" s="690"/>
      <c r="H139" s="690"/>
      <c r="I139" s="693"/>
      <c r="J139" s="693"/>
      <c r="L139" s="674"/>
    </row>
    <row r="140" spans="1:12" ht="15" x14ac:dyDescent="0.35">
      <c r="A140" s="694"/>
      <c r="B140" s="695"/>
      <c r="C140" s="696"/>
      <c r="D140" s="697"/>
      <c r="E140" s="696"/>
      <c r="F140" s="698"/>
      <c r="G140" s="696"/>
      <c r="H140" s="696"/>
      <c r="I140" s="699"/>
      <c r="J140" s="700"/>
      <c r="L140" s="674"/>
    </row>
    <row r="141" spans="1:12" ht="24.9" customHeight="1" x14ac:dyDescent="0.25">
      <c r="A141" s="1086" t="s">
        <v>729</v>
      </c>
      <c r="B141" s="1087"/>
      <c r="C141" s="1087"/>
      <c r="D141" s="1087"/>
      <c r="E141" s="1087"/>
      <c r="F141" s="1087"/>
      <c r="G141" s="1087"/>
      <c r="H141" s="1087"/>
      <c r="I141" s="1087"/>
      <c r="J141" s="1088"/>
    </row>
    <row r="142" spans="1:12" ht="15" x14ac:dyDescent="0.35">
      <c r="A142" s="1083" t="s">
        <v>604</v>
      </c>
      <c r="B142" s="1084"/>
      <c r="C142" s="1084"/>
      <c r="D142" s="1084"/>
      <c r="E142" s="1084"/>
      <c r="F142" s="1085"/>
      <c r="G142" s="619"/>
      <c r="H142" s="620"/>
      <c r="I142" s="619"/>
      <c r="J142" s="619"/>
    </row>
    <row r="143" spans="1:12" ht="15" x14ac:dyDescent="0.35">
      <c r="A143" s="626"/>
      <c r="B143" s="629">
        <f>B16</f>
        <v>54.07</v>
      </c>
      <c r="C143" s="629">
        <v>1.41</v>
      </c>
      <c r="D143" s="661"/>
      <c r="E143" s="630"/>
      <c r="F143" s="631">
        <f>PRODUCT(B143,C143,D143,E143)</f>
        <v>76.238699999999994</v>
      </c>
      <c r="G143" s="671"/>
      <c r="H143" s="630" t="s">
        <v>68</v>
      </c>
      <c r="I143" s="671">
        <f>F143*1.1</f>
        <v>83.862570000000005</v>
      </c>
      <c r="J143" s="701">
        <f>ROUNDUP(I143,2)</f>
        <v>83.87</v>
      </c>
      <c r="L143" s="614"/>
    </row>
    <row r="144" spans="1:12" ht="15" x14ac:dyDescent="0.35">
      <c r="A144" s="687"/>
      <c r="B144" s="633"/>
      <c r="C144" s="661"/>
      <c r="D144" s="629"/>
      <c r="E144" s="630"/>
      <c r="F144" s="631"/>
      <c r="G144" s="671"/>
      <c r="H144" s="630"/>
      <c r="I144" s="671"/>
      <c r="J144" s="702">
        <f>SUM(J143)</f>
        <v>83.87</v>
      </c>
      <c r="L144" s="614"/>
    </row>
    <row r="145" spans="1:12" ht="15" x14ac:dyDescent="0.35">
      <c r="A145" s="1083" t="s">
        <v>730</v>
      </c>
      <c r="B145" s="1084"/>
      <c r="C145" s="1084"/>
      <c r="D145" s="1084"/>
      <c r="E145" s="1084"/>
      <c r="F145" s="1085"/>
      <c r="G145" s="619"/>
      <c r="H145" s="620"/>
      <c r="I145" s="619"/>
      <c r="J145" s="619"/>
      <c r="L145" s="614"/>
    </row>
    <row r="146" spans="1:12" ht="15" x14ac:dyDescent="0.35">
      <c r="A146" s="626"/>
      <c r="B146" s="629">
        <f>B143</f>
        <v>54.07</v>
      </c>
      <c r="C146" s="629">
        <v>0.61</v>
      </c>
      <c r="D146" s="629"/>
      <c r="E146" s="630"/>
      <c r="F146" s="631">
        <f>PRODUCT(B146,C146,D146,E146)</f>
        <v>32.982700000000001</v>
      </c>
      <c r="G146" s="630"/>
      <c r="H146" s="630" t="s">
        <v>68</v>
      </c>
      <c r="I146" s="671">
        <f>F146*1.1</f>
        <v>36.280970000000003</v>
      </c>
      <c r="J146" s="651">
        <f>ROUNDUP(I146,2)</f>
        <v>36.29</v>
      </c>
      <c r="L146" s="614"/>
    </row>
    <row r="147" spans="1:12" ht="15" x14ac:dyDescent="0.35">
      <c r="A147" s="703"/>
      <c r="B147" s="691"/>
      <c r="C147" s="704"/>
      <c r="D147" s="691"/>
      <c r="E147" s="690"/>
      <c r="F147" s="692"/>
      <c r="G147" s="690"/>
      <c r="H147" s="690"/>
      <c r="I147" s="693"/>
      <c r="J147" s="705">
        <f>SUM(J146:J146)</f>
        <v>36.29</v>
      </c>
      <c r="L147" s="614"/>
    </row>
    <row r="148" spans="1:12" ht="15" x14ac:dyDescent="0.35">
      <c r="A148" s="1077" t="s">
        <v>731</v>
      </c>
      <c r="B148" s="1078"/>
      <c r="C148" s="1078"/>
      <c r="D148" s="1078"/>
      <c r="E148" s="1078"/>
      <c r="F148" s="1078"/>
      <c r="G148" s="1078"/>
      <c r="H148" s="1078"/>
      <c r="I148" s="1078"/>
      <c r="J148" s="1079"/>
      <c r="L148" s="674"/>
    </row>
    <row r="149" spans="1:12" ht="15" x14ac:dyDescent="0.35">
      <c r="A149" s="626"/>
      <c r="B149" s="629">
        <f>B146</f>
        <v>54.07</v>
      </c>
      <c r="C149" s="629">
        <v>3.3</v>
      </c>
      <c r="D149" s="629"/>
      <c r="E149" s="630"/>
      <c r="F149" s="631">
        <f>PRODUCT(B149,C149,D149,E149)</f>
        <v>178.43099999999998</v>
      </c>
      <c r="G149" s="630"/>
      <c r="H149" s="630" t="s">
        <v>59</v>
      </c>
      <c r="I149" s="671">
        <f>F149*1.1</f>
        <v>196.2741</v>
      </c>
      <c r="J149" s="651">
        <f>ROUNDUP(I149,2)</f>
        <v>196.28</v>
      </c>
      <c r="L149" s="674"/>
    </row>
    <row r="150" spans="1:12" ht="15" x14ac:dyDescent="0.35">
      <c r="A150" s="703"/>
      <c r="B150" s="691"/>
      <c r="C150" s="704"/>
      <c r="D150" s="691"/>
      <c r="E150" s="690"/>
      <c r="F150" s="692"/>
      <c r="G150" s="690"/>
      <c r="H150" s="690"/>
      <c r="I150" s="693"/>
      <c r="J150" s="705">
        <f>SUM(J149:J149)</f>
        <v>196.28</v>
      </c>
      <c r="L150" s="674"/>
    </row>
    <row r="151" spans="1:12" ht="15" x14ac:dyDescent="0.35">
      <c r="A151" s="1077" t="s">
        <v>732</v>
      </c>
      <c r="B151" s="1078"/>
      <c r="C151" s="1078"/>
      <c r="D151" s="1078"/>
      <c r="E151" s="1078"/>
      <c r="F151" s="1078"/>
      <c r="G151" s="1078"/>
      <c r="H151" s="1078"/>
      <c r="I151" s="1078"/>
      <c r="J151" s="1079"/>
      <c r="L151" s="614"/>
    </row>
    <row r="152" spans="1:12" ht="15" x14ac:dyDescent="0.35">
      <c r="A152" s="681"/>
      <c r="B152" s="629">
        <f>B149</f>
        <v>54.07</v>
      </c>
      <c r="C152" s="629">
        <v>0.2</v>
      </c>
      <c r="D152" s="629"/>
      <c r="E152" s="630"/>
      <c r="F152" s="631">
        <f>PRODUCT(B152,C152,D152,E152)</f>
        <v>10.814</v>
      </c>
      <c r="G152" s="630"/>
      <c r="H152" s="630" t="s">
        <v>59</v>
      </c>
      <c r="I152" s="671">
        <f>F152*1.1</f>
        <v>11.8954</v>
      </c>
      <c r="J152" s="701">
        <f>ROUNDUP(I152,2)</f>
        <v>11.9</v>
      </c>
      <c r="L152" s="614"/>
    </row>
    <row r="153" spans="1:12" ht="15" x14ac:dyDescent="0.35">
      <c r="A153" s="681"/>
      <c r="B153" s="633"/>
      <c r="C153" s="630"/>
      <c r="D153" s="629"/>
      <c r="E153" s="630"/>
      <c r="F153" s="631"/>
      <c r="G153" s="630"/>
      <c r="H153" s="630"/>
      <c r="I153" s="671"/>
      <c r="J153" s="705">
        <f>SUM(J152:J152)</f>
        <v>11.9</v>
      </c>
      <c r="L153" s="614"/>
    </row>
    <row r="154" spans="1:12" ht="15" x14ac:dyDescent="0.35">
      <c r="A154" s="1077" t="s">
        <v>585</v>
      </c>
      <c r="B154" s="1078"/>
      <c r="C154" s="1078"/>
      <c r="D154" s="1078"/>
      <c r="E154" s="1078"/>
      <c r="F154" s="1078"/>
      <c r="G154" s="1078"/>
      <c r="H154" s="1078"/>
      <c r="I154" s="1078"/>
      <c r="J154" s="1079"/>
      <c r="L154" s="614"/>
    </row>
    <row r="155" spans="1:12" ht="15" x14ac:dyDescent="0.35">
      <c r="A155" s="681" t="s">
        <v>729</v>
      </c>
      <c r="B155" s="629">
        <f>0.35*3</f>
        <v>1.0499999999999998</v>
      </c>
      <c r="C155" s="629">
        <f>0.35*3</f>
        <v>1.0499999999999998</v>
      </c>
      <c r="D155" s="706">
        <f>ROUNDUP(B143/1.5,0)</f>
        <v>37</v>
      </c>
      <c r="E155" s="630"/>
      <c r="F155" s="631">
        <f>PRODUCT(B155,C155,D155,E155)</f>
        <v>40.792499999999983</v>
      </c>
      <c r="G155" s="630"/>
      <c r="H155" s="630" t="s">
        <v>59</v>
      </c>
      <c r="I155" s="671">
        <f>F155*1.1</f>
        <v>44.871749999999984</v>
      </c>
      <c r="J155" s="701">
        <f>ROUNDUP(I155,2)</f>
        <v>44.879999999999995</v>
      </c>
      <c r="L155" s="614"/>
    </row>
    <row r="156" spans="1:12" ht="15" x14ac:dyDescent="0.35">
      <c r="A156" s="681"/>
      <c r="B156" s="629"/>
      <c r="C156" s="629"/>
      <c r="D156" s="706"/>
      <c r="E156" s="630"/>
      <c r="F156" s="631"/>
      <c r="G156" s="630"/>
      <c r="H156" s="630"/>
      <c r="I156" s="671"/>
      <c r="J156" s="702">
        <f>SUM(J155)</f>
        <v>44.879999999999995</v>
      </c>
      <c r="L156" s="614"/>
    </row>
    <row r="157" spans="1:12" ht="15" x14ac:dyDescent="0.35">
      <c r="A157" s="681"/>
      <c r="B157" s="629"/>
      <c r="C157" s="629"/>
      <c r="D157" s="706"/>
      <c r="E157" s="630"/>
      <c r="F157" s="631"/>
      <c r="G157" s="630"/>
      <c r="H157" s="630"/>
      <c r="I157" s="671"/>
      <c r="J157" s="707"/>
      <c r="L157" s="614"/>
    </row>
    <row r="158" spans="1:12" ht="15" x14ac:dyDescent="0.35">
      <c r="A158" s="681" t="s">
        <v>733</v>
      </c>
      <c r="B158" s="629">
        <v>0.6</v>
      </c>
      <c r="C158" s="629"/>
      <c r="D158" s="706">
        <f>B12/1.5</f>
        <v>8.0333333333333332</v>
      </c>
      <c r="E158" s="630"/>
      <c r="F158" s="631">
        <f>PRODUCT(B158,C158,D158,E158)</f>
        <v>4.8199999999999994</v>
      </c>
      <c r="G158" s="630"/>
      <c r="H158" s="630" t="s">
        <v>10</v>
      </c>
      <c r="I158" s="671">
        <f>F158*1.1</f>
        <v>5.3019999999999996</v>
      </c>
      <c r="J158" s="670">
        <f>ROUNDUP(I158,2)</f>
        <v>5.31</v>
      </c>
      <c r="L158" s="614"/>
    </row>
    <row r="159" spans="1:12" ht="15" x14ac:dyDescent="0.35">
      <c r="A159" s="681"/>
      <c r="B159" s="629">
        <v>1.1499999999999999</v>
      </c>
      <c r="C159" s="629"/>
      <c r="D159" s="706">
        <f>B12/1.5</f>
        <v>8.0333333333333332</v>
      </c>
      <c r="E159" s="630"/>
      <c r="F159" s="631">
        <f>PRODUCT(B159,C159,D159,E159)</f>
        <v>9.2383333333333333</v>
      </c>
      <c r="G159" s="630"/>
      <c r="H159" s="630" t="s">
        <v>10</v>
      </c>
      <c r="I159" s="671">
        <f>F159*1.1</f>
        <v>10.162166666666668</v>
      </c>
      <c r="J159" s="670">
        <f>ROUNDUP(I159,2)</f>
        <v>10.17</v>
      </c>
      <c r="L159" s="614"/>
    </row>
    <row r="160" spans="1:12" ht="15" x14ac:dyDescent="0.35">
      <c r="A160" s="681"/>
      <c r="B160" s="629"/>
      <c r="C160" s="629"/>
      <c r="D160" s="706"/>
      <c r="E160" s="630"/>
      <c r="F160" s="631"/>
      <c r="G160" s="630"/>
      <c r="H160" s="630"/>
      <c r="I160" s="671"/>
      <c r="J160" s="708">
        <f>SUM(J158:J159)</f>
        <v>15.48</v>
      </c>
      <c r="L160" s="614"/>
    </row>
    <row r="161" spans="1:15" ht="15" x14ac:dyDescent="0.35">
      <c r="A161" s="681"/>
      <c r="B161" s="629"/>
      <c r="C161" s="629"/>
      <c r="D161" s="706"/>
      <c r="E161" s="630"/>
      <c r="F161" s="631"/>
      <c r="G161" s="630"/>
      <c r="H161" s="630"/>
      <c r="I161" s="671"/>
      <c r="J161" s="709"/>
      <c r="L161" s="614"/>
    </row>
    <row r="162" spans="1:15" ht="24.9" customHeight="1" x14ac:dyDescent="0.25">
      <c r="A162" s="1080" t="s">
        <v>734</v>
      </c>
      <c r="B162" s="1081"/>
      <c r="C162" s="1081"/>
      <c r="D162" s="1081"/>
      <c r="E162" s="1081"/>
      <c r="F162" s="1081"/>
      <c r="G162" s="1081"/>
      <c r="H162" s="1081"/>
      <c r="I162" s="1081"/>
      <c r="J162" s="1082"/>
    </row>
    <row r="163" spans="1:15" ht="15" x14ac:dyDescent="0.35">
      <c r="A163" s="1083" t="s">
        <v>127</v>
      </c>
      <c r="B163" s="1084"/>
      <c r="C163" s="1084"/>
      <c r="D163" s="1084"/>
      <c r="E163" s="1084"/>
      <c r="F163" s="1085"/>
      <c r="G163" s="619"/>
      <c r="H163" s="620"/>
      <c r="I163" s="619"/>
      <c r="J163" s="619"/>
      <c r="L163" s="614"/>
    </row>
    <row r="164" spans="1:15" ht="15" x14ac:dyDescent="0.35">
      <c r="A164" s="626"/>
      <c r="B164" s="633">
        <v>40</v>
      </c>
      <c r="C164" s="629"/>
      <c r="D164" s="661"/>
      <c r="E164" s="630">
        <v>4</v>
      </c>
      <c r="F164" s="631">
        <f>B164*E164</f>
        <v>160</v>
      </c>
      <c r="G164" s="671"/>
      <c r="H164" s="630" t="s">
        <v>10</v>
      </c>
      <c r="I164" s="671"/>
      <c r="J164" s="710">
        <f>F164</f>
        <v>160</v>
      </c>
      <c r="L164" s="614"/>
      <c r="O164" s="609">
        <f>12*69</f>
        <v>828</v>
      </c>
    </row>
    <row r="165" spans="1:15" ht="15" x14ac:dyDescent="0.35">
      <c r="A165" s="634"/>
      <c r="B165" s="636">
        <v>30</v>
      </c>
      <c r="C165" s="637"/>
      <c r="D165" s="711"/>
      <c r="E165" s="638">
        <v>2</v>
      </c>
      <c r="F165" s="631">
        <f>B165*E165</f>
        <v>60</v>
      </c>
      <c r="G165" s="671"/>
      <c r="H165" s="630" t="s">
        <v>10</v>
      </c>
      <c r="I165" s="671"/>
      <c r="J165" s="710">
        <f>F165</f>
        <v>60</v>
      </c>
      <c r="L165" s="614"/>
    </row>
    <row r="166" spans="1:15" ht="15" x14ac:dyDescent="0.35">
      <c r="A166" s="703"/>
      <c r="B166" s="689"/>
      <c r="C166" s="690"/>
      <c r="D166" s="691"/>
      <c r="E166" s="712"/>
      <c r="F166" s="692"/>
      <c r="G166" s="690"/>
      <c r="H166" s="690"/>
      <c r="I166" s="693"/>
      <c r="J166" s="705">
        <f>SUM(J164:J165)</f>
        <v>220</v>
      </c>
      <c r="L166" s="614"/>
    </row>
  </sheetData>
  <mergeCells count="27">
    <mergeCell ref="A26:F26"/>
    <mergeCell ref="A1:J1"/>
    <mergeCell ref="A3:J3"/>
    <mergeCell ref="A4:F4"/>
    <mergeCell ref="A21:J21"/>
    <mergeCell ref="A25:J25"/>
    <mergeCell ref="A130:F130"/>
    <mergeCell ref="A27:F27"/>
    <mergeCell ref="A28:F28"/>
    <mergeCell ref="A41:J41"/>
    <mergeCell ref="A45:J45"/>
    <mergeCell ref="A46:F46"/>
    <mergeCell ref="A52:F52"/>
    <mergeCell ref="A84:F84"/>
    <mergeCell ref="A102:F102"/>
    <mergeCell ref="A119:J119"/>
    <mergeCell ref="A120:F120"/>
    <mergeCell ref="A123:F123"/>
    <mergeCell ref="A154:J154"/>
    <mergeCell ref="A162:J162"/>
    <mergeCell ref="A163:F163"/>
    <mergeCell ref="A135:F135"/>
    <mergeCell ref="A141:J141"/>
    <mergeCell ref="A142:F142"/>
    <mergeCell ref="A145:F145"/>
    <mergeCell ref="A148:J148"/>
    <mergeCell ref="A151:J151"/>
  </mergeCells>
  <pageMargins left="0.7" right="0.7" top="0.75" bottom="0.75" header="0.3" footer="0.3"/>
  <pageSetup paperSize="9" scale="62" orientation="portrait" r:id="rId1"/>
  <rowBreaks count="2" manualBreakCount="2">
    <brk id="51" max="9" man="1"/>
    <brk id="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BOQ summary</vt:lpstr>
      <vt:lpstr>Bill No 1</vt:lpstr>
      <vt:lpstr>Bill No 2</vt:lpstr>
      <vt:lpstr>Bill No 3</vt:lpstr>
      <vt:lpstr>Bill No 4</vt:lpstr>
      <vt:lpstr>Bill No 5</vt:lpstr>
      <vt:lpstr>Bill No.Dayworks</vt:lpstr>
      <vt:lpstr>4 QTY Final</vt:lpstr>
      <vt:lpstr>Sheet1</vt:lpstr>
      <vt:lpstr>QTY</vt:lpstr>
      <vt:lpstr>Qty 2</vt:lpstr>
      <vt:lpstr>Qty.bill 4</vt:lpstr>
      <vt:lpstr>QTY 5</vt:lpstr>
      <vt:lpstr>Qty  2,4 i</vt:lpstr>
      <vt:lpstr>Qty 2,4 ii</vt:lpstr>
      <vt:lpstr>2100</vt:lpstr>
      <vt:lpstr>2x2 net</vt:lpstr>
      <vt:lpstr>Gabion base</vt:lpstr>
      <vt:lpstr>'2100'!Print_Area</vt:lpstr>
      <vt:lpstr>'2x2 net'!Print_Area</vt:lpstr>
      <vt:lpstr>'4 QTY Final'!Print_Area</vt:lpstr>
      <vt:lpstr>'Bill No 1'!Print_Area</vt:lpstr>
      <vt:lpstr>'Bill No 2'!Print_Area</vt:lpstr>
      <vt:lpstr>'Bill No 3'!Print_Area</vt:lpstr>
      <vt:lpstr>'Bill No 4'!Print_Area</vt:lpstr>
      <vt:lpstr>'Bill No 5'!Print_Area</vt:lpstr>
      <vt:lpstr>'Bill No.Dayworks'!Print_Area</vt:lpstr>
      <vt:lpstr>'BOQ summary'!Print_Area</vt:lpstr>
      <vt:lpstr>Cover!Print_Area</vt:lpstr>
      <vt:lpstr>'Gabion base'!Print_Area</vt:lpstr>
      <vt:lpstr>QTY!Print_Area</vt:lpstr>
      <vt:lpstr>'Qty  2,4 i'!Print_Area</vt:lpstr>
      <vt:lpstr>'QTY 5'!Print_Area</vt:lpstr>
      <vt:lpstr>'Bill No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</dc:creator>
  <cp:lastModifiedBy>Gihan</cp:lastModifiedBy>
  <cp:lastPrinted>2022-10-03T03:48:08Z</cp:lastPrinted>
  <dcterms:created xsi:type="dcterms:W3CDTF">2014-01-10T14:44:52Z</dcterms:created>
  <dcterms:modified xsi:type="dcterms:W3CDTF">2022-10-03T04:04:41Z</dcterms:modified>
</cp:coreProperties>
</file>