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AIIB new\Group 03 new\FINAL DOCS to TEC 10.11.2021\Final to print  for TD Approvel -TEC P7\BOQs\Blank BOQs excel\"/>
    </mc:Choice>
  </mc:AlternateContent>
  <xr:revisionPtr revIDLastSave="0" documentId="13_ncr:1_{D05AA5DB-E400-4612-8880-BA630789F38A}" xr6:coauthVersionLast="47" xr6:coauthVersionMax="47" xr10:uidLastSave="{00000000-0000-0000-0000-000000000000}"/>
  <bookViews>
    <workbookView xWindow="-108" yWindow="-108" windowWidth="23256" windowHeight="12576" tabRatio="826" firstSheet="60" activeTab="80" xr2:uid="{C85EA6F4-3D72-4743-8C75-54635C88C55A}"/>
  </bookViews>
  <sheets>
    <sheet name="Grand Summary" sheetId="10" r:id="rId1"/>
    <sheet name="Bill No.Sum " sheetId="83" r:id="rId2"/>
    <sheet name="Bill No 1" sheetId="82" r:id="rId3"/>
    <sheet name="Bill No. 2" sheetId="2" r:id="rId4"/>
    <sheet name="Bill 2.1" sheetId="3" r:id="rId5"/>
    <sheet name="Bill 2.2" sheetId="4" r:id="rId6"/>
    <sheet name="Bill 2.3" sheetId="5" r:id="rId7"/>
    <sheet name="QTY78" sheetId="8" state="hidden" r:id="rId8"/>
    <sheet name="Drains78" sheetId="9" state="hidden" r:id="rId9"/>
    <sheet name="Sheet78" sheetId="1" state="hidden" r:id="rId10"/>
    <sheet name="Bill No. 3" sheetId="12" r:id="rId11"/>
    <sheet name="Bill 3.1" sheetId="13" r:id="rId12"/>
    <sheet name="Bill 3.2" sheetId="14" r:id="rId13"/>
    <sheet name="Bill 3.3" sheetId="15" r:id="rId14"/>
    <sheet name="Bill 3.4" sheetId="16" r:id="rId15"/>
    <sheet name="QTY" sheetId="17" state="hidden" r:id="rId16"/>
    <sheet name="Drains" sheetId="18" state="hidden" r:id="rId17"/>
    <sheet name="Sheet1" sheetId="19" state="hidden" r:id="rId18"/>
    <sheet name="Bill No 4" sheetId="20" r:id="rId19"/>
    <sheet name="Bill No. 4.1" sheetId="21" r:id="rId20"/>
    <sheet name="Bill 4.1.1" sheetId="22" r:id="rId21"/>
    <sheet name="Bill 4.1.2" sheetId="23" r:id="rId22"/>
    <sheet name="Bill 4.1.3" sheetId="24" r:id="rId23"/>
    <sheet name="QTY85l1" sheetId="25" state="hidden" r:id="rId24"/>
    <sheet name="Drains85l1" sheetId="26" state="hidden" r:id="rId25"/>
    <sheet name="Bill No. 4.2" sheetId="27" r:id="rId26"/>
    <sheet name="Bill 4.2.1 " sheetId="28" r:id="rId27"/>
    <sheet name="Bill 4.2.2" sheetId="29" r:id="rId28"/>
    <sheet name="Bill 4.2.3" sheetId="30" r:id="rId29"/>
    <sheet name="Bill 4.2.4" sheetId="31" r:id="rId30"/>
    <sheet name="Bill 4.2.5" sheetId="32" r:id="rId31"/>
    <sheet name="QTY 85l2" sheetId="33" state="hidden" r:id="rId32"/>
    <sheet name="Drains 85l2" sheetId="34" state="hidden" r:id="rId33"/>
    <sheet name="Sheet85l2" sheetId="35" state="hidden" r:id="rId34"/>
    <sheet name="Sheet1 (2)" sheetId="36" state="hidden" r:id="rId35"/>
    <sheet name="Bill No. 5" sheetId="37" r:id="rId36"/>
    <sheet name="Bill 5.1" sheetId="38" r:id="rId37"/>
    <sheet name="Bill 5.2" sheetId="39" r:id="rId38"/>
    <sheet name="Bill 5.3" sheetId="40" r:id="rId39"/>
    <sheet name="QTY86" sheetId="41" state="hidden" r:id="rId40"/>
    <sheet name="Drains86" sheetId="42" state="hidden" r:id="rId41"/>
    <sheet name="Sheet86" sheetId="43" state="hidden" r:id="rId42"/>
    <sheet name="Bill No.6" sheetId="44" r:id="rId43"/>
    <sheet name="Bill 6.1" sheetId="45" r:id="rId44"/>
    <sheet name="Bill 6.2" sheetId="46" r:id="rId45"/>
    <sheet name="Bill 6.3" sheetId="47" r:id="rId46"/>
    <sheet name="Bill 6.4" sheetId="48" r:id="rId47"/>
    <sheet name="QTY88" sheetId="49" state="hidden" r:id="rId48"/>
    <sheet name="Drains88" sheetId="50" state="hidden" r:id="rId49"/>
    <sheet name="Cantilever Walls88" sheetId="51" state="hidden" r:id="rId50"/>
    <sheet name="Bill No. 7" sheetId="52" r:id="rId51"/>
    <sheet name="Bill 7.1" sheetId="53" r:id="rId52"/>
    <sheet name="Bill 7.2" sheetId="54" r:id="rId53"/>
    <sheet name="Bill 7.3" sheetId="55" r:id="rId54"/>
    <sheet name="Bill 7.4" sheetId="56" r:id="rId55"/>
    <sheet name="QTY112" sheetId="57" state="hidden" r:id="rId56"/>
    <sheet name="Drains112" sheetId="58" state="hidden" r:id="rId57"/>
    <sheet name="Bill No.8" sheetId="59" r:id="rId58"/>
    <sheet name="Bill No.8.1 " sheetId="60" r:id="rId59"/>
    <sheet name="Bill No 8.1.1" sheetId="61" r:id="rId60"/>
    <sheet name="Bill No 8.1.2 " sheetId="62" r:id="rId61"/>
    <sheet name="Bill No 8.1.3" sheetId="63" r:id="rId62"/>
    <sheet name="Bill No 8.1.4" sheetId="64" r:id="rId63"/>
    <sheet name="QTY 83.1" sheetId="65" state="hidden" r:id="rId64"/>
    <sheet name="Drains 83.1" sheetId="66" state="hidden" r:id="rId65"/>
    <sheet name="Bill No.8.2" sheetId="67" r:id="rId66"/>
    <sheet name="Bill No 8.2.1 " sheetId="68" r:id="rId67"/>
    <sheet name="Bill No 8.2.2" sheetId="69" r:id="rId68"/>
    <sheet name="Bill No 8.2.3 " sheetId="70" r:id="rId69"/>
    <sheet name="QTY83.2" sheetId="71" state="hidden" r:id="rId70"/>
    <sheet name="Drains83.2" sheetId="72" state="hidden" r:id="rId71"/>
    <sheet name="Sheet83.1" sheetId="73" state="hidden" r:id="rId72"/>
    <sheet name="Sheet2" sheetId="74" state="hidden" r:id="rId73"/>
    <sheet name="Bill No. 9" sheetId="75" r:id="rId74"/>
    <sheet name="Bill 9.1" sheetId="76" r:id="rId75"/>
    <sheet name="Bill 9.2" sheetId="77" r:id="rId76"/>
    <sheet name="Bill 9.3" sheetId="78" r:id="rId77"/>
    <sheet name="QTY115" sheetId="79" state="hidden" r:id="rId78"/>
    <sheet name="Drains115" sheetId="80" state="hidden" r:id="rId79"/>
    <sheet name="Sheet115" sheetId="81" state="hidden" r:id="rId80"/>
    <sheet name="Bill No.Dayworks" sheetId="11" r:id="rId81"/>
  </sheets>
  <externalReferences>
    <externalReference r:id="rId82"/>
    <externalReference r:id="rId83"/>
    <externalReference r:id="rId84"/>
    <externalReference r:id="rId85"/>
    <externalReference r:id="rId86"/>
    <externalReference r:id="rId87"/>
  </externalReferences>
  <definedNames>
    <definedName name="A" localSheetId="2">#REF!</definedName>
    <definedName name="A" localSheetId="18">#REF!</definedName>
    <definedName name="A" localSheetId="59">#REF!</definedName>
    <definedName name="A" localSheetId="60">#REF!</definedName>
    <definedName name="A" localSheetId="61">#REF!</definedName>
    <definedName name="A" localSheetId="62">#REF!</definedName>
    <definedName name="A" localSheetId="66">#REF!</definedName>
    <definedName name="A" localSheetId="67">#REF!</definedName>
    <definedName name="A" localSheetId="68">#REF!</definedName>
    <definedName name="A" localSheetId="3">#REF!</definedName>
    <definedName name="A" localSheetId="10">#REF!</definedName>
    <definedName name="A" localSheetId="19">#REF!</definedName>
    <definedName name="A" localSheetId="25">#REF!</definedName>
    <definedName name="A" localSheetId="35">#REF!</definedName>
    <definedName name="A" localSheetId="50">#REF!</definedName>
    <definedName name="A" localSheetId="73">#REF!</definedName>
    <definedName name="A" localSheetId="42">#REF!</definedName>
    <definedName name="A" localSheetId="57">#REF!</definedName>
    <definedName name="A" localSheetId="58">#REF!</definedName>
    <definedName name="A" localSheetId="65">#REF!</definedName>
    <definedName name="A" localSheetId="80">#REF!</definedName>
    <definedName name="A" localSheetId="1">#REF!</definedName>
    <definedName name="A" localSheetId="16">#REF!</definedName>
    <definedName name="A" localSheetId="64">#REF!</definedName>
    <definedName name="A" localSheetId="32">#REF!</definedName>
    <definedName name="A" localSheetId="78">#REF!</definedName>
    <definedName name="A" localSheetId="8">#REF!</definedName>
    <definedName name="A" localSheetId="70">#REF!</definedName>
    <definedName name="A" localSheetId="24">#REF!</definedName>
    <definedName name="A" localSheetId="40">#REF!</definedName>
    <definedName name="A" localSheetId="0">#REF!</definedName>
    <definedName name="A" localSheetId="15">#REF!</definedName>
    <definedName name="A" localSheetId="63">#REF!</definedName>
    <definedName name="A" localSheetId="31">#REF!</definedName>
    <definedName name="A" localSheetId="55">#REF!</definedName>
    <definedName name="A" localSheetId="77">#REF!</definedName>
    <definedName name="A" localSheetId="7">#REF!</definedName>
    <definedName name="A" localSheetId="69">#REF!</definedName>
    <definedName name="A" localSheetId="23">#REF!</definedName>
    <definedName name="A" localSheetId="39">#REF!</definedName>
    <definedName name="A" localSheetId="47">#REF!</definedName>
    <definedName name="A" localSheetId="71">#REF!</definedName>
    <definedName name="A">#REF!</definedName>
    <definedName name="aa" localSheetId="2">#REF!</definedName>
    <definedName name="aa" localSheetId="18">#REF!</definedName>
    <definedName name="aa" localSheetId="59">#REF!</definedName>
    <definedName name="aa" localSheetId="60">#REF!</definedName>
    <definedName name="aa" localSheetId="61">#REF!</definedName>
    <definedName name="aa" localSheetId="62">#REF!</definedName>
    <definedName name="aa" localSheetId="66">#REF!</definedName>
    <definedName name="aa" localSheetId="67">#REF!</definedName>
    <definedName name="aa" localSheetId="68">#REF!</definedName>
    <definedName name="aa" localSheetId="3">#REF!</definedName>
    <definedName name="aa" localSheetId="10">#REF!</definedName>
    <definedName name="aa" localSheetId="19">#REF!</definedName>
    <definedName name="aa" localSheetId="25">#REF!</definedName>
    <definedName name="aa" localSheetId="35">#REF!</definedName>
    <definedName name="aa" localSheetId="50">#REF!</definedName>
    <definedName name="aa" localSheetId="73">#REF!</definedName>
    <definedName name="aa" localSheetId="42">#REF!</definedName>
    <definedName name="aa" localSheetId="57">#REF!</definedName>
    <definedName name="aa" localSheetId="58">#REF!</definedName>
    <definedName name="aa" localSheetId="65">#REF!</definedName>
    <definedName name="aa" localSheetId="80">#REF!</definedName>
    <definedName name="aa" localSheetId="1">#REF!</definedName>
    <definedName name="aa" localSheetId="16">#REF!</definedName>
    <definedName name="aa" localSheetId="64">#REF!</definedName>
    <definedName name="aa" localSheetId="32">#REF!</definedName>
    <definedName name="aa" localSheetId="78">#REF!</definedName>
    <definedName name="aa" localSheetId="8">#REF!</definedName>
    <definedName name="aa" localSheetId="70">#REF!</definedName>
    <definedName name="aa" localSheetId="24">#REF!</definedName>
    <definedName name="aa" localSheetId="40">#REF!</definedName>
    <definedName name="aa" localSheetId="15">#REF!</definedName>
    <definedName name="aa" localSheetId="63">#REF!</definedName>
    <definedName name="aa" localSheetId="31">#REF!</definedName>
    <definedName name="aa" localSheetId="55">#REF!</definedName>
    <definedName name="aa" localSheetId="77">#REF!</definedName>
    <definedName name="aa" localSheetId="7">#REF!</definedName>
    <definedName name="aa" localSheetId="69">#REF!</definedName>
    <definedName name="aa" localSheetId="23">#REF!</definedName>
    <definedName name="aa" localSheetId="39">#REF!</definedName>
    <definedName name="aa" localSheetId="47">#REF!</definedName>
    <definedName name="aa" localSheetId="71">#REF!</definedName>
    <definedName name="aa">#REF!</definedName>
    <definedName name="athula" localSheetId="2">#REF!</definedName>
    <definedName name="athula" localSheetId="18">#REF!</definedName>
    <definedName name="athula" localSheetId="3">#REF!</definedName>
    <definedName name="athula" localSheetId="10">#REF!</definedName>
    <definedName name="athula" localSheetId="19">#REF!</definedName>
    <definedName name="athula" localSheetId="25">#REF!</definedName>
    <definedName name="athula" localSheetId="35">#REF!</definedName>
    <definedName name="athula" localSheetId="50">#REF!</definedName>
    <definedName name="athula" localSheetId="73">#REF!</definedName>
    <definedName name="athula" localSheetId="42">#REF!</definedName>
    <definedName name="athula" localSheetId="57">#REF!</definedName>
    <definedName name="athula" localSheetId="65">#REF!</definedName>
    <definedName name="athula" localSheetId="80">#REF!</definedName>
    <definedName name="athula" localSheetId="1">#REF!</definedName>
    <definedName name="athula" localSheetId="16">#REF!</definedName>
    <definedName name="athula" localSheetId="64">#REF!</definedName>
    <definedName name="athula" localSheetId="32">#REF!</definedName>
    <definedName name="athula" localSheetId="78">#REF!</definedName>
    <definedName name="athula" localSheetId="8">#REF!</definedName>
    <definedName name="athula" localSheetId="70">#REF!</definedName>
    <definedName name="athula" localSheetId="24">#REF!</definedName>
    <definedName name="athula" localSheetId="40">#REF!</definedName>
    <definedName name="athula" localSheetId="15">#REF!</definedName>
    <definedName name="athula" localSheetId="63">#REF!</definedName>
    <definedName name="athula" localSheetId="31">#REF!</definedName>
    <definedName name="athula" localSheetId="55">#REF!</definedName>
    <definedName name="athula" localSheetId="77">#REF!</definedName>
    <definedName name="athula" localSheetId="7">#REF!</definedName>
    <definedName name="athula" localSheetId="69">#REF!</definedName>
    <definedName name="athula" localSheetId="23">#REF!</definedName>
    <definedName name="athula" localSheetId="39">#REF!</definedName>
    <definedName name="athula" localSheetId="47">#REF!</definedName>
    <definedName name="athula" localSheetId="71">#REF!</definedName>
    <definedName name="athula">#REF!</definedName>
    <definedName name="B" localSheetId="2">#REF!</definedName>
    <definedName name="B" localSheetId="18">#REF!</definedName>
    <definedName name="B" localSheetId="59">#REF!</definedName>
    <definedName name="B" localSheetId="60">#REF!</definedName>
    <definedName name="B" localSheetId="61">#REF!</definedName>
    <definedName name="B" localSheetId="62">#REF!</definedName>
    <definedName name="B" localSheetId="66">#REF!</definedName>
    <definedName name="B" localSheetId="67">#REF!</definedName>
    <definedName name="B" localSheetId="68">#REF!</definedName>
    <definedName name="B" localSheetId="3">#REF!</definedName>
    <definedName name="B" localSheetId="10">#REF!</definedName>
    <definedName name="B" localSheetId="19">#REF!</definedName>
    <definedName name="B" localSheetId="25">#REF!</definedName>
    <definedName name="B" localSheetId="35">#REF!</definedName>
    <definedName name="B" localSheetId="50">#REF!</definedName>
    <definedName name="B" localSheetId="73">#REF!</definedName>
    <definedName name="B" localSheetId="42">#REF!</definedName>
    <definedName name="B" localSheetId="57">#REF!</definedName>
    <definedName name="B" localSheetId="58">#REF!</definedName>
    <definedName name="B" localSheetId="65">#REF!</definedName>
    <definedName name="B" localSheetId="80">#REF!</definedName>
    <definedName name="B" localSheetId="1">#REF!</definedName>
    <definedName name="B" localSheetId="16">#REF!</definedName>
    <definedName name="B" localSheetId="64">#REF!</definedName>
    <definedName name="B" localSheetId="32">#REF!</definedName>
    <definedName name="B" localSheetId="78">#REF!</definedName>
    <definedName name="B" localSheetId="8">#REF!</definedName>
    <definedName name="B" localSheetId="70">#REF!</definedName>
    <definedName name="B" localSheetId="24">#REF!</definedName>
    <definedName name="B" localSheetId="40">#REF!</definedName>
    <definedName name="B" localSheetId="15">#REF!</definedName>
    <definedName name="B" localSheetId="63">#REF!</definedName>
    <definedName name="B" localSheetId="31">#REF!</definedName>
    <definedName name="B" localSheetId="55">#REF!</definedName>
    <definedName name="B" localSheetId="77">#REF!</definedName>
    <definedName name="B" localSheetId="7">#REF!</definedName>
    <definedName name="B" localSheetId="69">#REF!</definedName>
    <definedName name="B" localSheetId="23">#REF!</definedName>
    <definedName name="B" localSheetId="39">#REF!</definedName>
    <definedName name="B" localSheetId="47">#REF!</definedName>
    <definedName name="B" localSheetId="71">#REF!</definedName>
    <definedName name="B">#REF!</definedName>
    <definedName name="bbb" localSheetId="2">#REF!</definedName>
    <definedName name="bbb" localSheetId="18">#REF!</definedName>
    <definedName name="bbb" localSheetId="59">#REF!</definedName>
    <definedName name="bbb" localSheetId="60">#REF!</definedName>
    <definedName name="bbb" localSheetId="61">#REF!</definedName>
    <definedName name="bbb" localSheetId="62">#REF!</definedName>
    <definedName name="bbb" localSheetId="66">#REF!</definedName>
    <definedName name="bbb" localSheetId="67">#REF!</definedName>
    <definedName name="bbb" localSheetId="68">#REF!</definedName>
    <definedName name="bbb" localSheetId="3">#REF!</definedName>
    <definedName name="bbb" localSheetId="10">#REF!</definedName>
    <definedName name="bbb" localSheetId="19">#REF!</definedName>
    <definedName name="bbb" localSheetId="25">#REF!</definedName>
    <definedName name="bbb" localSheetId="35">#REF!</definedName>
    <definedName name="bbb" localSheetId="50">#REF!</definedName>
    <definedName name="bbb" localSheetId="73">#REF!</definedName>
    <definedName name="bbb" localSheetId="42">#REF!</definedName>
    <definedName name="bbb" localSheetId="57">#REF!</definedName>
    <definedName name="bbb" localSheetId="58">#REF!</definedName>
    <definedName name="bbb" localSheetId="65">#REF!</definedName>
    <definedName name="bbb" localSheetId="80">#REF!</definedName>
    <definedName name="bbb" localSheetId="1">#REF!</definedName>
    <definedName name="bbb" localSheetId="16">#REF!</definedName>
    <definedName name="bbb" localSheetId="64">#REF!</definedName>
    <definedName name="bbb" localSheetId="32">#REF!</definedName>
    <definedName name="bbb" localSheetId="78">#REF!</definedName>
    <definedName name="bbb" localSheetId="8">#REF!</definedName>
    <definedName name="bbb" localSheetId="70">#REF!</definedName>
    <definedName name="bbb" localSheetId="24">#REF!</definedName>
    <definedName name="bbb" localSheetId="40">#REF!</definedName>
    <definedName name="bbb" localSheetId="15">#REF!</definedName>
    <definedName name="bbb" localSheetId="63">#REF!</definedName>
    <definedName name="bbb" localSheetId="31">#REF!</definedName>
    <definedName name="bbb" localSheetId="55">#REF!</definedName>
    <definedName name="bbb" localSheetId="77">#REF!</definedName>
    <definedName name="bbb" localSheetId="7">#REF!</definedName>
    <definedName name="bbb" localSheetId="69">#REF!</definedName>
    <definedName name="bbb" localSheetId="23">#REF!</definedName>
    <definedName name="bbb" localSheetId="39">#REF!</definedName>
    <definedName name="bbb" localSheetId="47">#REF!</definedName>
    <definedName name="bbb" localSheetId="71">#REF!</definedName>
    <definedName name="bbb">#REF!</definedName>
    <definedName name="bill1" localSheetId="2">#REF!</definedName>
    <definedName name="bill1" localSheetId="18">#REF!</definedName>
    <definedName name="bill1" localSheetId="59">#REF!</definedName>
    <definedName name="bill1" localSheetId="60">#REF!</definedName>
    <definedName name="bill1" localSheetId="61">#REF!</definedName>
    <definedName name="bill1" localSheetId="62">#REF!</definedName>
    <definedName name="bill1" localSheetId="66">#REF!</definedName>
    <definedName name="bill1" localSheetId="67">#REF!</definedName>
    <definedName name="bill1" localSheetId="68">#REF!</definedName>
    <definedName name="bill1" localSheetId="3">#REF!</definedName>
    <definedName name="bill1" localSheetId="10">#REF!</definedName>
    <definedName name="bill1" localSheetId="19">#REF!</definedName>
    <definedName name="bill1" localSheetId="25">#REF!</definedName>
    <definedName name="bill1" localSheetId="35">#REF!</definedName>
    <definedName name="bill1" localSheetId="50">#REF!</definedName>
    <definedName name="bill1" localSheetId="73">#REF!</definedName>
    <definedName name="bill1" localSheetId="42">#REF!</definedName>
    <definedName name="bill1" localSheetId="57">#REF!</definedName>
    <definedName name="bill1" localSheetId="58">#REF!</definedName>
    <definedName name="bill1" localSheetId="65">#REF!</definedName>
    <definedName name="bill1" localSheetId="80">#REF!</definedName>
    <definedName name="bill1" localSheetId="1">#REF!</definedName>
    <definedName name="bill1" localSheetId="16">#REF!</definedName>
    <definedName name="bill1" localSheetId="64">#REF!</definedName>
    <definedName name="bill1" localSheetId="32">#REF!</definedName>
    <definedName name="bill1" localSheetId="78">#REF!</definedName>
    <definedName name="bill1" localSheetId="8">#REF!</definedName>
    <definedName name="bill1" localSheetId="70">#REF!</definedName>
    <definedName name="bill1" localSheetId="24">#REF!</definedName>
    <definedName name="bill1" localSheetId="40">#REF!</definedName>
    <definedName name="bill1" localSheetId="15">#REF!</definedName>
    <definedName name="bill1" localSheetId="63">#REF!</definedName>
    <definedName name="bill1" localSheetId="31">#REF!</definedName>
    <definedName name="bill1" localSheetId="55">#REF!</definedName>
    <definedName name="bill1" localSheetId="77">#REF!</definedName>
    <definedName name="bill1" localSheetId="7">#REF!</definedName>
    <definedName name="bill1" localSheetId="69">#REF!</definedName>
    <definedName name="bill1" localSheetId="23">#REF!</definedName>
    <definedName name="bill1" localSheetId="39">#REF!</definedName>
    <definedName name="bill1" localSheetId="47">#REF!</definedName>
    <definedName name="bill1" localSheetId="71">#REF!</definedName>
    <definedName name="bill1">#REF!</definedName>
    <definedName name="C_" localSheetId="2">#REF!</definedName>
    <definedName name="C_" localSheetId="18">#REF!</definedName>
    <definedName name="C_" localSheetId="59">#REF!</definedName>
    <definedName name="C_" localSheetId="60">#REF!</definedName>
    <definedName name="C_" localSheetId="61">#REF!</definedName>
    <definedName name="C_" localSheetId="62">#REF!</definedName>
    <definedName name="C_" localSheetId="66">#REF!</definedName>
    <definedName name="C_" localSheetId="67">#REF!</definedName>
    <definedName name="C_" localSheetId="68">#REF!</definedName>
    <definedName name="C_" localSheetId="3">#REF!</definedName>
    <definedName name="C_" localSheetId="10">#REF!</definedName>
    <definedName name="C_" localSheetId="19">#REF!</definedName>
    <definedName name="C_" localSheetId="25">#REF!</definedName>
    <definedName name="C_" localSheetId="35">#REF!</definedName>
    <definedName name="C_" localSheetId="50">#REF!</definedName>
    <definedName name="C_" localSheetId="73">#REF!</definedName>
    <definedName name="C_" localSheetId="42">#REF!</definedName>
    <definedName name="C_" localSheetId="57">#REF!</definedName>
    <definedName name="C_" localSheetId="58">#REF!</definedName>
    <definedName name="C_" localSheetId="65">#REF!</definedName>
    <definedName name="C_" localSheetId="80">#REF!</definedName>
    <definedName name="C_" localSheetId="1">#REF!</definedName>
    <definedName name="C_" localSheetId="16">#REF!</definedName>
    <definedName name="C_" localSheetId="64">#REF!</definedName>
    <definedName name="C_" localSheetId="32">#REF!</definedName>
    <definedName name="C_" localSheetId="78">#REF!</definedName>
    <definedName name="C_" localSheetId="8">#REF!</definedName>
    <definedName name="C_" localSheetId="70">#REF!</definedName>
    <definedName name="C_" localSheetId="24">#REF!</definedName>
    <definedName name="C_" localSheetId="40">#REF!</definedName>
    <definedName name="C_" localSheetId="15">#REF!</definedName>
    <definedName name="C_" localSheetId="63">#REF!</definedName>
    <definedName name="C_" localSheetId="31">#REF!</definedName>
    <definedName name="C_" localSheetId="55">#REF!</definedName>
    <definedName name="C_" localSheetId="77">#REF!</definedName>
    <definedName name="C_" localSheetId="7">#REF!</definedName>
    <definedName name="C_" localSheetId="69">#REF!</definedName>
    <definedName name="C_" localSheetId="23">#REF!</definedName>
    <definedName name="C_" localSheetId="39">#REF!</definedName>
    <definedName name="C_" localSheetId="47">#REF!</definedName>
    <definedName name="C_" localSheetId="71">#REF!</definedName>
    <definedName name="C_">#REF!</definedName>
    <definedName name="Columns">[1]Schedules!$A$5:$E$25</definedName>
    <definedName name="d" localSheetId="2">#REF!</definedName>
    <definedName name="d" localSheetId="18">#REF!</definedName>
    <definedName name="d" localSheetId="59">#REF!</definedName>
    <definedName name="d" localSheetId="60">#REF!</definedName>
    <definedName name="d" localSheetId="61">#REF!</definedName>
    <definedName name="d" localSheetId="62">#REF!</definedName>
    <definedName name="d" localSheetId="66">#REF!</definedName>
    <definedName name="d" localSheetId="67">#REF!</definedName>
    <definedName name="d" localSheetId="68">#REF!</definedName>
    <definedName name="d" localSheetId="3">#REF!</definedName>
    <definedName name="d" localSheetId="10">#REF!</definedName>
    <definedName name="d" localSheetId="19">#REF!</definedName>
    <definedName name="d" localSheetId="25">#REF!</definedName>
    <definedName name="d" localSheetId="35">#REF!</definedName>
    <definedName name="d" localSheetId="50">#REF!</definedName>
    <definedName name="d" localSheetId="73">#REF!</definedName>
    <definedName name="d" localSheetId="42">#REF!</definedName>
    <definedName name="d" localSheetId="57">#REF!</definedName>
    <definedName name="d" localSheetId="58">#REF!</definedName>
    <definedName name="d" localSheetId="65">#REF!</definedName>
    <definedName name="d" localSheetId="80">#REF!</definedName>
    <definedName name="d" localSheetId="1">#REF!</definedName>
    <definedName name="d" localSheetId="16">#REF!</definedName>
    <definedName name="d" localSheetId="64">#REF!</definedName>
    <definedName name="d" localSheetId="32">#REF!</definedName>
    <definedName name="d" localSheetId="78">#REF!</definedName>
    <definedName name="d" localSheetId="8">#REF!</definedName>
    <definedName name="d" localSheetId="70">#REF!</definedName>
    <definedName name="d" localSheetId="24">#REF!</definedName>
    <definedName name="d" localSheetId="40">#REF!</definedName>
    <definedName name="d" localSheetId="0">#REF!</definedName>
    <definedName name="d" localSheetId="15">#REF!</definedName>
    <definedName name="d" localSheetId="63">#REF!</definedName>
    <definedName name="d" localSheetId="31">#REF!</definedName>
    <definedName name="d" localSheetId="55">#REF!</definedName>
    <definedName name="d" localSheetId="77">#REF!</definedName>
    <definedName name="d" localSheetId="7">#REF!</definedName>
    <definedName name="d" localSheetId="69">#REF!</definedName>
    <definedName name="d" localSheetId="23">#REF!</definedName>
    <definedName name="d" localSheetId="39">#REF!</definedName>
    <definedName name="d" localSheetId="47">#REF!</definedName>
    <definedName name="d" localSheetId="71">#REF!</definedName>
    <definedName name="d">#REF!</definedName>
    <definedName name="Excel_BuiltIn_Print_Area_12_1">"$#REF!.$A$2:$R$18"</definedName>
    <definedName name="Excel_BuiltIn_Print_Area_12_1_1">"$#REF!.$A$2:$R$12"</definedName>
    <definedName name="Excel_BuiltIn_Print_Area_12_1_1_1">"$#REF!.$A$2:$C$18"</definedName>
    <definedName name="Excel_BuiltIn_Print_Titles_2_1_1">"$#REF!.$A$4:$AMJ$6"</definedName>
    <definedName name="f" localSheetId="2">#REF!</definedName>
    <definedName name="f" localSheetId="18">#REF!</definedName>
    <definedName name="f" localSheetId="59">#REF!</definedName>
    <definedName name="f" localSheetId="60">#REF!</definedName>
    <definedName name="f" localSheetId="61">#REF!</definedName>
    <definedName name="f" localSheetId="62">#REF!</definedName>
    <definedName name="f" localSheetId="66">#REF!</definedName>
    <definedName name="f" localSheetId="67">#REF!</definedName>
    <definedName name="f" localSheetId="68">#REF!</definedName>
    <definedName name="f" localSheetId="3">#REF!</definedName>
    <definedName name="f" localSheetId="10">#REF!</definedName>
    <definedName name="f" localSheetId="19">#REF!</definedName>
    <definedName name="f" localSheetId="25">#REF!</definedName>
    <definedName name="f" localSheetId="35">#REF!</definedName>
    <definedName name="f" localSheetId="50">#REF!</definedName>
    <definedName name="f" localSheetId="73">#REF!</definedName>
    <definedName name="f" localSheetId="42">#REF!</definedName>
    <definedName name="f" localSheetId="57">#REF!</definedName>
    <definedName name="f" localSheetId="58">#REF!</definedName>
    <definedName name="f" localSheetId="65">#REF!</definedName>
    <definedName name="f" localSheetId="80">#REF!</definedName>
    <definedName name="f" localSheetId="1">#REF!</definedName>
    <definedName name="f" localSheetId="16">#REF!</definedName>
    <definedName name="f" localSheetId="64">#REF!</definedName>
    <definedName name="f" localSheetId="32">#REF!</definedName>
    <definedName name="f" localSheetId="78">#REF!</definedName>
    <definedName name="f" localSheetId="8">#REF!</definedName>
    <definedName name="f" localSheetId="70">#REF!</definedName>
    <definedName name="f" localSheetId="24">#REF!</definedName>
    <definedName name="f" localSheetId="40">#REF!</definedName>
    <definedName name="f" localSheetId="0">#REF!</definedName>
    <definedName name="f" localSheetId="15">#REF!</definedName>
    <definedName name="f" localSheetId="63">#REF!</definedName>
    <definedName name="f" localSheetId="31">#REF!</definedName>
    <definedName name="f" localSheetId="55">#REF!</definedName>
    <definedName name="f" localSheetId="77">#REF!</definedName>
    <definedName name="f" localSheetId="7">#REF!</definedName>
    <definedName name="f" localSheetId="69">#REF!</definedName>
    <definedName name="f" localSheetId="23">#REF!</definedName>
    <definedName name="f" localSheetId="39">#REF!</definedName>
    <definedName name="f" localSheetId="47">#REF!</definedName>
    <definedName name="f" localSheetId="71">#REF!</definedName>
    <definedName name="f">#REF!</definedName>
    <definedName name="fg" localSheetId="2">#REF!</definedName>
    <definedName name="fg" localSheetId="18">#REF!</definedName>
    <definedName name="fg" localSheetId="59">#REF!</definedName>
    <definedName name="fg" localSheetId="60">#REF!</definedName>
    <definedName name="fg" localSheetId="61">#REF!</definedName>
    <definedName name="fg" localSheetId="62">#REF!</definedName>
    <definedName name="fg" localSheetId="66">#REF!</definedName>
    <definedName name="fg" localSheetId="67">#REF!</definedName>
    <definedName name="fg" localSheetId="68">#REF!</definedName>
    <definedName name="fg" localSheetId="3">#REF!</definedName>
    <definedName name="fg" localSheetId="10">#REF!</definedName>
    <definedName name="fg" localSheetId="19">#REF!</definedName>
    <definedName name="fg" localSheetId="25">#REF!</definedName>
    <definedName name="fg" localSheetId="35">#REF!</definedName>
    <definedName name="fg" localSheetId="50">#REF!</definedName>
    <definedName name="fg" localSheetId="73">#REF!</definedName>
    <definedName name="fg" localSheetId="42">#REF!</definedName>
    <definedName name="fg" localSheetId="57">#REF!</definedName>
    <definedName name="fg" localSheetId="58">#REF!</definedName>
    <definedName name="fg" localSheetId="65">#REF!</definedName>
    <definedName name="fg" localSheetId="80">#REF!</definedName>
    <definedName name="fg" localSheetId="1">#REF!</definedName>
    <definedName name="fg" localSheetId="16">#REF!</definedName>
    <definedName name="fg" localSheetId="64">#REF!</definedName>
    <definedName name="fg" localSheetId="32">#REF!</definedName>
    <definedName name="fg" localSheetId="78">#REF!</definedName>
    <definedName name="fg" localSheetId="8">#REF!</definedName>
    <definedName name="fg" localSheetId="70">#REF!</definedName>
    <definedName name="fg" localSheetId="24">#REF!</definedName>
    <definedName name="fg" localSheetId="40">#REF!</definedName>
    <definedName name="fg" localSheetId="15">#REF!</definedName>
    <definedName name="fg" localSheetId="63">#REF!</definedName>
    <definedName name="fg" localSheetId="31">#REF!</definedName>
    <definedName name="fg" localSheetId="55">#REF!</definedName>
    <definedName name="fg" localSheetId="77">#REF!</definedName>
    <definedName name="fg" localSheetId="7">#REF!</definedName>
    <definedName name="fg" localSheetId="69">#REF!</definedName>
    <definedName name="fg" localSheetId="23">#REF!</definedName>
    <definedName name="fg" localSheetId="39">#REF!</definedName>
    <definedName name="fg" localSheetId="47">#REF!</definedName>
    <definedName name="fg" localSheetId="71">#REF!</definedName>
    <definedName name="fg">#REF!</definedName>
    <definedName name="g" localSheetId="2">#REF!</definedName>
    <definedName name="g" localSheetId="18">#REF!</definedName>
    <definedName name="g" localSheetId="59">#REF!</definedName>
    <definedName name="g" localSheetId="60">#REF!</definedName>
    <definedName name="g" localSheetId="61">#REF!</definedName>
    <definedName name="g" localSheetId="62">#REF!</definedName>
    <definedName name="g" localSheetId="66">#REF!</definedName>
    <definedName name="g" localSheetId="67">#REF!</definedName>
    <definedName name="g" localSheetId="68">#REF!</definedName>
    <definedName name="g" localSheetId="3">#REF!</definedName>
    <definedName name="g" localSheetId="10">#REF!</definedName>
    <definedName name="g" localSheetId="19">#REF!</definedName>
    <definedName name="g" localSheetId="25">#REF!</definedName>
    <definedName name="g" localSheetId="35">#REF!</definedName>
    <definedName name="g" localSheetId="50">#REF!</definedName>
    <definedName name="g" localSheetId="73">#REF!</definedName>
    <definedName name="g" localSheetId="42">#REF!</definedName>
    <definedName name="g" localSheetId="57">#REF!</definedName>
    <definedName name="g" localSheetId="58">#REF!</definedName>
    <definedName name="g" localSheetId="65">#REF!</definedName>
    <definedName name="g" localSheetId="80">#REF!</definedName>
    <definedName name="g" localSheetId="1">#REF!</definedName>
    <definedName name="g" localSheetId="16">#REF!</definedName>
    <definedName name="g" localSheetId="64">#REF!</definedName>
    <definedName name="g" localSheetId="32">#REF!</definedName>
    <definedName name="g" localSheetId="78">#REF!</definedName>
    <definedName name="g" localSheetId="8">#REF!</definedName>
    <definedName name="g" localSheetId="70">#REF!</definedName>
    <definedName name="g" localSheetId="24">#REF!</definedName>
    <definedName name="g" localSheetId="40">#REF!</definedName>
    <definedName name="g" localSheetId="15">#REF!</definedName>
    <definedName name="g" localSheetId="63">#REF!</definedName>
    <definedName name="g" localSheetId="31">#REF!</definedName>
    <definedName name="g" localSheetId="55">#REF!</definedName>
    <definedName name="g" localSheetId="77">#REF!</definedName>
    <definedName name="g" localSheetId="7">#REF!</definedName>
    <definedName name="g" localSheetId="69">#REF!</definedName>
    <definedName name="g" localSheetId="23">#REF!</definedName>
    <definedName name="g" localSheetId="39">#REF!</definedName>
    <definedName name="g" localSheetId="47">#REF!</definedName>
    <definedName name="g" localSheetId="71">#REF!</definedName>
    <definedName name="g">#REF!</definedName>
    <definedName name="H" localSheetId="2">#REF!</definedName>
    <definedName name="H" localSheetId="18">#REF!</definedName>
    <definedName name="H" localSheetId="59">#REF!</definedName>
    <definedName name="H" localSheetId="60">#REF!</definedName>
    <definedName name="H" localSheetId="61">#REF!</definedName>
    <definedName name="H" localSheetId="62">#REF!</definedName>
    <definedName name="H" localSheetId="66">#REF!</definedName>
    <definedName name="H" localSheetId="67">#REF!</definedName>
    <definedName name="H" localSheetId="68">#REF!</definedName>
    <definedName name="H" localSheetId="3">#REF!</definedName>
    <definedName name="H" localSheetId="10">#REF!</definedName>
    <definedName name="H" localSheetId="19">#REF!</definedName>
    <definedName name="H" localSheetId="25">#REF!</definedName>
    <definedName name="H" localSheetId="35">#REF!</definedName>
    <definedName name="H" localSheetId="50">#REF!</definedName>
    <definedName name="H" localSheetId="73">#REF!</definedName>
    <definedName name="H" localSheetId="42">#REF!</definedName>
    <definedName name="H" localSheetId="57">#REF!</definedName>
    <definedName name="H" localSheetId="58">#REF!</definedName>
    <definedName name="H" localSheetId="65">#REF!</definedName>
    <definedName name="H" localSheetId="80">#REF!</definedName>
    <definedName name="H" localSheetId="1">#REF!</definedName>
    <definedName name="H" localSheetId="16">#REF!</definedName>
    <definedName name="H" localSheetId="64">#REF!</definedName>
    <definedName name="H" localSheetId="32">#REF!</definedName>
    <definedName name="H" localSheetId="78">#REF!</definedName>
    <definedName name="H" localSheetId="8">#REF!</definedName>
    <definedName name="H" localSheetId="70">#REF!</definedName>
    <definedName name="H" localSheetId="24">#REF!</definedName>
    <definedName name="H" localSheetId="40">#REF!</definedName>
    <definedName name="H" localSheetId="15">#REF!</definedName>
    <definedName name="H" localSheetId="63">#REF!</definedName>
    <definedName name="H" localSheetId="31">#REF!</definedName>
    <definedName name="H" localSheetId="55">#REF!</definedName>
    <definedName name="H" localSheetId="77">#REF!</definedName>
    <definedName name="H" localSheetId="7">#REF!</definedName>
    <definedName name="H" localSheetId="69">#REF!</definedName>
    <definedName name="H" localSheetId="23">#REF!</definedName>
    <definedName name="H" localSheetId="39">#REF!</definedName>
    <definedName name="H" localSheetId="47">#REF!</definedName>
    <definedName name="H" localSheetId="71">#REF!</definedName>
    <definedName name="H">#REF!</definedName>
    <definedName name="I" localSheetId="2">#REF!</definedName>
    <definedName name="I" localSheetId="18">#REF!</definedName>
    <definedName name="I" localSheetId="59">#REF!</definedName>
    <definedName name="I" localSheetId="60">#REF!</definedName>
    <definedName name="I" localSheetId="61">#REF!</definedName>
    <definedName name="I" localSheetId="62">#REF!</definedName>
    <definedName name="I" localSheetId="66">#REF!</definedName>
    <definedName name="I" localSheetId="67">#REF!</definedName>
    <definedName name="I" localSheetId="68">#REF!</definedName>
    <definedName name="I" localSheetId="3">#REF!</definedName>
    <definedName name="I" localSheetId="10">#REF!</definedName>
    <definedName name="I" localSheetId="19">#REF!</definedName>
    <definedName name="I" localSheetId="25">#REF!</definedName>
    <definedName name="I" localSheetId="35">#REF!</definedName>
    <definedName name="I" localSheetId="50">#REF!</definedName>
    <definedName name="I" localSheetId="73">#REF!</definedName>
    <definedName name="I" localSheetId="42">#REF!</definedName>
    <definedName name="I" localSheetId="57">#REF!</definedName>
    <definedName name="I" localSheetId="58">#REF!</definedName>
    <definedName name="I" localSheetId="65">#REF!</definedName>
    <definedName name="I" localSheetId="80">#REF!</definedName>
    <definedName name="I" localSheetId="1">#REF!</definedName>
    <definedName name="I" localSheetId="16">#REF!</definedName>
    <definedName name="I" localSheetId="64">#REF!</definedName>
    <definedName name="I" localSheetId="32">#REF!</definedName>
    <definedName name="I" localSheetId="78">#REF!</definedName>
    <definedName name="I" localSheetId="8">#REF!</definedName>
    <definedName name="I" localSheetId="70">#REF!</definedName>
    <definedName name="I" localSheetId="24">#REF!</definedName>
    <definedName name="I" localSheetId="40">#REF!</definedName>
    <definedName name="I" localSheetId="15">#REF!</definedName>
    <definedName name="I" localSheetId="63">#REF!</definedName>
    <definedName name="I" localSheetId="31">#REF!</definedName>
    <definedName name="I" localSheetId="55">#REF!</definedName>
    <definedName name="I" localSheetId="77">#REF!</definedName>
    <definedName name="I" localSheetId="7">#REF!</definedName>
    <definedName name="I" localSheetId="69">#REF!</definedName>
    <definedName name="I" localSheetId="23">#REF!</definedName>
    <definedName name="I" localSheetId="39">#REF!</definedName>
    <definedName name="I" localSheetId="47">#REF!</definedName>
    <definedName name="I" localSheetId="71">#REF!</definedName>
    <definedName name="I">#REF!</definedName>
    <definedName name="InsD1" localSheetId="2">#REF!</definedName>
    <definedName name="InsD1" localSheetId="18">#REF!</definedName>
    <definedName name="InsD1" localSheetId="59">#REF!</definedName>
    <definedName name="InsD1" localSheetId="60">#REF!</definedName>
    <definedName name="InsD1" localSheetId="61">#REF!</definedName>
    <definedName name="InsD1" localSheetId="62">#REF!</definedName>
    <definedName name="InsD1" localSheetId="66">#REF!</definedName>
    <definedName name="InsD1" localSheetId="67">#REF!</definedName>
    <definedName name="InsD1" localSheetId="68">#REF!</definedName>
    <definedName name="InsD1" localSheetId="3">#REF!</definedName>
    <definedName name="InsD1" localSheetId="10">#REF!</definedName>
    <definedName name="InsD1" localSheetId="19">#REF!</definedName>
    <definedName name="InsD1" localSheetId="25">#REF!</definedName>
    <definedName name="InsD1" localSheetId="35">#REF!</definedName>
    <definedName name="InsD1" localSheetId="50">#REF!</definedName>
    <definedName name="InsD1" localSheetId="73">#REF!</definedName>
    <definedName name="InsD1" localSheetId="42">#REF!</definedName>
    <definedName name="InsD1" localSheetId="57">#REF!</definedName>
    <definedName name="InsD1" localSheetId="58">#REF!</definedName>
    <definedName name="InsD1" localSheetId="65">#REF!</definedName>
    <definedName name="InsD1" localSheetId="80">#REF!</definedName>
    <definedName name="InsD1" localSheetId="1">#REF!</definedName>
    <definedName name="InsD1" localSheetId="16">#REF!</definedName>
    <definedName name="InsD1" localSheetId="64">#REF!</definedName>
    <definedName name="InsD1" localSheetId="32">#REF!</definedName>
    <definedName name="InsD1" localSheetId="78">#REF!</definedName>
    <definedName name="InsD1" localSheetId="8">#REF!</definedName>
    <definedName name="InsD1" localSheetId="70">#REF!</definedName>
    <definedName name="InsD1" localSheetId="24">#REF!</definedName>
    <definedName name="InsD1" localSheetId="40">#REF!</definedName>
    <definedName name="InsD1" localSheetId="15">#REF!</definedName>
    <definedName name="InsD1" localSheetId="63">#REF!</definedName>
    <definedName name="InsD1" localSheetId="31">#REF!</definedName>
    <definedName name="InsD1" localSheetId="55">#REF!</definedName>
    <definedName name="InsD1" localSheetId="77">#REF!</definedName>
    <definedName name="InsD1" localSheetId="7">#REF!</definedName>
    <definedName name="InsD1" localSheetId="69">#REF!</definedName>
    <definedName name="InsD1" localSheetId="23">#REF!</definedName>
    <definedName name="InsD1" localSheetId="39">#REF!</definedName>
    <definedName name="InsD1" localSheetId="47">#REF!</definedName>
    <definedName name="InsD1" localSheetId="71">#REF!</definedName>
    <definedName name="InsD1">#REF!</definedName>
    <definedName name="InsD2" localSheetId="2">#REF!</definedName>
    <definedName name="InsD2" localSheetId="18">#REF!</definedName>
    <definedName name="InsD2" localSheetId="59">#REF!</definedName>
    <definedName name="InsD2" localSheetId="60">#REF!</definedName>
    <definedName name="InsD2" localSheetId="61">#REF!</definedName>
    <definedName name="InsD2" localSheetId="62">#REF!</definedName>
    <definedName name="InsD2" localSheetId="66">#REF!</definedName>
    <definedName name="InsD2" localSheetId="67">#REF!</definedName>
    <definedName name="InsD2" localSheetId="68">#REF!</definedName>
    <definedName name="InsD2" localSheetId="3">#REF!</definedName>
    <definedName name="InsD2" localSheetId="10">#REF!</definedName>
    <definedName name="InsD2" localSheetId="19">#REF!</definedName>
    <definedName name="InsD2" localSheetId="25">#REF!</definedName>
    <definedName name="InsD2" localSheetId="35">#REF!</definedName>
    <definedName name="InsD2" localSheetId="50">#REF!</definedName>
    <definedName name="InsD2" localSheetId="73">#REF!</definedName>
    <definedName name="InsD2" localSheetId="42">#REF!</definedName>
    <definedName name="InsD2" localSheetId="57">#REF!</definedName>
    <definedName name="InsD2" localSheetId="58">#REF!</definedName>
    <definedName name="InsD2" localSheetId="65">#REF!</definedName>
    <definedName name="InsD2" localSheetId="80">#REF!</definedName>
    <definedName name="InsD2" localSheetId="1">#REF!</definedName>
    <definedName name="InsD2" localSheetId="16">#REF!</definedName>
    <definedName name="InsD2" localSheetId="64">#REF!</definedName>
    <definedName name="InsD2" localSheetId="32">#REF!</definedName>
    <definedName name="InsD2" localSheetId="78">#REF!</definedName>
    <definedName name="InsD2" localSheetId="8">#REF!</definedName>
    <definedName name="InsD2" localSheetId="70">#REF!</definedName>
    <definedName name="InsD2" localSheetId="24">#REF!</definedName>
    <definedName name="InsD2" localSheetId="40">#REF!</definedName>
    <definedName name="InsD2" localSheetId="15">#REF!</definedName>
    <definedName name="InsD2" localSheetId="63">#REF!</definedName>
    <definedName name="InsD2" localSheetId="31">#REF!</definedName>
    <definedName name="InsD2" localSheetId="55">#REF!</definedName>
    <definedName name="InsD2" localSheetId="77">#REF!</definedName>
    <definedName name="InsD2" localSheetId="7">#REF!</definedName>
    <definedName name="InsD2" localSheetId="69">#REF!</definedName>
    <definedName name="InsD2" localSheetId="23">#REF!</definedName>
    <definedName name="InsD2" localSheetId="39">#REF!</definedName>
    <definedName name="InsD2" localSheetId="47">#REF!</definedName>
    <definedName name="InsD2" localSheetId="71">#REF!</definedName>
    <definedName name="InsD2">#REF!</definedName>
    <definedName name="j" localSheetId="2">#REF!</definedName>
    <definedName name="j" localSheetId="18">#REF!</definedName>
    <definedName name="j" localSheetId="59">#REF!</definedName>
    <definedName name="j" localSheetId="60">#REF!</definedName>
    <definedName name="j" localSheetId="61">#REF!</definedName>
    <definedName name="j" localSheetId="62">#REF!</definedName>
    <definedName name="j" localSheetId="66">#REF!</definedName>
    <definedName name="j" localSheetId="67">#REF!</definedName>
    <definedName name="j" localSheetId="68">#REF!</definedName>
    <definedName name="j" localSheetId="3">#REF!</definedName>
    <definedName name="j" localSheetId="10">#REF!</definedName>
    <definedName name="j" localSheetId="19">#REF!</definedName>
    <definedName name="j" localSheetId="25">#REF!</definedName>
    <definedName name="j" localSheetId="35">#REF!</definedName>
    <definedName name="j" localSheetId="50">#REF!</definedName>
    <definedName name="j" localSheetId="73">#REF!</definedName>
    <definedName name="j" localSheetId="42">#REF!</definedName>
    <definedName name="j" localSheetId="57">#REF!</definedName>
    <definedName name="j" localSheetId="58">#REF!</definedName>
    <definedName name="j" localSheetId="65">#REF!</definedName>
    <definedName name="j" localSheetId="80">#REF!</definedName>
    <definedName name="j" localSheetId="1">#REF!</definedName>
    <definedName name="j" localSheetId="16">#REF!</definedName>
    <definedName name="j" localSheetId="64">#REF!</definedName>
    <definedName name="j" localSheetId="32">#REF!</definedName>
    <definedName name="j" localSheetId="78">#REF!</definedName>
    <definedName name="j" localSheetId="8">#REF!</definedName>
    <definedName name="j" localSheetId="70">#REF!</definedName>
    <definedName name="j" localSheetId="24">#REF!</definedName>
    <definedName name="j" localSheetId="40">#REF!</definedName>
    <definedName name="j" localSheetId="15">#REF!</definedName>
    <definedName name="j" localSheetId="63">#REF!</definedName>
    <definedName name="j" localSheetId="31">#REF!</definedName>
    <definedName name="j" localSheetId="55">#REF!</definedName>
    <definedName name="j" localSheetId="77">#REF!</definedName>
    <definedName name="j" localSheetId="7">#REF!</definedName>
    <definedName name="j" localSheetId="69">#REF!</definedName>
    <definedName name="j" localSheetId="23">#REF!</definedName>
    <definedName name="j" localSheetId="39">#REF!</definedName>
    <definedName name="j" localSheetId="47">#REF!</definedName>
    <definedName name="j" localSheetId="71">#REF!</definedName>
    <definedName name="j">#REF!</definedName>
    <definedName name="plumb">[2]Schedules!$A$5:$E$25</definedName>
    <definedName name="_xlnm.Print_Area" localSheetId="4">'Bill 2.1'!$A$1:$G$11</definedName>
    <definedName name="_xlnm.Print_Area" localSheetId="5">'Bill 2.2'!$A$1:$G$14</definedName>
    <definedName name="_xlnm.Print_Area" localSheetId="6">'Bill 2.3'!$A$1:$G$28</definedName>
    <definedName name="_xlnm.Print_Area" localSheetId="11">'Bill 3.1'!$A$1:$G$14</definedName>
    <definedName name="_xlnm.Print_Area" localSheetId="12">'Bill 3.2'!$A$1:$G$15</definedName>
    <definedName name="_xlnm.Print_Area" localSheetId="13">'Bill 3.3'!$A$1:$G$29</definedName>
    <definedName name="_xlnm.Print_Area" localSheetId="14">'Bill 3.4'!$A$1:$G$7</definedName>
    <definedName name="_xlnm.Print_Area" localSheetId="20">'Bill 4.1.1'!$A$1:$G$14</definedName>
    <definedName name="_xlnm.Print_Area" localSheetId="21">'Bill 4.1.2'!$A$1:$G$15</definedName>
    <definedName name="_xlnm.Print_Area" localSheetId="22">'Bill 4.1.3'!$A$1:$G$48</definedName>
    <definedName name="_xlnm.Print_Area" localSheetId="26">'Bill 4.2.1 '!$A$1:$G$14</definedName>
    <definedName name="_xlnm.Print_Area" localSheetId="27">'Bill 4.2.2'!$A$1:$G$15</definedName>
    <definedName name="_xlnm.Print_Area" localSheetId="28">'Bill 4.2.3'!$A$1:$G$44</definedName>
    <definedName name="_xlnm.Print_Area" localSheetId="29">'Bill 4.2.4'!$A$1:$G$14</definedName>
    <definedName name="_xlnm.Print_Area" localSheetId="30">'Bill 4.2.5'!$A$1:$G$7</definedName>
    <definedName name="_xlnm.Print_Area" localSheetId="36">'Bill 5.1'!$A$1:$G$14</definedName>
    <definedName name="_xlnm.Print_Area" localSheetId="37">'Bill 5.2'!$A$1:$G$15</definedName>
    <definedName name="_xlnm.Print_Area" localSheetId="38">'Bill 5.3'!$A$1:$G$26</definedName>
    <definedName name="_xlnm.Print_Area" localSheetId="43">'Bill 6.1'!$A$1:$G$14</definedName>
    <definedName name="_xlnm.Print_Area" localSheetId="44">'Bill 6.2'!$A$1:$G$16</definedName>
    <definedName name="_xlnm.Print_Area" localSheetId="45">'Bill 6.3'!$A$1:$G$50</definedName>
    <definedName name="_xlnm.Print_Area" localSheetId="46">'Bill 6.4'!$A$1:$G$7</definedName>
    <definedName name="_xlnm.Print_Area" localSheetId="51">'Bill 7.1'!$A$1:$G$14</definedName>
    <definedName name="_xlnm.Print_Area" localSheetId="52">'Bill 7.2'!$A$1:$G$17</definedName>
    <definedName name="_xlnm.Print_Area" localSheetId="53">'Bill 7.3'!$A$1:$G$44</definedName>
    <definedName name="_xlnm.Print_Area" localSheetId="54">'Bill 7.4'!$A$1:$G$7</definedName>
    <definedName name="_xlnm.Print_Area" localSheetId="74">'Bill 9.1'!$A$1:$G$14</definedName>
    <definedName name="_xlnm.Print_Area" localSheetId="75">'Bill 9.2'!$A$1:$G$15</definedName>
    <definedName name="_xlnm.Print_Area" localSheetId="76">'Bill 9.3'!$A$1:$G$27</definedName>
    <definedName name="_xlnm.Print_Area" localSheetId="2">'Bill No 1'!$A$1:$G$49</definedName>
    <definedName name="_xlnm.Print_Area" localSheetId="18">'Bill No 4'!$A$1:$F$6</definedName>
    <definedName name="_xlnm.Print_Area" localSheetId="59">'Bill No 8.1.1'!$A$1:$G$15</definedName>
    <definedName name="_xlnm.Print_Area" localSheetId="60">'Bill No 8.1.2 '!$A$1:$H$16</definedName>
    <definedName name="_xlnm.Print_Area" localSheetId="61">'Bill No 8.1.3'!$A$1:$G$25</definedName>
    <definedName name="_xlnm.Print_Area" localSheetId="62">'Bill No 8.1.4'!$A$1:$H$9</definedName>
    <definedName name="_xlnm.Print_Area" localSheetId="66">'Bill No 8.2.1 '!$A$1:$G$15</definedName>
    <definedName name="_xlnm.Print_Area" localSheetId="67">'Bill No 8.2.2'!$A$1:$G$16</definedName>
    <definedName name="_xlnm.Print_Area" localSheetId="68">'Bill No 8.2.3 '!$A$1:$G$31</definedName>
    <definedName name="_xlnm.Print_Area" localSheetId="3">'Bill No. 2'!$A$1:$F$8</definedName>
    <definedName name="_xlnm.Print_Area" localSheetId="10">'Bill No. 3'!$A$1:$F$9</definedName>
    <definedName name="_xlnm.Print_Area" localSheetId="19">'Bill No. 4.1'!$A$1:$F$8</definedName>
    <definedName name="_xlnm.Print_Area" localSheetId="25">'Bill No. 4.2'!$A$1:$F$9</definedName>
    <definedName name="_xlnm.Print_Area" localSheetId="35">'Bill No. 5'!$A$1:$F$7</definedName>
    <definedName name="_xlnm.Print_Area" localSheetId="50">'Bill No. 7'!$A$1:$F$9</definedName>
    <definedName name="_xlnm.Print_Area" localSheetId="73">'Bill No. 9'!$A$1:$F$8</definedName>
    <definedName name="_xlnm.Print_Area" localSheetId="42">'Bill No.6'!$A$1:$F$9</definedName>
    <definedName name="_xlnm.Print_Area" localSheetId="57">'Bill No.8'!$A$1:$F$7</definedName>
    <definedName name="_xlnm.Print_Area" localSheetId="58">'Bill No.8.1 '!$A$1:$F$9</definedName>
    <definedName name="_xlnm.Print_Area" localSheetId="65">'Bill No.8.2'!$A$1:$F$9</definedName>
    <definedName name="_xlnm.Print_Area" localSheetId="80">'Bill No.Dayworks'!$A$1:$F$48</definedName>
    <definedName name="_xlnm.Print_Area" localSheetId="1">'Bill No.Sum '!$A$1:$F$6</definedName>
    <definedName name="_xlnm.Print_Area" localSheetId="0">'Grand Summary'!$B$1:$H$29</definedName>
    <definedName name="_xlnm.Print_Area" localSheetId="15">QTY!$A$1:$J$109</definedName>
    <definedName name="_xlnm.Print_Area" localSheetId="63">'QTY 83.1'!$A$1:$J$135</definedName>
    <definedName name="_xlnm.Print_Area" localSheetId="31">'QTY 85l2'!$A$1:$J$129</definedName>
    <definedName name="_xlnm.Print_Area" localSheetId="55">'QTY112'!$A$1:$J$113</definedName>
    <definedName name="_xlnm.Print_Area" localSheetId="77">'QTY115'!$A$1:$J$112</definedName>
    <definedName name="_xlnm.Print_Area" localSheetId="7">'QTY78'!$A$1:$J$111</definedName>
    <definedName name="_xlnm.Print_Area" localSheetId="69">'QTY83.2'!$A$1:$J$112</definedName>
    <definedName name="_xlnm.Print_Area" localSheetId="23">QTY85l1!$A$1:$J$179</definedName>
    <definedName name="_xlnm.Print_Area" localSheetId="39">'QTY86'!$A$1:$J$113</definedName>
    <definedName name="_xlnm.Print_Area" localSheetId="47">'QTY88'!$A$1:$J$125</definedName>
    <definedName name="PRINT_AREA_MI">#N/A</definedName>
    <definedName name="_xlnm.Print_Titles" localSheetId="6">'Bill 2.3'!$1:$2</definedName>
    <definedName name="_xlnm.Print_Titles" localSheetId="13">'Bill 3.3'!$1:$2</definedName>
    <definedName name="_xlnm.Print_Titles" localSheetId="22">'Bill 4.1.3'!$1:$2</definedName>
    <definedName name="_xlnm.Print_Titles" localSheetId="28">'Bill 4.2.3'!$1:$2</definedName>
    <definedName name="_xlnm.Print_Titles" localSheetId="38">'Bill 5.3'!$1:$2</definedName>
    <definedName name="_xlnm.Print_Titles" localSheetId="45">'Bill 6.3'!$1:$2</definedName>
    <definedName name="_xlnm.Print_Titles" localSheetId="53">'Bill 7.3'!$1:$2</definedName>
    <definedName name="_xlnm.Print_Titles" localSheetId="76">'Bill 9.3'!$1:$2</definedName>
    <definedName name="_xlnm.Print_Titles" localSheetId="2">'Bill No 1'!$1:$3</definedName>
    <definedName name="_xlnm.Print_Titles" localSheetId="18">'Bill No 4'!$2:$3</definedName>
    <definedName name="_xlnm.Print_Titles" localSheetId="59">#REF!</definedName>
    <definedName name="_xlnm.Print_Titles" localSheetId="60">#REF!</definedName>
    <definedName name="_xlnm.Print_Titles" localSheetId="61">'Bill No 8.1.3'!$1:$3</definedName>
    <definedName name="_xlnm.Print_Titles" localSheetId="62">'Bill No 8.1.4'!$1:$3</definedName>
    <definedName name="_xlnm.Print_Titles" localSheetId="66">#REF!</definedName>
    <definedName name="_xlnm.Print_Titles" localSheetId="67">#REF!</definedName>
    <definedName name="_xlnm.Print_Titles" localSheetId="68">'Bill No 8.2.3 '!$1:$3</definedName>
    <definedName name="_xlnm.Print_Titles" localSheetId="3">'Bill No. 2'!$2:$4</definedName>
    <definedName name="_xlnm.Print_Titles" localSheetId="10">'Bill No. 3'!$2:$4</definedName>
    <definedName name="_xlnm.Print_Titles" localSheetId="19">'Bill No. 4.1'!$2:$4</definedName>
    <definedName name="_xlnm.Print_Titles" localSheetId="25">'Bill No. 4.2'!$2:$3</definedName>
    <definedName name="_xlnm.Print_Titles" localSheetId="35">'Bill No. 5'!$2:$3</definedName>
    <definedName name="_xlnm.Print_Titles" localSheetId="50">'Bill No. 7'!$2:$4</definedName>
    <definedName name="_xlnm.Print_Titles" localSheetId="73">'Bill No. 9'!$2:$4</definedName>
    <definedName name="_xlnm.Print_Titles" localSheetId="42">'Bill No.6'!$2:$4</definedName>
    <definedName name="_xlnm.Print_Titles" localSheetId="57">'Bill No.8'!$2:$4</definedName>
    <definedName name="_xlnm.Print_Titles" localSheetId="58">'Bill No.8.1 '!$2:$4</definedName>
    <definedName name="_xlnm.Print_Titles" localSheetId="65">'Bill No.8.2'!$2:$4</definedName>
    <definedName name="_xlnm.Print_Titles" localSheetId="80">#REF!</definedName>
    <definedName name="_xlnm.Print_Titles" localSheetId="1">'Bill No.Sum '!$2:$4</definedName>
    <definedName name="_xlnm.Print_Titles" localSheetId="16">#REF!</definedName>
    <definedName name="_xlnm.Print_Titles" localSheetId="64">#REF!</definedName>
    <definedName name="_xlnm.Print_Titles" localSheetId="32">#REF!</definedName>
    <definedName name="_xlnm.Print_Titles" localSheetId="78">#REF!</definedName>
    <definedName name="_xlnm.Print_Titles" localSheetId="8">#REF!</definedName>
    <definedName name="_xlnm.Print_Titles" localSheetId="70">#REF!</definedName>
    <definedName name="_xlnm.Print_Titles" localSheetId="24">#REF!</definedName>
    <definedName name="_xlnm.Print_Titles" localSheetId="40">#REF!</definedName>
    <definedName name="_xlnm.Print_Titles" localSheetId="0">'Grand Summary'!$2:$10</definedName>
    <definedName name="_xlnm.Print_Titles" localSheetId="15">#REF!</definedName>
    <definedName name="_xlnm.Print_Titles" localSheetId="63">#REF!</definedName>
    <definedName name="_xlnm.Print_Titles" localSheetId="31">#REF!</definedName>
    <definedName name="_xlnm.Print_Titles" localSheetId="55">#REF!</definedName>
    <definedName name="_xlnm.Print_Titles" localSheetId="77">#REF!</definedName>
    <definedName name="_xlnm.Print_Titles" localSheetId="7">#REF!</definedName>
    <definedName name="_xlnm.Print_Titles" localSheetId="69">#REF!</definedName>
    <definedName name="_xlnm.Print_Titles" localSheetId="23">#REF!</definedName>
    <definedName name="_xlnm.Print_Titles" localSheetId="39">#REF!</definedName>
    <definedName name="_xlnm.Print_Titles" localSheetId="47">#REF!</definedName>
    <definedName name="_xlnm.Print_Titles" localSheetId="71">#REF!</definedName>
    <definedName name="_xlnm.Print_Titles">#REF!</definedName>
    <definedName name="PRINT_TITLES_MI" localSheetId="2">#REF!</definedName>
    <definedName name="PRINT_TITLES_MI" localSheetId="18">#REF!</definedName>
    <definedName name="PRINT_TITLES_MI" localSheetId="59">#REF!</definedName>
    <definedName name="PRINT_TITLES_MI" localSheetId="60">#REF!</definedName>
    <definedName name="PRINT_TITLES_MI" localSheetId="61">#REF!</definedName>
    <definedName name="PRINT_TITLES_MI" localSheetId="62">#REF!</definedName>
    <definedName name="PRINT_TITLES_MI" localSheetId="66">#REF!</definedName>
    <definedName name="PRINT_TITLES_MI" localSheetId="67">#REF!</definedName>
    <definedName name="PRINT_TITLES_MI" localSheetId="68">#REF!</definedName>
    <definedName name="PRINT_TITLES_MI" localSheetId="3">#REF!</definedName>
    <definedName name="PRINT_TITLES_MI" localSheetId="10">#REF!</definedName>
    <definedName name="PRINT_TITLES_MI" localSheetId="19">#REF!</definedName>
    <definedName name="PRINT_TITLES_MI" localSheetId="25">#REF!</definedName>
    <definedName name="PRINT_TITLES_MI" localSheetId="35">#REF!</definedName>
    <definedName name="PRINT_TITLES_MI" localSheetId="50">#REF!</definedName>
    <definedName name="PRINT_TITLES_MI" localSheetId="73">#REF!</definedName>
    <definedName name="PRINT_TITLES_MI" localSheetId="42">#REF!</definedName>
    <definedName name="PRINT_TITLES_MI" localSheetId="57">#REF!</definedName>
    <definedName name="PRINT_TITLES_MI" localSheetId="58">#REF!</definedName>
    <definedName name="PRINT_TITLES_MI" localSheetId="65">#REF!</definedName>
    <definedName name="PRINT_TITLES_MI" localSheetId="80">#REF!</definedName>
    <definedName name="PRINT_TITLES_MI" localSheetId="1">#REF!</definedName>
    <definedName name="PRINT_TITLES_MI" localSheetId="16">#REF!</definedName>
    <definedName name="PRINT_TITLES_MI" localSheetId="64">#REF!</definedName>
    <definedName name="PRINT_TITLES_MI" localSheetId="32">#REF!</definedName>
    <definedName name="PRINT_TITLES_MI" localSheetId="78">#REF!</definedName>
    <definedName name="PRINT_TITLES_MI" localSheetId="8">#REF!</definedName>
    <definedName name="PRINT_TITLES_MI" localSheetId="70">#REF!</definedName>
    <definedName name="PRINT_TITLES_MI" localSheetId="24">#REF!</definedName>
    <definedName name="PRINT_TITLES_MI" localSheetId="40">#REF!</definedName>
    <definedName name="PRINT_TITLES_MI" localSheetId="15">#REF!</definedName>
    <definedName name="PRINT_TITLES_MI" localSheetId="63">#REF!</definedName>
    <definedName name="PRINT_TITLES_MI" localSheetId="31">#REF!</definedName>
    <definedName name="PRINT_TITLES_MI" localSheetId="55">#REF!</definedName>
    <definedName name="PRINT_TITLES_MI" localSheetId="77">#REF!</definedName>
    <definedName name="PRINT_TITLES_MI" localSheetId="7">#REF!</definedName>
    <definedName name="PRINT_TITLES_MI" localSheetId="69">#REF!</definedName>
    <definedName name="PRINT_TITLES_MI" localSheetId="23">#REF!</definedName>
    <definedName name="PRINT_TITLES_MI" localSheetId="39">#REF!</definedName>
    <definedName name="PRINT_TITLES_MI" localSheetId="47">#REF!</definedName>
    <definedName name="PRINT_TITLES_MI" localSheetId="71">#REF!</definedName>
    <definedName name="PRINT_TITLES_MI">#REF!</definedName>
    <definedName name="QTY" localSheetId="2">#REF!</definedName>
    <definedName name="QTY" localSheetId="18">#REF!</definedName>
    <definedName name="QTY" localSheetId="3">#REF!</definedName>
    <definedName name="QTY" localSheetId="10">#REF!</definedName>
    <definedName name="QTY" localSheetId="19">#REF!</definedName>
    <definedName name="QTY" localSheetId="25">#REF!</definedName>
    <definedName name="QTY" localSheetId="35">#REF!</definedName>
    <definedName name="QTY" localSheetId="50">#REF!</definedName>
    <definedName name="QTY" localSheetId="73">#REF!</definedName>
    <definedName name="QTY" localSheetId="42">#REF!</definedName>
    <definedName name="QTY" localSheetId="80">#REF!</definedName>
    <definedName name="QTY" localSheetId="1">#REF!</definedName>
    <definedName name="QTY" localSheetId="16">#REF!</definedName>
    <definedName name="QTY" localSheetId="64">#REF!</definedName>
    <definedName name="QTY" localSheetId="32">#REF!</definedName>
    <definedName name="QTY" localSheetId="78">#REF!</definedName>
    <definedName name="QTY" localSheetId="8">#REF!</definedName>
    <definedName name="QTY" localSheetId="70">#REF!</definedName>
    <definedName name="QTY" localSheetId="24">#REF!</definedName>
    <definedName name="QTY" localSheetId="40">#REF!</definedName>
    <definedName name="QTY" localSheetId="15">#REF!</definedName>
    <definedName name="QTY" localSheetId="63">#REF!</definedName>
    <definedName name="QTY" localSheetId="31">#REF!</definedName>
    <definedName name="QTY" localSheetId="55">#REF!</definedName>
    <definedName name="QTY" localSheetId="77">#REF!</definedName>
    <definedName name="QTY" localSheetId="7">#REF!</definedName>
    <definedName name="QTY" localSheetId="69">#REF!</definedName>
    <definedName name="QTY" localSheetId="23">#REF!</definedName>
    <definedName name="QTY" localSheetId="39">#REF!</definedName>
    <definedName name="QTY" localSheetId="47">#REF!</definedName>
    <definedName name="QTY" localSheetId="71">#REF!</definedName>
    <definedName name="QTY">#REF!</definedName>
    <definedName name="s" localSheetId="2">#REF!</definedName>
    <definedName name="s" localSheetId="18">#REF!</definedName>
    <definedName name="s" localSheetId="59">#REF!</definedName>
    <definedName name="s" localSheetId="60">#REF!</definedName>
    <definedName name="s" localSheetId="61">#REF!</definedName>
    <definedName name="s" localSheetId="62">#REF!</definedName>
    <definedName name="s" localSheetId="66">#REF!</definedName>
    <definedName name="s" localSheetId="67">#REF!</definedName>
    <definedName name="s" localSheetId="68">#REF!</definedName>
    <definedName name="s" localSheetId="3">#REF!</definedName>
    <definedName name="s" localSheetId="10">#REF!</definedName>
    <definedName name="s" localSheetId="19">#REF!</definedName>
    <definedName name="s" localSheetId="25">#REF!</definedName>
    <definedName name="s" localSheetId="35">#REF!</definedName>
    <definedName name="s" localSheetId="50">#REF!</definedName>
    <definedName name="s" localSheetId="73">#REF!</definedName>
    <definedName name="s" localSheetId="42">#REF!</definedName>
    <definedName name="s" localSheetId="57">#REF!</definedName>
    <definedName name="s" localSheetId="58">#REF!</definedName>
    <definedName name="s" localSheetId="65">#REF!</definedName>
    <definedName name="s" localSheetId="80">#REF!</definedName>
    <definedName name="s" localSheetId="1">#REF!</definedName>
    <definedName name="s" localSheetId="16">#REF!</definedName>
    <definedName name="s" localSheetId="64">#REF!</definedName>
    <definedName name="s" localSheetId="32">#REF!</definedName>
    <definedName name="s" localSheetId="78">#REF!</definedName>
    <definedName name="s" localSheetId="8">#REF!</definedName>
    <definedName name="s" localSheetId="70">#REF!</definedName>
    <definedName name="s" localSheetId="24">#REF!</definedName>
    <definedName name="s" localSheetId="40">#REF!</definedName>
    <definedName name="s" localSheetId="15">#REF!</definedName>
    <definedName name="s" localSheetId="63">#REF!</definedName>
    <definedName name="s" localSheetId="31">#REF!</definedName>
    <definedName name="s" localSheetId="55">#REF!</definedName>
    <definedName name="s" localSheetId="77">#REF!</definedName>
    <definedName name="s" localSheetId="7">#REF!</definedName>
    <definedName name="s" localSheetId="69">#REF!</definedName>
    <definedName name="s" localSheetId="23">#REF!</definedName>
    <definedName name="s" localSheetId="39">#REF!</definedName>
    <definedName name="s" localSheetId="47">#REF!</definedName>
    <definedName name="s" localSheetId="71">#REF!</definedName>
    <definedName name="s">#REF!</definedName>
    <definedName name="Stmms">[3]Schedules!$A$5:$E$25</definedName>
    <definedName name="Sum" localSheetId="2">#REF!</definedName>
    <definedName name="Sum" localSheetId="18">#REF!</definedName>
    <definedName name="Sum" localSheetId="59">#REF!</definedName>
    <definedName name="Sum" localSheetId="60">#REF!</definedName>
    <definedName name="Sum" localSheetId="61">#REF!</definedName>
    <definedName name="Sum" localSheetId="62">#REF!</definedName>
    <definedName name="Sum" localSheetId="66">#REF!</definedName>
    <definedName name="Sum" localSheetId="67">#REF!</definedName>
    <definedName name="Sum" localSheetId="68">#REF!</definedName>
    <definedName name="Sum" localSheetId="3">#REF!</definedName>
    <definedName name="Sum" localSheetId="10">#REF!</definedName>
    <definedName name="Sum" localSheetId="19">#REF!</definedName>
    <definedName name="Sum" localSheetId="25">#REF!</definedName>
    <definedName name="Sum" localSheetId="35">#REF!</definedName>
    <definedName name="Sum" localSheetId="50">#REF!</definedName>
    <definedName name="Sum" localSheetId="73">#REF!</definedName>
    <definedName name="Sum" localSheetId="42">#REF!</definedName>
    <definedName name="Sum" localSheetId="57">#REF!</definedName>
    <definedName name="Sum" localSheetId="58">#REF!</definedName>
    <definedName name="Sum" localSheetId="65">#REF!</definedName>
    <definedName name="Sum" localSheetId="80">#REF!</definedName>
    <definedName name="Sum" localSheetId="1">#REF!</definedName>
    <definedName name="Sum" localSheetId="16">#REF!</definedName>
    <definedName name="Sum" localSheetId="64">#REF!</definedName>
    <definedName name="Sum" localSheetId="32">#REF!</definedName>
    <definedName name="Sum" localSheetId="78">#REF!</definedName>
    <definedName name="Sum" localSheetId="8">#REF!</definedName>
    <definedName name="Sum" localSheetId="70">#REF!</definedName>
    <definedName name="Sum" localSheetId="24">#REF!</definedName>
    <definedName name="Sum" localSheetId="40">#REF!</definedName>
    <definedName name="Sum" localSheetId="0">#REF!</definedName>
    <definedName name="Sum" localSheetId="15">#REF!</definedName>
    <definedName name="Sum" localSheetId="63">#REF!</definedName>
    <definedName name="Sum" localSheetId="31">#REF!</definedName>
    <definedName name="Sum" localSheetId="55">#REF!</definedName>
    <definedName name="Sum" localSheetId="77">#REF!</definedName>
    <definedName name="Sum" localSheetId="7">#REF!</definedName>
    <definedName name="Sum" localSheetId="69">#REF!</definedName>
    <definedName name="Sum" localSheetId="23">#REF!</definedName>
    <definedName name="Sum" localSheetId="39">#REF!</definedName>
    <definedName name="Sum" localSheetId="47">#REF!</definedName>
    <definedName name="Sum" localSheetId="71">#REF!</definedName>
    <definedName name="Sum">#REF!</definedName>
    <definedName name="SupD1" localSheetId="2">#REF!</definedName>
    <definedName name="SupD1" localSheetId="18">#REF!</definedName>
    <definedName name="SupD1" localSheetId="59">#REF!</definedName>
    <definedName name="SupD1" localSheetId="60">#REF!</definedName>
    <definedName name="SupD1" localSheetId="61">#REF!</definedName>
    <definedName name="SupD1" localSheetId="62">#REF!</definedName>
    <definedName name="SupD1" localSheetId="66">#REF!</definedName>
    <definedName name="SupD1" localSheetId="67">#REF!</definedName>
    <definedName name="SupD1" localSheetId="68">#REF!</definedName>
    <definedName name="SupD1" localSheetId="3">#REF!</definedName>
    <definedName name="SupD1" localSheetId="10">#REF!</definedName>
    <definedName name="SupD1" localSheetId="19">#REF!</definedName>
    <definedName name="SupD1" localSheetId="25">#REF!</definedName>
    <definedName name="SupD1" localSheetId="35">#REF!</definedName>
    <definedName name="SupD1" localSheetId="50">#REF!</definedName>
    <definedName name="SupD1" localSheetId="73">#REF!</definedName>
    <definedName name="SupD1" localSheetId="42">#REF!</definedName>
    <definedName name="SupD1" localSheetId="57">#REF!</definedName>
    <definedName name="SupD1" localSheetId="58">#REF!</definedName>
    <definedName name="SupD1" localSheetId="65">#REF!</definedName>
    <definedName name="SupD1" localSheetId="80">#REF!</definedName>
    <definedName name="SupD1" localSheetId="1">#REF!</definedName>
    <definedName name="SupD1" localSheetId="16">#REF!</definedName>
    <definedName name="SupD1" localSheetId="64">#REF!</definedName>
    <definedName name="SupD1" localSheetId="32">#REF!</definedName>
    <definedName name="SupD1" localSheetId="78">#REF!</definedName>
    <definedName name="SupD1" localSheetId="8">#REF!</definedName>
    <definedName name="SupD1" localSheetId="70">#REF!</definedName>
    <definedName name="SupD1" localSheetId="24">#REF!</definedName>
    <definedName name="SupD1" localSheetId="40">#REF!</definedName>
    <definedName name="SupD1" localSheetId="15">#REF!</definedName>
    <definedName name="SupD1" localSheetId="63">#REF!</definedName>
    <definedName name="SupD1" localSheetId="31">#REF!</definedName>
    <definedName name="SupD1" localSheetId="55">#REF!</definedName>
    <definedName name="SupD1" localSheetId="77">#REF!</definedName>
    <definedName name="SupD1" localSheetId="7">#REF!</definedName>
    <definedName name="SupD1" localSheetId="69">#REF!</definedName>
    <definedName name="SupD1" localSheetId="23">#REF!</definedName>
    <definedName name="SupD1" localSheetId="39">#REF!</definedName>
    <definedName name="SupD1" localSheetId="47">#REF!</definedName>
    <definedName name="SupD1" localSheetId="71">#REF!</definedName>
    <definedName name="SupD1">#REF!</definedName>
    <definedName name="SupD2" localSheetId="2">#REF!</definedName>
    <definedName name="SupD2" localSheetId="18">#REF!</definedName>
    <definedName name="SupD2" localSheetId="59">#REF!</definedName>
    <definedName name="SupD2" localSheetId="60">#REF!</definedName>
    <definedName name="SupD2" localSheetId="61">#REF!</definedName>
    <definedName name="SupD2" localSheetId="62">#REF!</definedName>
    <definedName name="SupD2" localSheetId="66">#REF!</definedName>
    <definedName name="SupD2" localSheetId="67">#REF!</definedName>
    <definedName name="SupD2" localSheetId="68">#REF!</definedName>
    <definedName name="SupD2" localSheetId="3">#REF!</definedName>
    <definedName name="SupD2" localSheetId="10">#REF!</definedName>
    <definedName name="SupD2" localSheetId="19">#REF!</definedName>
    <definedName name="SupD2" localSheetId="25">#REF!</definedName>
    <definedName name="SupD2" localSheetId="35">#REF!</definedName>
    <definedName name="SupD2" localSheetId="50">#REF!</definedName>
    <definedName name="SupD2" localSheetId="73">#REF!</definedName>
    <definedName name="SupD2" localSheetId="42">#REF!</definedName>
    <definedName name="SupD2" localSheetId="57">#REF!</definedName>
    <definedName name="SupD2" localSheetId="58">#REF!</definedName>
    <definedName name="SupD2" localSheetId="65">#REF!</definedName>
    <definedName name="SupD2" localSheetId="80">#REF!</definedName>
    <definedName name="SupD2" localSheetId="1">#REF!</definedName>
    <definedName name="SupD2" localSheetId="16">#REF!</definedName>
    <definedName name="SupD2" localSheetId="64">#REF!</definedName>
    <definedName name="SupD2" localSheetId="32">#REF!</definedName>
    <definedName name="SupD2" localSheetId="78">#REF!</definedName>
    <definedName name="SupD2" localSheetId="8">#REF!</definedName>
    <definedName name="SupD2" localSheetId="70">#REF!</definedName>
    <definedName name="SupD2" localSheetId="24">#REF!</definedName>
    <definedName name="SupD2" localSheetId="40">#REF!</definedName>
    <definedName name="SupD2" localSheetId="15">#REF!</definedName>
    <definedName name="SupD2" localSheetId="63">#REF!</definedName>
    <definedName name="SupD2" localSheetId="31">#REF!</definedName>
    <definedName name="SupD2" localSheetId="55">#REF!</definedName>
    <definedName name="SupD2" localSheetId="77">#REF!</definedName>
    <definedName name="SupD2" localSheetId="7">#REF!</definedName>
    <definedName name="SupD2" localSheetId="69">#REF!</definedName>
    <definedName name="SupD2" localSheetId="23">#REF!</definedName>
    <definedName name="SupD2" localSheetId="39">#REF!</definedName>
    <definedName name="SupD2" localSheetId="47">#REF!</definedName>
    <definedName name="SupD2" localSheetId="71">#REF!</definedName>
    <definedName name="SupD2">#REF!</definedName>
    <definedName name="w" localSheetId="2">#REF!</definedName>
    <definedName name="w" localSheetId="18">#REF!</definedName>
    <definedName name="w" localSheetId="59">#REF!</definedName>
    <definedName name="w" localSheetId="60">#REF!</definedName>
    <definedName name="w" localSheetId="61">#REF!</definedName>
    <definedName name="w" localSheetId="62">#REF!</definedName>
    <definedName name="w" localSheetId="66">#REF!</definedName>
    <definedName name="w" localSheetId="67">#REF!</definedName>
    <definedName name="w" localSheetId="68">#REF!</definedName>
    <definedName name="w" localSheetId="3">#REF!</definedName>
    <definedName name="w" localSheetId="10">#REF!</definedName>
    <definedName name="w" localSheetId="19">#REF!</definedName>
    <definedName name="w" localSheetId="25">#REF!</definedName>
    <definedName name="w" localSheetId="35">#REF!</definedName>
    <definedName name="w" localSheetId="50">#REF!</definedName>
    <definedName name="w" localSheetId="73">#REF!</definedName>
    <definedName name="w" localSheetId="42">#REF!</definedName>
    <definedName name="w" localSheetId="57">#REF!</definedName>
    <definedName name="w" localSheetId="58">#REF!</definedName>
    <definedName name="w" localSheetId="65">#REF!</definedName>
    <definedName name="w" localSheetId="80">#REF!</definedName>
    <definedName name="w" localSheetId="1">#REF!</definedName>
    <definedName name="w" localSheetId="16">#REF!</definedName>
    <definedName name="w" localSheetId="64">#REF!</definedName>
    <definedName name="w" localSheetId="32">#REF!</definedName>
    <definedName name="w" localSheetId="78">#REF!</definedName>
    <definedName name="w" localSheetId="8">#REF!</definedName>
    <definedName name="w" localSheetId="70">#REF!</definedName>
    <definedName name="w" localSheetId="24">#REF!</definedName>
    <definedName name="w" localSheetId="40">#REF!</definedName>
    <definedName name="w" localSheetId="15">#REF!</definedName>
    <definedName name="w" localSheetId="63">#REF!</definedName>
    <definedName name="w" localSheetId="31">#REF!</definedName>
    <definedName name="w" localSheetId="55">#REF!</definedName>
    <definedName name="w" localSheetId="77">#REF!</definedName>
    <definedName name="w" localSheetId="7">#REF!</definedName>
    <definedName name="w" localSheetId="69">#REF!</definedName>
    <definedName name="w" localSheetId="23">#REF!</definedName>
    <definedName name="w" localSheetId="39">#REF!</definedName>
    <definedName name="w" localSheetId="47">#REF!</definedName>
    <definedName name="w" localSheetId="71">#REF!</definedName>
    <definedName nam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 i="38" l="1"/>
  <c r="A1" i="2"/>
  <c r="A1" i="12" s="1"/>
  <c r="E15" i="82"/>
  <c r="E18" i="82" s="1"/>
  <c r="E25" i="82" s="1"/>
  <c r="E33" i="82" s="1"/>
  <c r="E36" i="82" s="1"/>
  <c r="E41" i="82" s="1"/>
  <c r="A1" i="20" l="1"/>
  <c r="G24" i="82"/>
  <c r="H7" i="82"/>
  <c r="H6" i="82"/>
  <c r="H5" i="82"/>
  <c r="L49" i="82"/>
  <c r="L42" i="82"/>
  <c r="L41" i="82"/>
  <c r="L40" i="82"/>
  <c r="G40" i="82"/>
  <c r="L39" i="82"/>
  <c r="L38" i="82"/>
  <c r="L37" i="82"/>
  <c r="L36" i="82"/>
  <c r="L35" i="82"/>
  <c r="L34" i="82"/>
  <c r="H29" i="82"/>
  <c r="J28" i="82"/>
  <c r="J25" i="82"/>
  <c r="J18" i="82"/>
  <c r="H4" i="82"/>
  <c r="K2" i="82"/>
  <c r="A1" i="27" l="1"/>
  <c r="A1" i="37" s="1"/>
  <c r="A1" i="44" s="1"/>
  <c r="A1" i="52" s="1"/>
  <c r="A1" i="59" s="1"/>
  <c r="A1" i="60" s="1"/>
  <c r="A1" i="67" s="1"/>
  <c r="A1" i="75" s="1"/>
  <c r="A1" i="21"/>
  <c r="C57" i="82"/>
  <c r="C8" i="81" l="1"/>
  <c r="C6" i="81"/>
  <c r="C5" i="81"/>
  <c r="H242" i="80"/>
  <c r="D240" i="80"/>
  <c r="D239" i="80"/>
  <c r="C233" i="80"/>
  <c r="E239" i="80" s="1"/>
  <c r="O201" i="80"/>
  <c r="P201" i="80" s="1"/>
  <c r="N201" i="80"/>
  <c r="E201" i="80"/>
  <c r="D202" i="80" s="1"/>
  <c r="D199" i="80"/>
  <c r="D198" i="80"/>
  <c r="Q197" i="80" s="1"/>
  <c r="N197" i="80"/>
  <c r="O197" i="80" s="1"/>
  <c r="P197" i="80" s="1"/>
  <c r="K197" i="80"/>
  <c r="G197" i="80"/>
  <c r="D195" i="80"/>
  <c r="D194" i="80"/>
  <c r="Q193" i="80" s="1"/>
  <c r="N193" i="80"/>
  <c r="K193" i="80"/>
  <c r="G193" i="80"/>
  <c r="D191" i="80"/>
  <c r="D190" i="80"/>
  <c r="J189" i="80" s="1"/>
  <c r="N189" i="80"/>
  <c r="K189" i="80"/>
  <c r="G189" i="80"/>
  <c r="D187" i="80"/>
  <c r="D186" i="80"/>
  <c r="J185" i="80" s="1"/>
  <c r="N185" i="80"/>
  <c r="K185" i="80"/>
  <c r="G185" i="80"/>
  <c r="D183" i="80"/>
  <c r="M182" i="80"/>
  <c r="R182" i="80" s="1"/>
  <c r="S182" i="80" s="1"/>
  <c r="D182" i="80"/>
  <c r="K182" i="80" s="1"/>
  <c r="Q181" i="80"/>
  <c r="N181" i="80"/>
  <c r="O181" i="80" s="1"/>
  <c r="P181" i="80" s="1"/>
  <c r="L181" i="80"/>
  <c r="M181" i="80" s="1"/>
  <c r="K181" i="80"/>
  <c r="J181" i="80"/>
  <c r="I181" i="80"/>
  <c r="H181" i="80"/>
  <c r="G181" i="80"/>
  <c r="D179" i="80"/>
  <c r="M178" i="80"/>
  <c r="R178" i="80" s="1"/>
  <c r="S178" i="80" s="1"/>
  <c r="D178" i="80"/>
  <c r="K178" i="80" s="1"/>
  <c r="Q177" i="80"/>
  <c r="N177" i="80"/>
  <c r="L177" i="80"/>
  <c r="M177" i="80" s="1"/>
  <c r="K177" i="80"/>
  <c r="J177" i="80"/>
  <c r="I177" i="80"/>
  <c r="H177" i="80"/>
  <c r="G177" i="80"/>
  <c r="D175" i="80"/>
  <c r="M174" i="80"/>
  <c r="R174" i="80" s="1"/>
  <c r="S174" i="80" s="1"/>
  <c r="D174" i="80"/>
  <c r="K174" i="80" s="1"/>
  <c r="Q173" i="80"/>
  <c r="N173" i="80"/>
  <c r="O173" i="80" s="1"/>
  <c r="P173" i="80" s="1"/>
  <c r="L173" i="80"/>
  <c r="M173" i="80" s="1"/>
  <c r="K173" i="80"/>
  <c r="J173" i="80"/>
  <c r="I173" i="80"/>
  <c r="H173" i="80"/>
  <c r="G173" i="80"/>
  <c r="D171" i="80"/>
  <c r="M170" i="80"/>
  <c r="R170" i="80" s="1"/>
  <c r="S170" i="80" s="1"/>
  <c r="D170" i="80"/>
  <c r="K170" i="80" s="1"/>
  <c r="Q169" i="80"/>
  <c r="N169" i="80"/>
  <c r="L169" i="80"/>
  <c r="M169" i="80" s="1"/>
  <c r="K169" i="80"/>
  <c r="J169" i="80"/>
  <c r="I169" i="80"/>
  <c r="H169" i="80"/>
  <c r="G169" i="80"/>
  <c r="D167" i="80"/>
  <c r="M166" i="80"/>
  <c r="R166" i="80" s="1"/>
  <c r="S166" i="80" s="1"/>
  <c r="D166" i="80"/>
  <c r="K166" i="80" s="1"/>
  <c r="Q165" i="80"/>
  <c r="N165" i="80"/>
  <c r="O165" i="80" s="1"/>
  <c r="P165" i="80" s="1"/>
  <c r="L165" i="80"/>
  <c r="M165" i="80" s="1"/>
  <c r="K165" i="80"/>
  <c r="J165" i="80"/>
  <c r="I165" i="80"/>
  <c r="H165" i="80"/>
  <c r="G165" i="80"/>
  <c r="N163" i="80"/>
  <c r="D163" i="80"/>
  <c r="L163" i="80" s="1"/>
  <c r="M163" i="80" s="1"/>
  <c r="Q162" i="80"/>
  <c r="O162" i="80"/>
  <c r="P162" i="80" s="1"/>
  <c r="N162" i="80"/>
  <c r="L162" i="80"/>
  <c r="M162" i="80" s="1"/>
  <c r="K162" i="80"/>
  <c r="J162" i="80"/>
  <c r="I162" i="80"/>
  <c r="H162" i="80"/>
  <c r="G162" i="80"/>
  <c r="N160" i="80"/>
  <c r="D160" i="80"/>
  <c r="L160" i="80" s="1"/>
  <c r="M160" i="80" s="1"/>
  <c r="R160" i="80" s="1"/>
  <c r="S160" i="80" s="1"/>
  <c r="Q159" i="80"/>
  <c r="O159" i="80"/>
  <c r="P159" i="80" s="1"/>
  <c r="N159" i="80"/>
  <c r="L159" i="80"/>
  <c r="M159" i="80" s="1"/>
  <c r="K159" i="80"/>
  <c r="J159" i="80"/>
  <c r="I159" i="80"/>
  <c r="H159" i="80"/>
  <c r="G159" i="80"/>
  <c r="N157" i="80"/>
  <c r="D157" i="80"/>
  <c r="J157" i="80" s="1"/>
  <c r="Q156" i="80"/>
  <c r="N156" i="80"/>
  <c r="O156" i="80" s="1"/>
  <c r="P156" i="80" s="1"/>
  <c r="L156" i="80"/>
  <c r="M156" i="80" s="1"/>
  <c r="K156" i="80"/>
  <c r="J156" i="80"/>
  <c r="I156" i="80"/>
  <c r="H156" i="80"/>
  <c r="G156" i="80"/>
  <c r="N154" i="80"/>
  <c r="D154" i="80"/>
  <c r="L154" i="80" s="1"/>
  <c r="M154" i="80" s="1"/>
  <c r="Q153" i="80"/>
  <c r="N153" i="80"/>
  <c r="L153" i="80"/>
  <c r="M153" i="80" s="1"/>
  <c r="K153" i="80"/>
  <c r="J153" i="80"/>
  <c r="I153" i="80"/>
  <c r="H153" i="80"/>
  <c r="G153" i="80"/>
  <c r="Q151" i="80"/>
  <c r="O151" i="80"/>
  <c r="P151" i="80" s="1"/>
  <c r="N151" i="80"/>
  <c r="L151" i="80"/>
  <c r="M151" i="80" s="1"/>
  <c r="K151" i="80"/>
  <c r="J151" i="80"/>
  <c r="I151" i="80"/>
  <c r="H151" i="80"/>
  <c r="G151" i="80"/>
  <c r="Q149" i="80"/>
  <c r="O149" i="80"/>
  <c r="P149" i="80" s="1"/>
  <c r="N149" i="80"/>
  <c r="L149" i="80"/>
  <c r="M149" i="80" s="1"/>
  <c r="K149" i="80"/>
  <c r="J149" i="80"/>
  <c r="I149" i="80"/>
  <c r="H149" i="80"/>
  <c r="G149" i="80"/>
  <c r="Q147" i="80"/>
  <c r="N147" i="80"/>
  <c r="O147" i="80" s="1"/>
  <c r="P147" i="80" s="1"/>
  <c r="L147" i="80"/>
  <c r="M147" i="80" s="1"/>
  <c r="K147" i="80"/>
  <c r="J147" i="80"/>
  <c r="I147" i="80"/>
  <c r="H147" i="80"/>
  <c r="G147" i="80"/>
  <c r="Q145" i="80"/>
  <c r="N145" i="80"/>
  <c r="O145" i="80" s="1"/>
  <c r="P145" i="80" s="1"/>
  <c r="L145" i="80"/>
  <c r="M145" i="80" s="1"/>
  <c r="K145" i="80"/>
  <c r="J145" i="80"/>
  <c r="I145" i="80"/>
  <c r="H145" i="80"/>
  <c r="G145" i="80"/>
  <c r="Q143" i="80"/>
  <c r="N143" i="80"/>
  <c r="O143" i="80" s="1"/>
  <c r="P143" i="80" s="1"/>
  <c r="L143" i="80"/>
  <c r="M143" i="80" s="1"/>
  <c r="K143" i="80"/>
  <c r="J143" i="80"/>
  <c r="H143" i="80"/>
  <c r="G143" i="80"/>
  <c r="Q142" i="80"/>
  <c r="N142" i="80"/>
  <c r="O142" i="80" s="1"/>
  <c r="P142" i="80" s="1"/>
  <c r="L142" i="80"/>
  <c r="M142" i="80" s="1"/>
  <c r="K142" i="80"/>
  <c r="J142" i="80"/>
  <c r="I142" i="80"/>
  <c r="H142" i="80"/>
  <c r="G142" i="80"/>
  <c r="Q140" i="80"/>
  <c r="N140" i="80"/>
  <c r="L140" i="80"/>
  <c r="M140" i="80" s="1"/>
  <c r="K140" i="80"/>
  <c r="J140" i="80"/>
  <c r="H140" i="80"/>
  <c r="G140" i="80"/>
  <c r="Q139" i="80"/>
  <c r="N139" i="80"/>
  <c r="O139" i="80" s="1"/>
  <c r="P139" i="80" s="1"/>
  <c r="L139" i="80"/>
  <c r="M139" i="80" s="1"/>
  <c r="K139" i="80"/>
  <c r="J139" i="80"/>
  <c r="I139" i="80"/>
  <c r="H139" i="80"/>
  <c r="G139" i="80"/>
  <c r="Q137" i="80"/>
  <c r="N137" i="80"/>
  <c r="L137" i="80"/>
  <c r="M137" i="80" s="1"/>
  <c r="K137" i="80"/>
  <c r="J137" i="80"/>
  <c r="H137" i="80"/>
  <c r="G137" i="80"/>
  <c r="Q136" i="80"/>
  <c r="N136" i="80"/>
  <c r="O136" i="80" s="1"/>
  <c r="P136" i="80" s="1"/>
  <c r="L136" i="80"/>
  <c r="M136" i="80" s="1"/>
  <c r="K136" i="80"/>
  <c r="J136" i="80"/>
  <c r="I136" i="80"/>
  <c r="H136" i="80"/>
  <c r="G136" i="80"/>
  <c r="N134" i="80"/>
  <c r="D134" i="80"/>
  <c r="L134" i="80" s="1"/>
  <c r="M134" i="80" s="1"/>
  <c r="Q133" i="80"/>
  <c r="N133" i="80"/>
  <c r="O133" i="80" s="1"/>
  <c r="P133" i="80" s="1"/>
  <c r="L133" i="80"/>
  <c r="M133" i="80" s="1"/>
  <c r="K133" i="80"/>
  <c r="J133" i="80"/>
  <c r="I133" i="80"/>
  <c r="H133" i="80"/>
  <c r="G133" i="80"/>
  <c r="N131" i="80"/>
  <c r="D131" i="80"/>
  <c r="L131" i="80" s="1"/>
  <c r="M131" i="80" s="1"/>
  <c r="Q130" i="80"/>
  <c r="N130" i="80"/>
  <c r="O130" i="80" s="1"/>
  <c r="P130" i="80" s="1"/>
  <c r="L130" i="80"/>
  <c r="M130" i="80" s="1"/>
  <c r="K130" i="80"/>
  <c r="J130" i="80"/>
  <c r="I130" i="80"/>
  <c r="H130" i="80"/>
  <c r="G130" i="80"/>
  <c r="N128" i="80"/>
  <c r="D128" i="80"/>
  <c r="L128" i="80" s="1"/>
  <c r="M128" i="80" s="1"/>
  <c r="Q127" i="80"/>
  <c r="N127" i="80"/>
  <c r="O127" i="80" s="1"/>
  <c r="P127" i="80" s="1"/>
  <c r="L127" i="80"/>
  <c r="M127" i="80" s="1"/>
  <c r="K127" i="80"/>
  <c r="J127" i="80"/>
  <c r="I127" i="80"/>
  <c r="H127" i="80"/>
  <c r="G127" i="80"/>
  <c r="N125" i="80"/>
  <c r="D125" i="80"/>
  <c r="J125" i="80" s="1"/>
  <c r="Q124" i="80"/>
  <c r="N124" i="80"/>
  <c r="O124" i="80" s="1"/>
  <c r="P124" i="80" s="1"/>
  <c r="L124" i="80"/>
  <c r="M124" i="80" s="1"/>
  <c r="K124" i="80"/>
  <c r="J124" i="80"/>
  <c r="I124" i="80"/>
  <c r="H124" i="80"/>
  <c r="G124" i="80"/>
  <c r="N119" i="80"/>
  <c r="D119" i="80"/>
  <c r="L119" i="80" s="1"/>
  <c r="M119" i="80" s="1"/>
  <c r="Q118" i="80"/>
  <c r="N118" i="80"/>
  <c r="L118" i="80"/>
  <c r="M118" i="80" s="1"/>
  <c r="K118" i="80"/>
  <c r="J118" i="80"/>
  <c r="I118" i="80"/>
  <c r="H118" i="80"/>
  <c r="G118" i="80"/>
  <c r="N117" i="80"/>
  <c r="D117" i="80"/>
  <c r="L117" i="80" s="1"/>
  <c r="M117" i="80" s="1"/>
  <c r="Q116" i="80"/>
  <c r="N116" i="80"/>
  <c r="O116" i="80" s="1"/>
  <c r="P116" i="80" s="1"/>
  <c r="L116" i="80"/>
  <c r="M116" i="80" s="1"/>
  <c r="K116" i="80"/>
  <c r="J116" i="80"/>
  <c r="I116" i="80"/>
  <c r="H116" i="80"/>
  <c r="G116" i="80"/>
  <c r="N114" i="80"/>
  <c r="D114" i="80"/>
  <c r="L114" i="80" s="1"/>
  <c r="M114" i="80" s="1"/>
  <c r="Q113" i="80"/>
  <c r="N113" i="80"/>
  <c r="O113" i="80" s="1"/>
  <c r="P113" i="80" s="1"/>
  <c r="L113" i="80"/>
  <c r="M113" i="80" s="1"/>
  <c r="K113" i="80"/>
  <c r="J113" i="80"/>
  <c r="I113" i="80"/>
  <c r="H113" i="80"/>
  <c r="G113" i="80"/>
  <c r="N111" i="80"/>
  <c r="D111" i="80"/>
  <c r="K111" i="80" s="1"/>
  <c r="Q110" i="80"/>
  <c r="N110" i="80"/>
  <c r="L110" i="80"/>
  <c r="M110" i="80" s="1"/>
  <c r="K110" i="80"/>
  <c r="J110" i="80"/>
  <c r="I110" i="80"/>
  <c r="H9" i="78" s="1"/>
  <c r="H110" i="80"/>
  <c r="G110" i="80"/>
  <c r="N108" i="80"/>
  <c r="D108" i="80"/>
  <c r="L108" i="80" s="1"/>
  <c r="M108" i="80" s="1"/>
  <c r="R108" i="80" s="1"/>
  <c r="S108" i="80" s="1"/>
  <c r="Q107" i="80"/>
  <c r="N107" i="80"/>
  <c r="L107" i="80"/>
  <c r="M107" i="80" s="1"/>
  <c r="K107" i="80"/>
  <c r="J107" i="80"/>
  <c r="I107" i="80"/>
  <c r="H4" i="78" s="1"/>
  <c r="H107" i="80"/>
  <c r="G107" i="80"/>
  <c r="F96" i="79"/>
  <c r="G96" i="79" s="1"/>
  <c r="J96" i="79" s="1"/>
  <c r="F95" i="79"/>
  <c r="G95" i="79" s="1"/>
  <c r="J95" i="79" s="1"/>
  <c r="B34" i="79"/>
  <c r="F34" i="79" s="1"/>
  <c r="G34" i="79" s="1"/>
  <c r="I34" i="79" s="1"/>
  <c r="J34" i="79" s="1"/>
  <c r="H14" i="77" s="1"/>
  <c r="F6" i="79"/>
  <c r="G6" i="79" s="1"/>
  <c r="I6" i="79" s="1"/>
  <c r="J6" i="79" s="1"/>
  <c r="H26" i="78"/>
  <c r="H24" i="78"/>
  <c r="H19" i="78"/>
  <c r="H14" i="78"/>
  <c r="H12" i="77"/>
  <c r="D1" i="76"/>
  <c r="D1" i="78" s="1"/>
  <c r="B7" i="75"/>
  <c r="B6" i="75"/>
  <c r="B5" i="75"/>
  <c r="L14" i="73"/>
  <c r="I14" i="73"/>
  <c r="H14" i="73"/>
  <c r="C8" i="73"/>
  <c r="H7" i="73"/>
  <c r="H8" i="73" s="1"/>
  <c r="F7" i="73"/>
  <c r="H5" i="73"/>
  <c r="D247" i="72"/>
  <c r="C247" i="72"/>
  <c r="H238" i="72"/>
  <c r="D236" i="72"/>
  <c r="D235" i="72"/>
  <c r="C229" i="72"/>
  <c r="M208" i="72"/>
  <c r="M207" i="72"/>
  <c r="K206" i="72"/>
  <c r="I22" i="70" s="1"/>
  <c r="J206" i="72"/>
  <c r="H206" i="72"/>
  <c r="G206" i="72"/>
  <c r="D199" i="72"/>
  <c r="D198" i="72"/>
  <c r="J197" i="72" s="1"/>
  <c r="N197" i="72"/>
  <c r="O197" i="72" s="1"/>
  <c r="P197" i="72" s="1"/>
  <c r="K197" i="72"/>
  <c r="G197" i="72"/>
  <c r="D195" i="72"/>
  <c r="D194" i="72"/>
  <c r="J193" i="72" s="1"/>
  <c r="N193" i="72"/>
  <c r="K193" i="72"/>
  <c r="I193" i="72"/>
  <c r="G193" i="72"/>
  <c r="D191" i="72"/>
  <c r="D190" i="72"/>
  <c r="Q189" i="72" s="1"/>
  <c r="N189" i="72"/>
  <c r="K189" i="72"/>
  <c r="G189" i="72"/>
  <c r="D187" i="72"/>
  <c r="D186" i="72"/>
  <c r="N185" i="72"/>
  <c r="O185" i="72" s="1"/>
  <c r="P185" i="72" s="1"/>
  <c r="K185" i="72"/>
  <c r="G185" i="72"/>
  <c r="D183" i="72"/>
  <c r="D182" i="72"/>
  <c r="J181" i="72" s="1"/>
  <c r="N181" i="72"/>
  <c r="K181" i="72"/>
  <c r="G181" i="72"/>
  <c r="D179" i="72"/>
  <c r="M178" i="72"/>
  <c r="R178" i="72" s="1"/>
  <c r="S178" i="72" s="1"/>
  <c r="D178" i="72"/>
  <c r="K178" i="72" s="1"/>
  <c r="Q177" i="72"/>
  <c r="N177" i="72"/>
  <c r="O177" i="72" s="1"/>
  <c r="P177" i="72" s="1"/>
  <c r="L177" i="72"/>
  <c r="M177" i="72" s="1"/>
  <c r="K177" i="72"/>
  <c r="J177" i="72"/>
  <c r="I177" i="72"/>
  <c r="H177" i="72"/>
  <c r="G177" i="72"/>
  <c r="D175" i="72"/>
  <c r="M174" i="72"/>
  <c r="R174" i="72" s="1"/>
  <c r="S174" i="72" s="1"/>
  <c r="D174" i="72"/>
  <c r="K174" i="72" s="1"/>
  <c r="Q173" i="72"/>
  <c r="N173" i="72"/>
  <c r="L173" i="72"/>
  <c r="M173" i="72" s="1"/>
  <c r="K173" i="72"/>
  <c r="J173" i="72"/>
  <c r="I173" i="72"/>
  <c r="H173" i="72"/>
  <c r="G173" i="72"/>
  <c r="D171" i="72"/>
  <c r="M170" i="72"/>
  <c r="R170" i="72" s="1"/>
  <c r="S170" i="72" s="1"/>
  <c r="D170" i="72"/>
  <c r="K170" i="72" s="1"/>
  <c r="Q169" i="72"/>
  <c r="N169" i="72"/>
  <c r="O169" i="72" s="1"/>
  <c r="P169" i="72" s="1"/>
  <c r="L169" i="72"/>
  <c r="M169" i="72" s="1"/>
  <c r="K169" i="72"/>
  <c r="J169" i="72"/>
  <c r="I169" i="72"/>
  <c r="H169" i="72"/>
  <c r="G169" i="72"/>
  <c r="M166" i="72"/>
  <c r="R166" i="72" s="1"/>
  <c r="S166" i="72" s="1"/>
  <c r="N165" i="72"/>
  <c r="E165" i="72"/>
  <c r="D167" i="72" s="1"/>
  <c r="D163" i="72"/>
  <c r="M162" i="72"/>
  <c r="R162" i="72" s="1"/>
  <c r="S162" i="72" s="1"/>
  <c r="D162" i="72"/>
  <c r="K162" i="72" s="1"/>
  <c r="Q161" i="72"/>
  <c r="N161" i="72"/>
  <c r="O161" i="72" s="1"/>
  <c r="P161" i="72" s="1"/>
  <c r="L161" i="72"/>
  <c r="M161" i="72" s="1"/>
  <c r="K161" i="72"/>
  <c r="J161" i="72"/>
  <c r="I161" i="72"/>
  <c r="H161" i="72"/>
  <c r="G161" i="72"/>
  <c r="N159" i="72"/>
  <c r="D159" i="72"/>
  <c r="L159" i="72" s="1"/>
  <c r="M159" i="72" s="1"/>
  <c r="Q158" i="72"/>
  <c r="O158" i="72"/>
  <c r="P158" i="72" s="1"/>
  <c r="N158" i="72"/>
  <c r="L158" i="72"/>
  <c r="M158" i="72" s="1"/>
  <c r="K158" i="72"/>
  <c r="J158" i="72"/>
  <c r="I158" i="72"/>
  <c r="H158" i="72"/>
  <c r="G158" i="72"/>
  <c r="N156" i="72"/>
  <c r="D156" i="72"/>
  <c r="K156" i="72" s="1"/>
  <c r="Q155" i="72"/>
  <c r="O155" i="72"/>
  <c r="P155" i="72" s="1"/>
  <c r="N155" i="72"/>
  <c r="M155" i="72"/>
  <c r="L155" i="72"/>
  <c r="K155" i="72"/>
  <c r="J155" i="72"/>
  <c r="I155" i="72"/>
  <c r="H155" i="72"/>
  <c r="G155" i="72"/>
  <c r="N153" i="72"/>
  <c r="L153" i="72"/>
  <c r="M153" i="72" s="1"/>
  <c r="D153" i="72"/>
  <c r="K153" i="72" s="1"/>
  <c r="Q152" i="72"/>
  <c r="N152" i="72"/>
  <c r="O152" i="72" s="1"/>
  <c r="P152" i="72" s="1"/>
  <c r="L152" i="72"/>
  <c r="M152" i="72" s="1"/>
  <c r="K152" i="72"/>
  <c r="J152" i="72"/>
  <c r="I152" i="72"/>
  <c r="H152" i="72"/>
  <c r="G152" i="72"/>
  <c r="N150" i="72"/>
  <c r="D150" i="72"/>
  <c r="Q149" i="72"/>
  <c r="N149" i="72"/>
  <c r="O149" i="72" s="1"/>
  <c r="P149" i="72" s="1"/>
  <c r="L149" i="72"/>
  <c r="M149" i="72" s="1"/>
  <c r="K149" i="72"/>
  <c r="J149" i="72"/>
  <c r="I149" i="72"/>
  <c r="H149" i="72"/>
  <c r="G149" i="72"/>
  <c r="Q147" i="72"/>
  <c r="O147" i="72"/>
  <c r="P147" i="72" s="1"/>
  <c r="N147" i="72"/>
  <c r="L147" i="72"/>
  <c r="M147" i="72" s="1"/>
  <c r="K147" i="72"/>
  <c r="J147" i="72"/>
  <c r="I147" i="72"/>
  <c r="H147" i="72"/>
  <c r="G147" i="72"/>
  <c r="Q145" i="72"/>
  <c r="O145" i="72"/>
  <c r="P145" i="72" s="1"/>
  <c r="N145" i="72"/>
  <c r="L145" i="72"/>
  <c r="M145" i="72" s="1"/>
  <c r="K145" i="72"/>
  <c r="J145" i="72"/>
  <c r="I145" i="72"/>
  <c r="H145" i="72"/>
  <c r="G145" i="72"/>
  <c r="Q143" i="72"/>
  <c r="N143" i="72"/>
  <c r="L143" i="72"/>
  <c r="M143" i="72" s="1"/>
  <c r="K143" i="72"/>
  <c r="J143" i="72"/>
  <c r="I143" i="72"/>
  <c r="H143" i="72"/>
  <c r="G143" i="72"/>
  <c r="Q141" i="72"/>
  <c r="N141" i="72"/>
  <c r="O141" i="72" s="1"/>
  <c r="P141" i="72" s="1"/>
  <c r="M141" i="72"/>
  <c r="L141" i="72"/>
  <c r="K141" i="72"/>
  <c r="J141" i="72"/>
  <c r="I141" i="72"/>
  <c r="H141" i="72"/>
  <c r="G141" i="72"/>
  <c r="Q139" i="72"/>
  <c r="N139" i="72"/>
  <c r="L139" i="72"/>
  <c r="M139" i="72" s="1"/>
  <c r="K139" i="72"/>
  <c r="J139" i="72"/>
  <c r="H139" i="72"/>
  <c r="G139" i="72"/>
  <c r="Q138" i="72"/>
  <c r="N138" i="72"/>
  <c r="O138" i="72" s="1"/>
  <c r="P138" i="72" s="1"/>
  <c r="L138" i="72"/>
  <c r="M138" i="72" s="1"/>
  <c r="K138" i="72"/>
  <c r="J138" i="72"/>
  <c r="I138" i="72"/>
  <c r="H138" i="72"/>
  <c r="G138" i="72"/>
  <c r="Q136" i="72"/>
  <c r="N136" i="72"/>
  <c r="L136" i="72"/>
  <c r="M136" i="72" s="1"/>
  <c r="K136" i="72"/>
  <c r="J136" i="72"/>
  <c r="H136" i="72"/>
  <c r="G136" i="72"/>
  <c r="Q135" i="72"/>
  <c r="N135" i="72"/>
  <c r="L135" i="72"/>
  <c r="M135" i="72" s="1"/>
  <c r="K135" i="72"/>
  <c r="J135" i="72"/>
  <c r="I135" i="72"/>
  <c r="H135" i="72"/>
  <c r="G135" i="72"/>
  <c r="Q133" i="72"/>
  <c r="N133" i="72"/>
  <c r="O133" i="72" s="1"/>
  <c r="P133" i="72" s="1"/>
  <c r="L133" i="72"/>
  <c r="M133" i="72" s="1"/>
  <c r="K133" i="72"/>
  <c r="J133" i="72"/>
  <c r="H133" i="72"/>
  <c r="G133" i="72"/>
  <c r="Q132" i="72"/>
  <c r="N132" i="72"/>
  <c r="L132" i="72"/>
  <c r="M132" i="72" s="1"/>
  <c r="K132" i="72"/>
  <c r="J132" i="72"/>
  <c r="I132" i="72"/>
  <c r="H132" i="72"/>
  <c r="G132" i="72"/>
  <c r="N130" i="72"/>
  <c r="D130" i="72"/>
  <c r="J130" i="72" s="1"/>
  <c r="Q129" i="72"/>
  <c r="N129" i="72"/>
  <c r="O129" i="72" s="1"/>
  <c r="P129" i="72" s="1"/>
  <c r="L129" i="72"/>
  <c r="M129" i="72" s="1"/>
  <c r="K129" i="72"/>
  <c r="J129" i="72"/>
  <c r="I129" i="72"/>
  <c r="H129" i="72"/>
  <c r="G129" i="72"/>
  <c r="N127" i="72"/>
  <c r="K127" i="72"/>
  <c r="J127" i="72"/>
  <c r="D127" i="72"/>
  <c r="L127" i="72" s="1"/>
  <c r="M127" i="72" s="1"/>
  <c r="Q126" i="72"/>
  <c r="N126" i="72"/>
  <c r="L126" i="72"/>
  <c r="M126" i="72" s="1"/>
  <c r="K126" i="72"/>
  <c r="J126" i="72"/>
  <c r="I126" i="72"/>
  <c r="H126" i="72"/>
  <c r="G126" i="72"/>
  <c r="N124" i="72"/>
  <c r="D124" i="72"/>
  <c r="K124" i="72" s="1"/>
  <c r="Q123" i="72"/>
  <c r="N123" i="72"/>
  <c r="O123" i="72" s="1"/>
  <c r="P123" i="72" s="1"/>
  <c r="L123" i="72"/>
  <c r="M123" i="72" s="1"/>
  <c r="K123" i="72"/>
  <c r="J123" i="72"/>
  <c r="I123" i="72"/>
  <c r="H123" i="72"/>
  <c r="G123" i="72"/>
  <c r="N121" i="72"/>
  <c r="D121" i="72"/>
  <c r="K121" i="72" s="1"/>
  <c r="Q120" i="72"/>
  <c r="N120" i="72"/>
  <c r="O120" i="72" s="1"/>
  <c r="P120" i="72" s="1"/>
  <c r="L120" i="72"/>
  <c r="M120" i="72" s="1"/>
  <c r="K120" i="72"/>
  <c r="J120" i="72"/>
  <c r="I120" i="72"/>
  <c r="H120" i="72"/>
  <c r="G120" i="72"/>
  <c r="N118" i="72"/>
  <c r="D118" i="72"/>
  <c r="Q117" i="72"/>
  <c r="N117" i="72"/>
  <c r="O117" i="72" s="1"/>
  <c r="P117" i="72" s="1"/>
  <c r="L117" i="72"/>
  <c r="M117" i="72" s="1"/>
  <c r="K117" i="72"/>
  <c r="J117" i="72"/>
  <c r="I117" i="72"/>
  <c r="H117" i="72"/>
  <c r="G117" i="72"/>
  <c r="N116" i="72"/>
  <c r="D116" i="72"/>
  <c r="K116" i="72" s="1"/>
  <c r="Q115" i="72"/>
  <c r="N115" i="72"/>
  <c r="L115" i="72"/>
  <c r="M115" i="72" s="1"/>
  <c r="K115" i="72"/>
  <c r="J115" i="72"/>
  <c r="I115" i="72"/>
  <c r="H115" i="72"/>
  <c r="G115" i="72"/>
  <c r="N113" i="72"/>
  <c r="H113" i="72"/>
  <c r="D113" i="72"/>
  <c r="L113" i="72" s="1"/>
  <c r="M113" i="72" s="1"/>
  <c r="Q112" i="72"/>
  <c r="N112" i="72"/>
  <c r="O112" i="72" s="1"/>
  <c r="P112" i="72" s="1"/>
  <c r="L112" i="72"/>
  <c r="M112" i="72" s="1"/>
  <c r="K112" i="72"/>
  <c r="J112" i="72"/>
  <c r="I112" i="72"/>
  <c r="I10" i="70" s="1"/>
  <c r="H112" i="72"/>
  <c r="G112" i="72"/>
  <c r="N110" i="72"/>
  <c r="D110" i="72"/>
  <c r="K110" i="72" s="1"/>
  <c r="Q109" i="72"/>
  <c r="N109" i="72"/>
  <c r="O109" i="72" s="1"/>
  <c r="P109" i="72" s="1"/>
  <c r="L109" i="72"/>
  <c r="M109" i="72" s="1"/>
  <c r="K109" i="72"/>
  <c r="J109" i="72"/>
  <c r="I109" i="72"/>
  <c r="H109" i="72"/>
  <c r="G109" i="72"/>
  <c r="N107" i="72"/>
  <c r="D107" i="72"/>
  <c r="K107" i="72" s="1"/>
  <c r="Q106" i="72"/>
  <c r="N106" i="72"/>
  <c r="O106" i="72" s="1"/>
  <c r="P106" i="72" s="1"/>
  <c r="L106" i="72"/>
  <c r="M106" i="72" s="1"/>
  <c r="K106" i="72"/>
  <c r="J106" i="72"/>
  <c r="I106" i="72"/>
  <c r="I5" i="70" s="1"/>
  <c r="H106" i="72"/>
  <c r="G106" i="72"/>
  <c r="F108" i="71"/>
  <c r="G108" i="71" s="1"/>
  <c r="I108" i="71" s="1"/>
  <c r="J108" i="71" s="1"/>
  <c r="F95" i="71"/>
  <c r="I95" i="71" s="1"/>
  <c r="J95" i="71" s="1"/>
  <c r="F89" i="71"/>
  <c r="J89" i="71" s="1"/>
  <c r="F88" i="71"/>
  <c r="J88" i="71" s="1"/>
  <c r="F84" i="71"/>
  <c r="G84" i="71" s="1"/>
  <c r="I84" i="71" s="1"/>
  <c r="J84" i="71" s="1"/>
  <c r="F83" i="71"/>
  <c r="G83" i="71" s="1"/>
  <c r="I83" i="71" s="1"/>
  <c r="J83" i="71" s="1"/>
  <c r="J85" i="71" s="1"/>
  <c r="F78" i="71"/>
  <c r="J78" i="71" s="1"/>
  <c r="J80" i="71" s="1"/>
  <c r="F68" i="71"/>
  <c r="I68" i="71" s="1"/>
  <c r="J68" i="71" s="1"/>
  <c r="F67" i="71"/>
  <c r="I67" i="71" s="1"/>
  <c r="J67" i="71" s="1"/>
  <c r="F66" i="71"/>
  <c r="I66" i="71" s="1"/>
  <c r="J66" i="71" s="1"/>
  <c r="F63" i="71"/>
  <c r="G63" i="71" s="1"/>
  <c r="I63" i="71" s="1"/>
  <c r="J63" i="71" s="1"/>
  <c r="F37" i="71"/>
  <c r="G37" i="71" s="1"/>
  <c r="I37" i="71" s="1"/>
  <c r="J37" i="71" s="1"/>
  <c r="I28" i="70" s="1"/>
  <c r="F36" i="71"/>
  <c r="G36" i="71" s="1"/>
  <c r="I36" i="71" s="1"/>
  <c r="J36" i="71" s="1"/>
  <c r="I27" i="70" s="1"/>
  <c r="F35" i="71"/>
  <c r="G35" i="71" s="1"/>
  <c r="I35" i="71" s="1"/>
  <c r="J35" i="71" s="1"/>
  <c r="I26" i="70" s="1"/>
  <c r="F31" i="71"/>
  <c r="G31" i="71" s="1"/>
  <c r="I31" i="71" s="1"/>
  <c r="J31" i="71" s="1"/>
  <c r="I14" i="69" s="1"/>
  <c r="F26" i="71"/>
  <c r="G26" i="71" s="1"/>
  <c r="I26" i="71" s="1"/>
  <c r="J26" i="71" s="1"/>
  <c r="I11" i="69" s="1"/>
  <c r="F19" i="71"/>
  <c r="G19" i="71" s="1"/>
  <c r="I19" i="71" s="1"/>
  <c r="J19" i="71" s="1"/>
  <c r="J20" i="71" s="1"/>
  <c r="I5" i="69" s="1"/>
  <c r="F12" i="71"/>
  <c r="I12" i="71" s="1"/>
  <c r="J12" i="71" s="1"/>
  <c r="I8" i="69" s="1"/>
  <c r="F8" i="71"/>
  <c r="I8" i="71" s="1"/>
  <c r="J8" i="71" s="1"/>
  <c r="F7" i="71"/>
  <c r="I7" i="71" s="1"/>
  <c r="J7" i="71" s="1"/>
  <c r="F6" i="71"/>
  <c r="I6" i="71" s="1"/>
  <c r="J6" i="71" s="1"/>
  <c r="I24" i="70"/>
  <c r="I20" i="70"/>
  <c r="I15" i="70"/>
  <c r="D1" i="70"/>
  <c r="I15" i="69"/>
  <c r="D1" i="69"/>
  <c r="H7" i="68"/>
  <c r="H5" i="68"/>
  <c r="B7" i="67"/>
  <c r="D247" i="66"/>
  <c r="H238" i="66"/>
  <c r="D236" i="66"/>
  <c r="D235" i="66"/>
  <c r="C229" i="66"/>
  <c r="D199" i="66"/>
  <c r="D198" i="66"/>
  <c r="I197" i="66" s="1"/>
  <c r="N197" i="66"/>
  <c r="K197" i="66"/>
  <c r="G197" i="66"/>
  <c r="D195" i="66"/>
  <c r="D194" i="66"/>
  <c r="J193" i="66" s="1"/>
  <c r="N193" i="66"/>
  <c r="O193" i="66" s="1"/>
  <c r="P193" i="66" s="1"/>
  <c r="K193" i="66"/>
  <c r="G193" i="66"/>
  <c r="D191" i="66"/>
  <c r="D190" i="66"/>
  <c r="L189" i="66" s="1"/>
  <c r="M189" i="66" s="1"/>
  <c r="N189" i="66"/>
  <c r="O189" i="66" s="1"/>
  <c r="P189" i="66" s="1"/>
  <c r="K189" i="66"/>
  <c r="G189" i="66"/>
  <c r="D187" i="66"/>
  <c r="D186" i="66"/>
  <c r="Q185" i="66" s="1"/>
  <c r="N185" i="66"/>
  <c r="K185" i="66"/>
  <c r="G185" i="66"/>
  <c r="D183" i="66"/>
  <c r="D182" i="66"/>
  <c r="H181" i="66" s="1"/>
  <c r="N181" i="66"/>
  <c r="O181" i="66" s="1"/>
  <c r="P181" i="66" s="1"/>
  <c r="K181" i="66"/>
  <c r="G181" i="66"/>
  <c r="D179" i="66"/>
  <c r="M178" i="66"/>
  <c r="R178" i="66" s="1"/>
  <c r="S178" i="66" s="1"/>
  <c r="D178" i="66"/>
  <c r="K178" i="66" s="1"/>
  <c r="Q177" i="66"/>
  <c r="N177" i="66"/>
  <c r="L177" i="66"/>
  <c r="M177" i="66" s="1"/>
  <c r="K177" i="66"/>
  <c r="J177" i="66"/>
  <c r="I177" i="66"/>
  <c r="H177" i="66"/>
  <c r="G177" i="66"/>
  <c r="D175" i="66"/>
  <c r="M174" i="66"/>
  <c r="R174" i="66" s="1"/>
  <c r="S174" i="66" s="1"/>
  <c r="D174" i="66"/>
  <c r="K174" i="66" s="1"/>
  <c r="Q173" i="66"/>
  <c r="N173" i="66"/>
  <c r="O173" i="66" s="1"/>
  <c r="P173" i="66" s="1"/>
  <c r="L173" i="66"/>
  <c r="M173" i="66" s="1"/>
  <c r="K173" i="66"/>
  <c r="J173" i="66"/>
  <c r="I173" i="66"/>
  <c r="H173" i="66"/>
  <c r="G173" i="66"/>
  <c r="D171" i="66"/>
  <c r="M170" i="66"/>
  <c r="R170" i="66" s="1"/>
  <c r="S170" i="66" s="1"/>
  <c r="D170" i="66"/>
  <c r="K170" i="66" s="1"/>
  <c r="Q169" i="66"/>
  <c r="N169" i="66"/>
  <c r="L169" i="66"/>
  <c r="M169" i="66" s="1"/>
  <c r="K169" i="66"/>
  <c r="J169" i="66"/>
  <c r="I169" i="66"/>
  <c r="H169" i="66"/>
  <c r="G169" i="66"/>
  <c r="D167" i="66"/>
  <c r="I20" i="63" s="1"/>
  <c r="M166" i="66"/>
  <c r="R166" i="66" s="1"/>
  <c r="S166" i="66" s="1"/>
  <c r="D166" i="66"/>
  <c r="K166" i="66" s="1"/>
  <c r="I18" i="63" s="1"/>
  <c r="Q165" i="66"/>
  <c r="N165" i="66"/>
  <c r="O165" i="66" s="1"/>
  <c r="P165" i="66" s="1"/>
  <c r="M165" i="66"/>
  <c r="L165" i="66"/>
  <c r="K165" i="66"/>
  <c r="J165" i="66"/>
  <c r="I165" i="66"/>
  <c r="I15" i="63" s="1"/>
  <c r="H165" i="66"/>
  <c r="G165" i="66"/>
  <c r="D163" i="66"/>
  <c r="M162" i="66"/>
  <c r="R162" i="66" s="1"/>
  <c r="S162" i="66" s="1"/>
  <c r="D162" i="66"/>
  <c r="K162" i="66" s="1"/>
  <c r="Q161" i="66"/>
  <c r="N161" i="66"/>
  <c r="L161" i="66"/>
  <c r="M161" i="66" s="1"/>
  <c r="K161" i="66"/>
  <c r="J161" i="66"/>
  <c r="I161" i="66"/>
  <c r="H161" i="66"/>
  <c r="G161" i="66"/>
  <c r="N159" i="66"/>
  <c r="D159" i="66"/>
  <c r="J159" i="66" s="1"/>
  <c r="Q158" i="66"/>
  <c r="O158" i="66"/>
  <c r="P158" i="66" s="1"/>
  <c r="N158" i="66"/>
  <c r="L158" i="66"/>
  <c r="M158" i="66" s="1"/>
  <c r="K158" i="66"/>
  <c r="J158" i="66"/>
  <c r="I158" i="66"/>
  <c r="H158" i="66"/>
  <c r="G158" i="66"/>
  <c r="N156" i="66"/>
  <c r="D156" i="66"/>
  <c r="L156" i="66" s="1"/>
  <c r="M156" i="66" s="1"/>
  <c r="Q155" i="66"/>
  <c r="O155" i="66"/>
  <c r="P155" i="66" s="1"/>
  <c r="N155" i="66"/>
  <c r="L155" i="66"/>
  <c r="M155" i="66" s="1"/>
  <c r="K155" i="66"/>
  <c r="J155" i="66"/>
  <c r="I155" i="66"/>
  <c r="H155" i="66"/>
  <c r="G155" i="66"/>
  <c r="N153" i="66"/>
  <c r="D153" i="66"/>
  <c r="L153" i="66" s="1"/>
  <c r="M153" i="66" s="1"/>
  <c r="Q152" i="66"/>
  <c r="N152" i="66"/>
  <c r="L152" i="66"/>
  <c r="M152" i="66" s="1"/>
  <c r="K152" i="66"/>
  <c r="J152" i="66"/>
  <c r="I152" i="66"/>
  <c r="H152" i="66"/>
  <c r="G152" i="66"/>
  <c r="N150" i="66"/>
  <c r="D150" i="66"/>
  <c r="Q149" i="66"/>
  <c r="N149" i="66"/>
  <c r="O149" i="66" s="1"/>
  <c r="P149" i="66" s="1"/>
  <c r="L149" i="66"/>
  <c r="M149" i="66" s="1"/>
  <c r="K149" i="66"/>
  <c r="J149" i="66"/>
  <c r="I149" i="66"/>
  <c r="H149" i="66"/>
  <c r="G149" i="66"/>
  <c r="O147" i="66"/>
  <c r="P147" i="66" s="1"/>
  <c r="N147" i="66"/>
  <c r="E147" i="66"/>
  <c r="Q145" i="66"/>
  <c r="O145" i="66"/>
  <c r="P145" i="66" s="1"/>
  <c r="N145" i="66"/>
  <c r="L145" i="66"/>
  <c r="M145" i="66" s="1"/>
  <c r="K145" i="66"/>
  <c r="J145" i="66"/>
  <c r="I145" i="66"/>
  <c r="H145" i="66"/>
  <c r="G145" i="66"/>
  <c r="N143" i="66"/>
  <c r="O143" i="66" s="1"/>
  <c r="P143" i="66" s="1"/>
  <c r="E143" i="66"/>
  <c r="Q141" i="66"/>
  <c r="N141" i="66"/>
  <c r="O141" i="66" s="1"/>
  <c r="P141" i="66" s="1"/>
  <c r="L141" i="66"/>
  <c r="M141" i="66" s="1"/>
  <c r="K141" i="66"/>
  <c r="J141" i="66"/>
  <c r="I141" i="66"/>
  <c r="H141" i="66"/>
  <c r="G141" i="66"/>
  <c r="N139" i="66"/>
  <c r="O139" i="66" s="1"/>
  <c r="P139" i="66" s="1"/>
  <c r="N138" i="66"/>
  <c r="O138" i="66" s="1"/>
  <c r="P138" i="66" s="1"/>
  <c r="E138" i="66"/>
  <c r="Q138" i="66" s="1"/>
  <c r="N136" i="66"/>
  <c r="O136" i="66" s="1"/>
  <c r="P136" i="66" s="1"/>
  <c r="N135" i="66"/>
  <c r="E135" i="66"/>
  <c r="J135" i="66" s="1"/>
  <c r="N133" i="66"/>
  <c r="O133" i="66" s="1"/>
  <c r="P133" i="66" s="1"/>
  <c r="E133" i="66"/>
  <c r="G133" i="66" s="1"/>
  <c r="Q132" i="66"/>
  <c r="N132" i="66"/>
  <c r="L132" i="66"/>
  <c r="M132" i="66" s="1"/>
  <c r="K132" i="66"/>
  <c r="J132" i="66"/>
  <c r="I132" i="66"/>
  <c r="H132" i="66"/>
  <c r="G132" i="66"/>
  <c r="N130" i="66"/>
  <c r="N129" i="66"/>
  <c r="O129" i="66" s="1"/>
  <c r="P129" i="66" s="1"/>
  <c r="E129" i="66"/>
  <c r="J129" i="66" s="1"/>
  <c r="N127" i="66"/>
  <c r="N126" i="66"/>
  <c r="E126" i="66"/>
  <c r="H126" i="66" s="1"/>
  <c r="N124" i="66"/>
  <c r="N123" i="66"/>
  <c r="O123" i="66" s="1"/>
  <c r="P123" i="66" s="1"/>
  <c r="E123" i="66"/>
  <c r="Q123" i="66" s="1"/>
  <c r="N121" i="66"/>
  <c r="N120" i="66"/>
  <c r="E120" i="66"/>
  <c r="D121" i="66" s="1"/>
  <c r="L121" i="66" s="1"/>
  <c r="M121" i="66" s="1"/>
  <c r="N118" i="66"/>
  <c r="N117" i="66"/>
  <c r="O117" i="66" s="1"/>
  <c r="P117" i="66" s="1"/>
  <c r="E117" i="66"/>
  <c r="G117" i="66" s="1"/>
  <c r="N116" i="66"/>
  <c r="N115" i="66"/>
  <c r="O115" i="66" s="1"/>
  <c r="P115" i="66" s="1"/>
  <c r="E115" i="66"/>
  <c r="G115" i="66" s="1"/>
  <c r="N113" i="66"/>
  <c r="H113" i="66"/>
  <c r="D113" i="66"/>
  <c r="K113" i="66" s="1"/>
  <c r="Q112" i="66"/>
  <c r="N112" i="66"/>
  <c r="O112" i="66" s="1"/>
  <c r="P112" i="66" s="1"/>
  <c r="L112" i="66"/>
  <c r="M112" i="66" s="1"/>
  <c r="K112" i="66"/>
  <c r="J112" i="66"/>
  <c r="I112" i="66"/>
  <c r="H112" i="66"/>
  <c r="G112" i="66"/>
  <c r="N110" i="66"/>
  <c r="D110" i="66"/>
  <c r="J110" i="66" s="1"/>
  <c r="Q109" i="66"/>
  <c r="N109" i="66"/>
  <c r="L109" i="66"/>
  <c r="M109" i="66" s="1"/>
  <c r="K109" i="66"/>
  <c r="J109" i="66"/>
  <c r="I109" i="66"/>
  <c r="I5" i="63" s="1"/>
  <c r="H109" i="66"/>
  <c r="G109" i="66"/>
  <c r="K5" i="61" s="1"/>
  <c r="N107" i="66"/>
  <c r="N106" i="66"/>
  <c r="O106" i="66" s="1"/>
  <c r="P106" i="66" s="1"/>
  <c r="E106" i="66"/>
  <c r="C247" i="66" s="1"/>
  <c r="F247" i="66" s="1"/>
  <c r="H247" i="66" s="1"/>
  <c r="C124" i="65"/>
  <c r="F124" i="65" s="1"/>
  <c r="G124" i="65" s="1"/>
  <c r="I124" i="65" s="1"/>
  <c r="J124" i="65" s="1"/>
  <c r="C123" i="65"/>
  <c r="F123" i="65" s="1"/>
  <c r="G123" i="65" s="1"/>
  <c r="I123" i="65" s="1"/>
  <c r="J123" i="65" s="1"/>
  <c r="C122" i="65"/>
  <c r="F122" i="65" s="1"/>
  <c r="G122" i="65" s="1"/>
  <c r="I122" i="65" s="1"/>
  <c r="J122" i="65" s="1"/>
  <c r="C121" i="65"/>
  <c r="F121" i="65" s="1"/>
  <c r="G121" i="65" s="1"/>
  <c r="I121" i="65" s="1"/>
  <c r="J121" i="65" s="1"/>
  <c r="C118" i="65"/>
  <c r="F118" i="65" s="1"/>
  <c r="G118" i="65" s="1"/>
  <c r="I118" i="65" s="1"/>
  <c r="J118" i="65" s="1"/>
  <c r="C117" i="65"/>
  <c r="F117" i="65" s="1"/>
  <c r="G117" i="65" s="1"/>
  <c r="I117" i="65" s="1"/>
  <c r="J117" i="65" s="1"/>
  <c r="C116" i="65"/>
  <c r="F116" i="65" s="1"/>
  <c r="G116" i="65" s="1"/>
  <c r="I116" i="65" s="1"/>
  <c r="J116" i="65" s="1"/>
  <c r="C115" i="65"/>
  <c r="F115" i="65" s="1"/>
  <c r="G115" i="65" s="1"/>
  <c r="I115" i="65" s="1"/>
  <c r="J115" i="65" s="1"/>
  <c r="C112" i="65"/>
  <c r="F112" i="65" s="1"/>
  <c r="G112" i="65" s="1"/>
  <c r="I112" i="65" s="1"/>
  <c r="J112" i="65" s="1"/>
  <c r="C111" i="65"/>
  <c r="F111" i="65" s="1"/>
  <c r="G111" i="65" s="1"/>
  <c r="I111" i="65" s="1"/>
  <c r="J111" i="65" s="1"/>
  <c r="C110" i="65"/>
  <c r="F110" i="65" s="1"/>
  <c r="G110" i="65" s="1"/>
  <c r="I110" i="65" s="1"/>
  <c r="J110" i="65" s="1"/>
  <c r="C109" i="65"/>
  <c r="F109" i="65" s="1"/>
  <c r="G109" i="65" s="1"/>
  <c r="I109" i="65" s="1"/>
  <c r="J109" i="65" s="1"/>
  <c r="F100" i="65"/>
  <c r="J100" i="65" s="1"/>
  <c r="J101" i="65" s="1"/>
  <c r="I5" i="64" s="1"/>
  <c r="F60" i="65"/>
  <c r="G60" i="65" s="1"/>
  <c r="I60" i="65" s="1"/>
  <c r="J60" i="65" s="1"/>
  <c r="I24" i="63" s="1"/>
  <c r="C58" i="65"/>
  <c r="F58" i="65" s="1"/>
  <c r="G58" i="65" s="1"/>
  <c r="I58" i="65" s="1"/>
  <c r="J58" i="65" s="1"/>
  <c r="I23" i="63" s="1"/>
  <c r="F57" i="65"/>
  <c r="G57" i="65" s="1"/>
  <c r="I57" i="65" s="1"/>
  <c r="J57" i="65" s="1"/>
  <c r="I22" i="63" s="1"/>
  <c r="C52" i="65"/>
  <c r="F52" i="65" s="1"/>
  <c r="G52" i="65" s="1"/>
  <c r="I52" i="65" s="1"/>
  <c r="J52" i="65" s="1"/>
  <c r="C51" i="65"/>
  <c r="F51" i="65" s="1"/>
  <c r="G51" i="65" s="1"/>
  <c r="I51" i="65" s="1"/>
  <c r="J51" i="65" s="1"/>
  <c r="F50" i="65"/>
  <c r="G50" i="65" s="1"/>
  <c r="I50" i="65" s="1"/>
  <c r="J50" i="65" s="1"/>
  <c r="C50" i="65"/>
  <c r="C49" i="65"/>
  <c r="F49" i="65" s="1"/>
  <c r="G49" i="65" s="1"/>
  <c r="I49" i="65" s="1"/>
  <c r="J49" i="65" s="1"/>
  <c r="C43" i="65"/>
  <c r="F43" i="65" s="1"/>
  <c r="G43" i="65" s="1"/>
  <c r="I43" i="65" s="1"/>
  <c r="J43" i="65" s="1"/>
  <c r="C42" i="65"/>
  <c r="F42" i="65" s="1"/>
  <c r="G42" i="65" s="1"/>
  <c r="I42" i="65" s="1"/>
  <c r="J42" i="65" s="1"/>
  <c r="C41" i="65"/>
  <c r="F41" i="65" s="1"/>
  <c r="G41" i="65" s="1"/>
  <c r="I41" i="65" s="1"/>
  <c r="J41" i="65" s="1"/>
  <c r="C40" i="65"/>
  <c r="F40" i="65" s="1"/>
  <c r="G40" i="65" s="1"/>
  <c r="I40" i="65" s="1"/>
  <c r="J40" i="65" s="1"/>
  <c r="C32" i="65"/>
  <c r="F32" i="65" s="1"/>
  <c r="G32" i="65" s="1"/>
  <c r="I32" i="65" s="1"/>
  <c r="J32" i="65" s="1"/>
  <c r="C31" i="65"/>
  <c r="F31" i="65" s="1"/>
  <c r="G31" i="65" s="1"/>
  <c r="I31" i="65" s="1"/>
  <c r="J31" i="65" s="1"/>
  <c r="C28" i="65"/>
  <c r="F28" i="65" s="1"/>
  <c r="G28" i="65" s="1"/>
  <c r="I28" i="65" s="1"/>
  <c r="J28" i="65" s="1"/>
  <c r="C27" i="65"/>
  <c r="F27" i="65" s="1"/>
  <c r="G27" i="65" s="1"/>
  <c r="I27" i="65" s="1"/>
  <c r="J27" i="65" s="1"/>
  <c r="C26" i="65"/>
  <c r="F26" i="65" s="1"/>
  <c r="G26" i="65" s="1"/>
  <c r="I26" i="65" s="1"/>
  <c r="J26" i="65" s="1"/>
  <c r="C25" i="65"/>
  <c r="F25" i="65" s="1"/>
  <c r="G25" i="65" s="1"/>
  <c r="I25" i="65" s="1"/>
  <c r="J25" i="65" s="1"/>
  <c r="C22" i="65"/>
  <c r="F22" i="65" s="1"/>
  <c r="G22" i="65" s="1"/>
  <c r="I22" i="65" s="1"/>
  <c r="J22" i="65" s="1"/>
  <c r="C21" i="65"/>
  <c r="F21" i="65" s="1"/>
  <c r="G21" i="65" s="1"/>
  <c r="I21" i="65" s="1"/>
  <c r="J21" i="65" s="1"/>
  <c r="C20" i="65"/>
  <c r="F20" i="65" s="1"/>
  <c r="G20" i="65" s="1"/>
  <c r="I20" i="65" s="1"/>
  <c r="J20" i="65" s="1"/>
  <c r="C19" i="65"/>
  <c r="F19" i="65" s="1"/>
  <c r="G19" i="65" s="1"/>
  <c r="I19" i="65" s="1"/>
  <c r="J19" i="65" s="1"/>
  <c r="I10" i="63"/>
  <c r="I8" i="62"/>
  <c r="H6" i="62"/>
  <c r="L5" i="61"/>
  <c r="J5" i="61"/>
  <c r="H5" i="61"/>
  <c r="D1" i="61"/>
  <c r="D1" i="63" s="1"/>
  <c r="B8" i="60"/>
  <c r="G106" i="66" l="1"/>
  <c r="L181" i="72"/>
  <c r="M181" i="72" s="1"/>
  <c r="D1" i="77"/>
  <c r="I126" i="66"/>
  <c r="K130" i="72"/>
  <c r="R163" i="80"/>
  <c r="S163" i="80" s="1"/>
  <c r="G123" i="66"/>
  <c r="L130" i="72"/>
  <c r="M130" i="72" s="1"/>
  <c r="R130" i="72" s="1"/>
  <c r="S130" i="72" s="1"/>
  <c r="I123" i="66"/>
  <c r="D127" i="66"/>
  <c r="J127" i="66" s="1"/>
  <c r="G135" i="66"/>
  <c r="L159" i="66"/>
  <c r="M159" i="66" s="1"/>
  <c r="R159" i="66" s="1"/>
  <c r="S159" i="66" s="1"/>
  <c r="H22" i="78"/>
  <c r="K123" i="66"/>
  <c r="H135" i="66"/>
  <c r="R127" i="72"/>
  <c r="S127" i="72" s="1"/>
  <c r="J111" i="80"/>
  <c r="H10" i="78" s="1"/>
  <c r="R119" i="80"/>
  <c r="S119" i="80" s="1"/>
  <c r="G126" i="66"/>
  <c r="I10" i="62"/>
  <c r="I8" i="70"/>
  <c r="L111" i="80"/>
  <c r="M111" i="80" s="1"/>
  <c r="R111" i="80" s="1"/>
  <c r="S111" i="80" s="1"/>
  <c r="R159" i="72"/>
  <c r="S159" i="72" s="1"/>
  <c r="H123" i="66"/>
  <c r="L193" i="66"/>
  <c r="M193" i="66" s="1"/>
  <c r="F247" i="72"/>
  <c r="H247" i="72" s="1"/>
  <c r="R109" i="72"/>
  <c r="S109" i="72" s="1"/>
  <c r="R155" i="72"/>
  <c r="S155" i="72" s="1"/>
  <c r="H193" i="80"/>
  <c r="H115" i="66"/>
  <c r="J174" i="66"/>
  <c r="J159" i="72"/>
  <c r="K115" i="66"/>
  <c r="K120" i="66"/>
  <c r="L123" i="66"/>
  <c r="M123" i="66" s="1"/>
  <c r="L126" i="66"/>
  <c r="M126" i="66" s="1"/>
  <c r="I181" i="66"/>
  <c r="J185" i="66"/>
  <c r="J116" i="72"/>
  <c r="K159" i="72"/>
  <c r="H165" i="72"/>
  <c r="R114" i="80"/>
  <c r="S114" i="80" s="1"/>
  <c r="K125" i="80"/>
  <c r="J131" i="80"/>
  <c r="R142" i="80"/>
  <c r="S142" i="80" s="1"/>
  <c r="I193" i="80"/>
  <c r="H197" i="80"/>
  <c r="M5" i="61"/>
  <c r="I6" i="63"/>
  <c r="J162" i="66"/>
  <c r="J181" i="66"/>
  <c r="L116" i="72"/>
  <c r="M116" i="72" s="1"/>
  <c r="R116" i="72" s="1"/>
  <c r="S116" i="72" s="1"/>
  <c r="K165" i="72"/>
  <c r="L125" i="80"/>
  <c r="M125" i="80" s="1"/>
  <c r="R125" i="80" s="1"/>
  <c r="S125" i="80" s="1"/>
  <c r="I197" i="80"/>
  <c r="D124" i="66"/>
  <c r="H133" i="66"/>
  <c r="L156" i="72"/>
  <c r="M156" i="72" s="1"/>
  <c r="R156" i="72" s="1"/>
  <c r="S156" i="72" s="1"/>
  <c r="H9" i="77"/>
  <c r="R117" i="80"/>
  <c r="S117" i="80" s="1"/>
  <c r="R134" i="80"/>
  <c r="S134" i="80" s="1"/>
  <c r="L193" i="80"/>
  <c r="M193" i="80" s="1"/>
  <c r="J197" i="80"/>
  <c r="G201" i="80"/>
  <c r="R173" i="66"/>
  <c r="S173" i="66" s="1"/>
  <c r="L181" i="66"/>
  <c r="M181" i="66" s="1"/>
  <c r="I193" i="66"/>
  <c r="I18" i="70"/>
  <c r="D166" i="72"/>
  <c r="K166" i="72" s="1"/>
  <c r="J189" i="72"/>
  <c r="I4" i="76"/>
  <c r="L4" i="76" s="1"/>
  <c r="R159" i="80"/>
  <c r="S159" i="80" s="1"/>
  <c r="L121" i="72"/>
  <c r="M121" i="72" s="1"/>
  <c r="R121" i="72" s="1"/>
  <c r="S121" i="72" s="1"/>
  <c r="K127" i="66"/>
  <c r="J178" i="66"/>
  <c r="R106" i="72"/>
  <c r="S106" i="72" s="1"/>
  <c r="H12" i="78"/>
  <c r="K128" i="80"/>
  <c r="K157" i="80"/>
  <c r="L197" i="80"/>
  <c r="M197" i="80" s="1"/>
  <c r="L106" i="66"/>
  <c r="M106" i="66" s="1"/>
  <c r="I13" i="63"/>
  <c r="L115" i="66"/>
  <c r="M115" i="66" s="1"/>
  <c r="H117" i="66"/>
  <c r="Q117" i="66"/>
  <c r="K117" i="66"/>
  <c r="L117" i="66"/>
  <c r="M117" i="66" s="1"/>
  <c r="H6" i="61"/>
  <c r="D1" i="64"/>
  <c r="H106" i="66"/>
  <c r="K110" i="66"/>
  <c r="I8" i="63" s="1"/>
  <c r="L113" i="66"/>
  <c r="M113" i="66" s="1"/>
  <c r="R113" i="66" s="1"/>
  <c r="S113" i="66" s="1"/>
  <c r="I115" i="66"/>
  <c r="D116" i="66"/>
  <c r="L116" i="66" s="1"/>
  <c r="M116" i="66" s="1"/>
  <c r="R116" i="66" s="1"/>
  <c r="S116" i="66" s="1"/>
  <c r="I117" i="66"/>
  <c r="L150" i="66"/>
  <c r="M150" i="66" s="1"/>
  <c r="R150" i="66" s="1"/>
  <c r="S150" i="66" s="1"/>
  <c r="K150" i="66"/>
  <c r="J150" i="66"/>
  <c r="J106" i="66"/>
  <c r="D107" i="66"/>
  <c r="L107" i="66" s="1"/>
  <c r="M107" i="66" s="1"/>
  <c r="R107" i="66" s="1"/>
  <c r="S107" i="66" s="1"/>
  <c r="J117" i="66"/>
  <c r="D118" i="66"/>
  <c r="L118" i="66" s="1"/>
  <c r="M118" i="66" s="1"/>
  <c r="R118" i="66" s="1"/>
  <c r="S118" i="66" s="1"/>
  <c r="G138" i="66"/>
  <c r="I138" i="66"/>
  <c r="H138" i="66"/>
  <c r="J143" i="66"/>
  <c r="I143" i="66"/>
  <c r="L133" i="66"/>
  <c r="M133" i="66" s="1"/>
  <c r="R145" i="66"/>
  <c r="S145" i="66" s="1"/>
  <c r="R149" i="66"/>
  <c r="S149" i="66" s="1"/>
  <c r="K159" i="66"/>
  <c r="R165" i="66"/>
  <c r="S165" i="66" s="1"/>
  <c r="I17" i="63" s="1"/>
  <c r="Q181" i="66"/>
  <c r="R181" i="66" s="1"/>
  <c r="S181" i="66" s="1"/>
  <c r="J197" i="66"/>
  <c r="Q197" i="66"/>
  <c r="L107" i="72"/>
  <c r="M107" i="72" s="1"/>
  <c r="R107" i="72" s="1"/>
  <c r="S107" i="72" s="1"/>
  <c r="O115" i="72"/>
  <c r="P115" i="72" s="1"/>
  <c r="R115" i="72" s="1"/>
  <c r="S115" i="72" s="1"/>
  <c r="R123" i="72"/>
  <c r="S123" i="72" s="1"/>
  <c r="R133" i="72"/>
  <c r="S133" i="72" s="1"/>
  <c r="O135" i="72"/>
  <c r="P135" i="72" s="1"/>
  <c r="R135" i="72" s="1"/>
  <c r="S135" i="72" s="1"/>
  <c r="J156" i="72"/>
  <c r="I10" i="69"/>
  <c r="H189" i="72"/>
  <c r="H197" i="72"/>
  <c r="J97" i="79"/>
  <c r="R127" i="80"/>
  <c r="S127" i="80" s="1"/>
  <c r="R133" i="80"/>
  <c r="S133" i="80" s="1"/>
  <c r="R143" i="80"/>
  <c r="S143" i="80" s="1"/>
  <c r="R145" i="80"/>
  <c r="S145" i="80" s="1"/>
  <c r="R173" i="80"/>
  <c r="S173" i="80" s="1"/>
  <c r="H21" i="78" s="1"/>
  <c r="R197" i="80"/>
  <c r="S197" i="80" s="1"/>
  <c r="J9" i="71"/>
  <c r="I5" i="68" s="1"/>
  <c r="R151" i="80"/>
  <c r="S151" i="80" s="1"/>
  <c r="D203" i="80"/>
  <c r="E240" i="80"/>
  <c r="G240" i="80" s="1"/>
  <c r="R121" i="66"/>
  <c r="S121" i="66" s="1"/>
  <c r="J123" i="66"/>
  <c r="J126" i="66"/>
  <c r="L127" i="66"/>
  <c r="M127" i="66" s="1"/>
  <c r="R127" i="66" s="1"/>
  <c r="S127" i="66" s="1"/>
  <c r="J133" i="66"/>
  <c r="O152" i="66"/>
  <c r="P152" i="66" s="1"/>
  <c r="R152" i="66" s="1"/>
  <c r="S152" i="66" s="1"/>
  <c r="J153" i="66"/>
  <c r="R156" i="66"/>
  <c r="S156" i="66" s="1"/>
  <c r="J166" i="66"/>
  <c r="I16" i="63" s="1"/>
  <c r="J170" i="66"/>
  <c r="H193" i="66"/>
  <c r="Q193" i="66"/>
  <c r="R193" i="66" s="1"/>
  <c r="S193" i="66" s="1"/>
  <c r="H197" i="66"/>
  <c r="L197" i="66"/>
  <c r="M197" i="66" s="1"/>
  <c r="J107" i="72"/>
  <c r="I6" i="70" s="1"/>
  <c r="L110" i="72"/>
  <c r="M110" i="72" s="1"/>
  <c r="R110" i="72" s="1"/>
  <c r="S110" i="72" s="1"/>
  <c r="U110" i="72" s="1"/>
  <c r="J113" i="72"/>
  <c r="I11" i="70" s="1"/>
  <c r="J124" i="72"/>
  <c r="R152" i="72"/>
  <c r="S152" i="72" s="1"/>
  <c r="J162" i="72"/>
  <c r="I16" i="70" s="1"/>
  <c r="L165" i="72"/>
  <c r="M165" i="72" s="1"/>
  <c r="L197" i="72"/>
  <c r="M197" i="72" s="1"/>
  <c r="R113" i="80"/>
  <c r="S113" i="80" s="1"/>
  <c r="U114" i="80" s="1"/>
  <c r="H16" i="78" s="1"/>
  <c r="R116" i="80"/>
  <c r="S116" i="80" s="1"/>
  <c r="K117" i="80"/>
  <c r="R139" i="80"/>
  <c r="S139" i="80" s="1"/>
  <c r="R149" i="80"/>
  <c r="S149" i="80" s="1"/>
  <c r="R154" i="80"/>
  <c r="S154" i="80" s="1"/>
  <c r="L157" i="80"/>
  <c r="M157" i="80" s="1"/>
  <c r="R157" i="80" s="1"/>
  <c r="S157" i="80" s="1"/>
  <c r="K160" i="80"/>
  <c r="R165" i="80"/>
  <c r="S165" i="80" s="1"/>
  <c r="R181" i="80"/>
  <c r="S181" i="80" s="1"/>
  <c r="L189" i="80"/>
  <c r="M189" i="80" s="1"/>
  <c r="J193" i="80"/>
  <c r="K126" i="66"/>
  <c r="Q126" i="66"/>
  <c r="K133" i="66"/>
  <c r="Q135" i="66"/>
  <c r="R158" i="66"/>
  <c r="S158" i="66" s="1"/>
  <c r="L185" i="66"/>
  <c r="M185" i="66" s="1"/>
  <c r="J91" i="71"/>
  <c r="L124" i="72"/>
  <c r="M124" i="72" s="1"/>
  <c r="R124" i="72" s="1"/>
  <c r="S124" i="72" s="1"/>
  <c r="R153" i="72"/>
  <c r="S153" i="72" s="1"/>
  <c r="R158" i="72"/>
  <c r="S158" i="72" s="1"/>
  <c r="L189" i="72"/>
  <c r="M189" i="72" s="1"/>
  <c r="L193" i="72"/>
  <c r="M193" i="72" s="1"/>
  <c r="R128" i="80"/>
  <c r="S128" i="80" s="1"/>
  <c r="O137" i="80"/>
  <c r="P137" i="80" s="1"/>
  <c r="R137" i="80" s="1"/>
  <c r="S137" i="80" s="1"/>
  <c r="R162" i="80"/>
  <c r="S162" i="80" s="1"/>
  <c r="J163" i="80"/>
  <c r="H7" i="61"/>
  <c r="H6" i="68"/>
  <c r="I11" i="82"/>
  <c r="C58" i="82"/>
  <c r="C55" i="82"/>
  <c r="K202" i="80"/>
  <c r="J202" i="80"/>
  <c r="L201" i="80"/>
  <c r="M201" i="80" s="1"/>
  <c r="J201" i="80"/>
  <c r="Q201" i="80"/>
  <c r="I201" i="80"/>
  <c r="H201" i="80"/>
  <c r="R131" i="80"/>
  <c r="S131" i="80" s="1"/>
  <c r="R147" i="80"/>
  <c r="S147" i="80" s="1"/>
  <c r="G239" i="80"/>
  <c r="R124" i="80"/>
  <c r="S124" i="80" s="1"/>
  <c r="R130" i="80"/>
  <c r="S130" i="80" s="1"/>
  <c r="R136" i="80"/>
  <c r="S136" i="80" s="1"/>
  <c r="R156" i="80"/>
  <c r="S156" i="80" s="1"/>
  <c r="J108" i="80"/>
  <c r="H5" i="78" s="1"/>
  <c r="O110" i="80"/>
  <c r="P110" i="80" s="1"/>
  <c r="R110" i="80" s="1"/>
  <c r="S110" i="80" s="1"/>
  <c r="J119" i="80"/>
  <c r="K131" i="80"/>
  <c r="O140" i="80"/>
  <c r="P140" i="80" s="1"/>
  <c r="R140" i="80" s="1"/>
  <c r="S140" i="80" s="1"/>
  <c r="J154" i="80"/>
  <c r="K163" i="80"/>
  <c r="J170" i="80"/>
  <c r="J178" i="80"/>
  <c r="O193" i="80"/>
  <c r="P193" i="80" s="1"/>
  <c r="K108" i="80"/>
  <c r="H7" i="78" s="1"/>
  <c r="K119" i="80"/>
  <c r="K154" i="80"/>
  <c r="O189" i="80"/>
  <c r="P189" i="80" s="1"/>
  <c r="C236" i="80"/>
  <c r="O107" i="80"/>
  <c r="P107" i="80" s="1"/>
  <c r="R107" i="80" s="1"/>
  <c r="S107" i="80" s="1"/>
  <c r="U108" i="80" s="1"/>
  <c r="H6" i="78" s="1"/>
  <c r="J117" i="80"/>
  <c r="O118" i="80"/>
  <c r="P118" i="80" s="1"/>
  <c r="R118" i="80" s="1"/>
  <c r="S118" i="80" s="1"/>
  <c r="J128" i="80"/>
  <c r="O153" i="80"/>
  <c r="P153" i="80" s="1"/>
  <c r="R153" i="80" s="1"/>
  <c r="S153" i="80" s="1"/>
  <c r="J160" i="80"/>
  <c r="O169" i="80"/>
  <c r="P169" i="80" s="1"/>
  <c r="R169" i="80" s="1"/>
  <c r="S169" i="80" s="1"/>
  <c r="O177" i="80"/>
  <c r="P177" i="80" s="1"/>
  <c r="R177" i="80" s="1"/>
  <c r="S177" i="80" s="1"/>
  <c r="O185" i="80"/>
  <c r="P185" i="80" s="1"/>
  <c r="H189" i="80"/>
  <c r="C237" i="80"/>
  <c r="L185" i="80"/>
  <c r="M185" i="80" s="1"/>
  <c r="H185" i="80"/>
  <c r="I189" i="80"/>
  <c r="Q189" i="80"/>
  <c r="K201" i="80"/>
  <c r="J114" i="80"/>
  <c r="H15" i="78" s="1"/>
  <c r="J134" i="80"/>
  <c r="J166" i="80"/>
  <c r="J174" i="80"/>
  <c r="H20" i="78" s="1"/>
  <c r="J182" i="80"/>
  <c r="I185" i="80"/>
  <c r="Q185" i="80"/>
  <c r="K114" i="80"/>
  <c r="H17" i="78" s="1"/>
  <c r="K134" i="80"/>
  <c r="J33" i="65"/>
  <c r="I5" i="62" s="1"/>
  <c r="J44" i="65"/>
  <c r="I11" i="62" s="1"/>
  <c r="R123" i="66"/>
  <c r="S123" i="66" s="1"/>
  <c r="J53" i="65"/>
  <c r="I14" i="62" s="1"/>
  <c r="J125" i="65"/>
  <c r="I7" i="64" s="1"/>
  <c r="D1" i="62"/>
  <c r="J107" i="66"/>
  <c r="O109" i="66"/>
  <c r="P109" i="66" s="1"/>
  <c r="R109" i="66" s="1"/>
  <c r="S109" i="66" s="1"/>
  <c r="L110" i="66"/>
  <c r="M110" i="66" s="1"/>
  <c r="R110" i="66" s="1"/>
  <c r="S110" i="66" s="1"/>
  <c r="Q115" i="66"/>
  <c r="R115" i="66" s="1"/>
  <c r="S115" i="66" s="1"/>
  <c r="L120" i="66"/>
  <c r="M120" i="66" s="1"/>
  <c r="J121" i="66"/>
  <c r="G129" i="66"/>
  <c r="J185" i="72"/>
  <c r="Q185" i="72"/>
  <c r="I185" i="72"/>
  <c r="H185" i="72"/>
  <c r="H7" i="62"/>
  <c r="R112" i="66"/>
  <c r="S112" i="66" s="1"/>
  <c r="J115" i="66"/>
  <c r="K121" i="66"/>
  <c r="H129" i="66"/>
  <c r="Q129" i="66"/>
  <c r="O132" i="66"/>
  <c r="P132" i="66" s="1"/>
  <c r="R132" i="66" s="1"/>
  <c r="S132" i="66" s="1"/>
  <c r="O135" i="66"/>
  <c r="P135" i="66" s="1"/>
  <c r="H143" i="66"/>
  <c r="G143" i="66"/>
  <c r="L143" i="66"/>
  <c r="M143" i="66" s="1"/>
  <c r="K143" i="66"/>
  <c r="L150" i="72"/>
  <c r="M150" i="72" s="1"/>
  <c r="R150" i="72" s="1"/>
  <c r="S150" i="72" s="1"/>
  <c r="K150" i="72"/>
  <c r="J150" i="72"/>
  <c r="E236" i="72"/>
  <c r="G236" i="72" s="1"/>
  <c r="E235" i="72"/>
  <c r="G235" i="72" s="1"/>
  <c r="C233" i="72"/>
  <c r="C232" i="72"/>
  <c r="I129" i="66"/>
  <c r="O197" i="66"/>
  <c r="P197" i="66" s="1"/>
  <c r="R197" i="66" s="1"/>
  <c r="S197" i="66" s="1"/>
  <c r="R129" i="72"/>
  <c r="S129" i="72" s="1"/>
  <c r="G120" i="66"/>
  <c r="O120" i="66"/>
  <c r="P120" i="66" s="1"/>
  <c r="K129" i="66"/>
  <c r="D130" i="66"/>
  <c r="R141" i="66"/>
  <c r="S141" i="66" s="1"/>
  <c r="L147" i="66"/>
  <c r="M147" i="66" s="1"/>
  <c r="K147" i="66"/>
  <c r="Q147" i="66"/>
  <c r="I147" i="66"/>
  <c r="H147" i="66"/>
  <c r="O161" i="66"/>
  <c r="P161" i="66" s="1"/>
  <c r="R161" i="66" s="1"/>
  <c r="S161" i="66" s="1"/>
  <c r="J69" i="71"/>
  <c r="R117" i="72"/>
  <c r="S117" i="72" s="1"/>
  <c r="R145" i="72"/>
  <c r="S145" i="72" s="1"/>
  <c r="I106" i="66"/>
  <c r="Q106" i="66"/>
  <c r="H120" i="66"/>
  <c r="O126" i="66"/>
  <c r="P126" i="66" s="1"/>
  <c r="R126" i="66" s="1"/>
  <c r="S126" i="66" s="1"/>
  <c r="L129" i="66"/>
  <c r="M129" i="66" s="1"/>
  <c r="I135" i="66"/>
  <c r="J138" i="66"/>
  <c r="G147" i="66"/>
  <c r="R155" i="66"/>
  <c r="S155" i="66" s="1"/>
  <c r="O169" i="66"/>
  <c r="P169" i="66" s="1"/>
  <c r="R169" i="66" s="1"/>
  <c r="S169" i="66" s="1"/>
  <c r="R113" i="72"/>
  <c r="S113" i="72" s="1"/>
  <c r="R147" i="72"/>
  <c r="S147" i="72" s="1"/>
  <c r="R169" i="72"/>
  <c r="S169" i="72" s="1"/>
  <c r="J113" i="66"/>
  <c r="I11" i="63" s="1"/>
  <c r="I120" i="66"/>
  <c r="Q120" i="66"/>
  <c r="K135" i="66"/>
  <c r="E136" i="66"/>
  <c r="K138" i="66"/>
  <c r="E139" i="66"/>
  <c r="J147" i="66"/>
  <c r="R153" i="66"/>
  <c r="S153" i="66" s="1"/>
  <c r="O177" i="66"/>
  <c r="P177" i="66" s="1"/>
  <c r="R177" i="66" s="1"/>
  <c r="S177" i="66" s="1"/>
  <c r="H6" i="69"/>
  <c r="R120" i="72"/>
  <c r="S120" i="72" s="1"/>
  <c r="R177" i="72"/>
  <c r="S177" i="72" s="1"/>
  <c r="L185" i="72"/>
  <c r="M185" i="72" s="1"/>
  <c r="O193" i="72"/>
  <c r="P193" i="72" s="1"/>
  <c r="K106" i="66"/>
  <c r="J120" i="66"/>
  <c r="J124" i="66"/>
  <c r="Q133" i="66"/>
  <c r="R133" i="66" s="1"/>
  <c r="S133" i="66" s="1"/>
  <c r="L135" i="66"/>
  <c r="M135" i="66" s="1"/>
  <c r="L138" i="66"/>
  <c r="M138" i="66" s="1"/>
  <c r="R138" i="66" s="1"/>
  <c r="S138" i="66" s="1"/>
  <c r="Q143" i="66"/>
  <c r="J189" i="66"/>
  <c r="Q189" i="66"/>
  <c r="R189" i="66" s="1"/>
  <c r="S189" i="66" s="1"/>
  <c r="I189" i="66"/>
  <c r="H189" i="66"/>
  <c r="E236" i="66"/>
  <c r="G236" i="66" s="1"/>
  <c r="E235" i="66"/>
  <c r="G235" i="66" s="1"/>
  <c r="C233" i="66"/>
  <c r="C232" i="66"/>
  <c r="L118" i="72"/>
  <c r="M118" i="72" s="1"/>
  <c r="R118" i="72" s="1"/>
  <c r="S118" i="72" s="1"/>
  <c r="K118" i="72"/>
  <c r="J118" i="72"/>
  <c r="O136" i="72"/>
  <c r="P136" i="72" s="1"/>
  <c r="R136" i="72" s="1"/>
  <c r="S136" i="72" s="1"/>
  <c r="R141" i="72"/>
  <c r="S141" i="72" s="1"/>
  <c r="R149" i="72"/>
  <c r="S149" i="72" s="1"/>
  <c r="K153" i="66"/>
  <c r="R112" i="72"/>
  <c r="S112" i="72" s="1"/>
  <c r="U113" i="72" s="1"/>
  <c r="I12" i="70" s="1"/>
  <c r="R138" i="72"/>
  <c r="S138" i="72" s="1"/>
  <c r="O126" i="72"/>
  <c r="P126" i="72" s="1"/>
  <c r="R126" i="72" s="1"/>
  <c r="S126" i="72" s="1"/>
  <c r="O139" i="72"/>
  <c r="P139" i="72" s="1"/>
  <c r="R139" i="72" s="1"/>
  <c r="S139" i="72" s="1"/>
  <c r="R161" i="72"/>
  <c r="S161" i="72" s="1"/>
  <c r="I17" i="70" s="1"/>
  <c r="J174" i="72"/>
  <c r="O189" i="72"/>
  <c r="P189" i="72" s="1"/>
  <c r="R189" i="72" s="1"/>
  <c r="S189" i="72" s="1"/>
  <c r="H193" i="72"/>
  <c r="I197" i="72"/>
  <c r="Q197" i="72"/>
  <c r="R197" i="72" s="1"/>
  <c r="S197" i="72" s="1"/>
  <c r="N208" i="72"/>
  <c r="O208" i="72" s="1"/>
  <c r="P208" i="72" s="1"/>
  <c r="Q193" i="72"/>
  <c r="O185" i="66"/>
  <c r="P185" i="66" s="1"/>
  <c r="R185" i="66" s="1"/>
  <c r="S185" i="66" s="1"/>
  <c r="O132" i="72"/>
  <c r="P132" i="72" s="1"/>
  <c r="R132" i="72" s="1"/>
  <c r="S132" i="72" s="1"/>
  <c r="O143" i="72"/>
  <c r="P143" i="72" s="1"/>
  <c r="R143" i="72" s="1"/>
  <c r="S143" i="72" s="1"/>
  <c r="G165" i="72"/>
  <c r="O165" i="72"/>
  <c r="P165" i="72" s="1"/>
  <c r="O173" i="72"/>
  <c r="P173" i="72" s="1"/>
  <c r="R173" i="72" s="1"/>
  <c r="S173" i="72" s="1"/>
  <c r="O181" i="72"/>
  <c r="P181" i="72" s="1"/>
  <c r="I189" i="72"/>
  <c r="N207" i="72"/>
  <c r="O207" i="72" s="1"/>
  <c r="P207" i="72" s="1"/>
  <c r="J156" i="66"/>
  <c r="H185" i="66"/>
  <c r="H181" i="72"/>
  <c r="K156" i="66"/>
  <c r="I185" i="66"/>
  <c r="J110" i="72"/>
  <c r="K113" i="72"/>
  <c r="I13" i="70" s="1"/>
  <c r="J121" i="72"/>
  <c r="J153" i="72"/>
  <c r="I165" i="72"/>
  <c r="Q165" i="72"/>
  <c r="J170" i="72"/>
  <c r="J178" i="72"/>
  <c r="I181" i="72"/>
  <c r="Q181" i="72"/>
  <c r="J165" i="72"/>
  <c r="R135" i="66" l="1"/>
  <c r="S135" i="66" s="1"/>
  <c r="K118" i="66"/>
  <c r="J166" i="72"/>
  <c r="J116" i="66"/>
  <c r="U111" i="80"/>
  <c r="H11" i="78" s="1"/>
  <c r="R193" i="80"/>
  <c r="S193" i="80" s="1"/>
  <c r="K116" i="66"/>
  <c r="J118" i="66"/>
  <c r="R117" i="66"/>
  <c r="S117" i="66" s="1"/>
  <c r="R129" i="66"/>
  <c r="S129" i="66" s="1"/>
  <c r="R185" i="72"/>
  <c r="S185" i="72" s="1"/>
  <c r="U116" i="66"/>
  <c r="R106" i="66"/>
  <c r="S106" i="66" s="1"/>
  <c r="U107" i="66" s="1"/>
  <c r="R201" i="80"/>
  <c r="S201" i="80" s="1"/>
  <c r="R193" i="72"/>
  <c r="S193" i="72" s="1"/>
  <c r="U107" i="72"/>
  <c r="I7" i="70" s="1"/>
  <c r="U117" i="80"/>
  <c r="G238" i="72"/>
  <c r="J238" i="72" s="1"/>
  <c r="K107" i="66"/>
  <c r="K124" i="66"/>
  <c r="L124" i="66"/>
  <c r="M124" i="66" s="1"/>
  <c r="R124" i="66" s="1"/>
  <c r="S124" i="66" s="1"/>
  <c r="U116" i="72"/>
  <c r="R181" i="72"/>
  <c r="S181" i="72" s="1"/>
  <c r="R120" i="66"/>
  <c r="S120" i="66" s="1"/>
  <c r="R185" i="80"/>
  <c r="S185" i="80" s="1"/>
  <c r="G242" i="80"/>
  <c r="J242" i="80" s="1"/>
  <c r="R189" i="80"/>
  <c r="S189" i="80" s="1"/>
  <c r="R165" i="72"/>
  <c r="S165" i="72" s="1"/>
  <c r="Q208" i="72"/>
  <c r="S208" i="72" s="1"/>
  <c r="I15" i="62"/>
  <c r="G238" i="66"/>
  <c r="J238" i="66" s="1"/>
  <c r="R147" i="66"/>
  <c r="S147" i="66" s="1"/>
  <c r="I7" i="63"/>
  <c r="U110" i="66"/>
  <c r="Q136" i="66"/>
  <c r="G136" i="66"/>
  <c r="H136" i="66"/>
  <c r="L136" i="66"/>
  <c r="M136" i="66" s="1"/>
  <c r="K136" i="66"/>
  <c r="J136" i="66"/>
  <c r="L130" i="66"/>
  <c r="M130" i="66" s="1"/>
  <c r="R130" i="66" s="1"/>
  <c r="S130" i="66" s="1"/>
  <c r="K130" i="66"/>
  <c r="J130" i="66"/>
  <c r="Q207" i="72"/>
  <c r="S207" i="72" s="1"/>
  <c r="U113" i="66"/>
  <c r="I12" i="63"/>
  <c r="K139" i="66"/>
  <c r="J139" i="66"/>
  <c r="G139" i="66"/>
  <c r="Q139" i="66"/>
  <c r="H139" i="66"/>
  <c r="L139" i="66"/>
  <c r="M139" i="66" s="1"/>
  <c r="R143" i="66"/>
  <c r="S143" i="66" s="1"/>
  <c r="R139" i="66" l="1"/>
  <c r="S139" i="66" s="1"/>
  <c r="U208" i="72"/>
  <c r="I21" i="70" s="1"/>
  <c r="R136" i="66"/>
  <c r="S136" i="66" s="1"/>
  <c r="D1" i="53" l="1"/>
  <c r="D1" i="54" s="1"/>
  <c r="D1" i="55" s="1"/>
  <c r="D1" i="56" s="1"/>
  <c r="B8" i="52"/>
  <c r="B7" i="52"/>
  <c r="B6" i="52"/>
  <c r="B5" i="52"/>
  <c r="N122" i="58"/>
  <c r="E122" i="58"/>
  <c r="K122" i="58" s="1"/>
  <c r="H35" i="55" s="1"/>
  <c r="N118" i="58"/>
  <c r="E118" i="58"/>
  <c r="K118" i="58" s="1"/>
  <c r="H30" i="55" s="1"/>
  <c r="N116" i="58"/>
  <c r="N115" i="58"/>
  <c r="O115" i="58" s="1"/>
  <c r="P115" i="58" s="1"/>
  <c r="E115" i="58"/>
  <c r="Q115" i="58" s="1"/>
  <c r="N113" i="58"/>
  <c r="N112" i="58"/>
  <c r="O112" i="58" s="1"/>
  <c r="P112" i="58" s="1"/>
  <c r="K112" i="58"/>
  <c r="G112" i="58"/>
  <c r="E112" i="58"/>
  <c r="D113" i="58" s="1"/>
  <c r="L113" i="58" s="1"/>
  <c r="M113" i="58" s="1"/>
  <c r="N110" i="58"/>
  <c r="N109" i="58"/>
  <c r="O109" i="58" s="1"/>
  <c r="P109" i="58" s="1"/>
  <c r="E109" i="58"/>
  <c r="D110" i="58" s="1"/>
  <c r="N107" i="58"/>
  <c r="N106" i="58"/>
  <c r="E106" i="58"/>
  <c r="K106" i="58" s="1"/>
  <c r="F111" i="57"/>
  <c r="G111" i="57" s="1"/>
  <c r="I111" i="57" s="1"/>
  <c r="J111" i="57" s="1"/>
  <c r="H16" i="54" s="1"/>
  <c r="F105" i="57"/>
  <c r="J105" i="57" s="1"/>
  <c r="F104" i="57"/>
  <c r="J104" i="57" s="1"/>
  <c r="F99" i="57"/>
  <c r="I99" i="57" s="1"/>
  <c r="J99" i="57" s="1"/>
  <c r="H6" i="56" s="1"/>
  <c r="C91" i="57"/>
  <c r="F91" i="57" s="1"/>
  <c r="G91" i="57" s="1"/>
  <c r="I91" i="57" s="1"/>
  <c r="J91" i="57" s="1"/>
  <c r="H14" i="55" s="1"/>
  <c r="C86" i="57"/>
  <c r="F86" i="57" s="1"/>
  <c r="G86" i="57" s="1"/>
  <c r="I86" i="57" s="1"/>
  <c r="J86" i="57" s="1"/>
  <c r="H37" i="55" s="1"/>
  <c r="C79" i="57"/>
  <c r="F79" i="57" s="1"/>
  <c r="G79" i="57" s="1"/>
  <c r="I79" i="57" s="1"/>
  <c r="J79" i="57" s="1"/>
  <c r="H41" i="55" s="1"/>
  <c r="F67" i="57"/>
  <c r="G67" i="57" s="1"/>
  <c r="I67" i="57" s="1"/>
  <c r="J67" i="57" s="1"/>
  <c r="F66" i="57"/>
  <c r="G66" i="57" s="1"/>
  <c r="I66" i="57" s="1"/>
  <c r="J66" i="57" s="1"/>
  <c r="F65" i="57"/>
  <c r="G65" i="57" s="1"/>
  <c r="I65" i="57" s="1"/>
  <c r="J65" i="57" s="1"/>
  <c r="B61" i="57"/>
  <c r="F61" i="57" s="1"/>
  <c r="G61" i="57" s="1"/>
  <c r="I61" i="57" s="1"/>
  <c r="J61" i="57" s="1"/>
  <c r="B60" i="57"/>
  <c r="F60" i="57" s="1"/>
  <c r="G60" i="57" s="1"/>
  <c r="I60" i="57" s="1"/>
  <c r="J60" i="57" s="1"/>
  <c r="C57" i="57"/>
  <c r="B57" i="57"/>
  <c r="F56" i="57"/>
  <c r="G56" i="57" s="1"/>
  <c r="I56" i="57" s="1"/>
  <c r="J56" i="57" s="1"/>
  <c r="C53" i="57"/>
  <c r="B53" i="57"/>
  <c r="F52" i="57"/>
  <c r="G52" i="57" s="1"/>
  <c r="I52" i="57" s="1"/>
  <c r="J52" i="57" s="1"/>
  <c r="F51" i="57"/>
  <c r="G51" i="57" s="1"/>
  <c r="I51" i="57" s="1"/>
  <c r="J51" i="57" s="1"/>
  <c r="B41" i="57"/>
  <c r="F41" i="57" s="1"/>
  <c r="I41" i="57" s="1"/>
  <c r="J41" i="57" s="1"/>
  <c r="F39" i="57"/>
  <c r="I39" i="57" s="1"/>
  <c r="J39" i="57" s="1"/>
  <c r="F37" i="57"/>
  <c r="I37" i="57" s="1"/>
  <c r="J37" i="57" s="1"/>
  <c r="F36" i="57"/>
  <c r="I36" i="57" s="1"/>
  <c r="J36" i="57" s="1"/>
  <c r="F34" i="57"/>
  <c r="I34" i="57" s="1"/>
  <c r="J34" i="57" s="1"/>
  <c r="F33" i="57"/>
  <c r="I33" i="57" s="1"/>
  <c r="J33" i="57" s="1"/>
  <c r="F23" i="57"/>
  <c r="I23" i="57" s="1"/>
  <c r="J23" i="57" s="1"/>
  <c r="F22" i="57"/>
  <c r="I22" i="57" s="1"/>
  <c r="J22" i="57" s="1"/>
  <c r="F21" i="57"/>
  <c r="F20" i="57"/>
  <c r="F19" i="57"/>
  <c r="I19" i="57" s="1"/>
  <c r="J19" i="57" s="1"/>
  <c r="F16" i="57"/>
  <c r="I16" i="57" s="1"/>
  <c r="J16" i="57" s="1"/>
  <c r="F15" i="57"/>
  <c r="I15" i="57" s="1"/>
  <c r="J15" i="57" s="1"/>
  <c r="F13" i="57"/>
  <c r="I13" i="57" s="1"/>
  <c r="J13" i="57" s="1"/>
  <c r="F12" i="57"/>
  <c r="I12" i="57" s="1"/>
  <c r="J12" i="57" s="1"/>
  <c r="F10" i="57"/>
  <c r="I10" i="57" s="1"/>
  <c r="J10" i="57" s="1"/>
  <c r="F9" i="57"/>
  <c r="I9" i="57" s="1"/>
  <c r="J9" i="57" s="1"/>
  <c r="F6" i="57"/>
  <c r="I6" i="57" s="1"/>
  <c r="J6" i="57" s="1"/>
  <c r="H14" i="54"/>
  <c r="I4" i="54"/>
  <c r="F53" i="57" l="1"/>
  <c r="G53" i="57" s="1"/>
  <c r="I53" i="57" s="1"/>
  <c r="J53" i="57" s="1"/>
  <c r="F57" i="57"/>
  <c r="G57" i="57" s="1"/>
  <c r="I57" i="57" s="1"/>
  <c r="J57" i="57" s="1"/>
  <c r="J106" i="57"/>
  <c r="H4" i="56" s="1"/>
  <c r="H109" i="58"/>
  <c r="C80" i="57"/>
  <c r="F80" i="57" s="1"/>
  <c r="G80" i="57" s="1"/>
  <c r="I80" i="57" s="1"/>
  <c r="J80" i="57" s="1"/>
  <c r="R113" i="58"/>
  <c r="S113" i="58" s="1"/>
  <c r="E82" i="57"/>
  <c r="F82" i="57" s="1"/>
  <c r="G82" i="57" s="1"/>
  <c r="I82" i="57" s="1"/>
  <c r="J82" i="57" s="1"/>
  <c r="H43" i="55" s="1"/>
  <c r="C92" i="57"/>
  <c r="F92" i="57" s="1"/>
  <c r="G92" i="57" s="1"/>
  <c r="I92" i="57" s="1"/>
  <c r="J92" i="57" s="1"/>
  <c r="H15" i="55" s="1"/>
  <c r="G109" i="58"/>
  <c r="J112" i="58"/>
  <c r="L115" i="58"/>
  <c r="M115" i="58" s="1"/>
  <c r="R115" i="58" s="1"/>
  <c r="S115" i="58" s="1"/>
  <c r="J62" i="57"/>
  <c r="I109" i="58"/>
  <c r="H9" i="55" s="1"/>
  <c r="Q109" i="58"/>
  <c r="H112" i="58"/>
  <c r="L112" i="58"/>
  <c r="M112" i="58" s="1"/>
  <c r="R112" i="58" s="1"/>
  <c r="S112" i="58" s="1"/>
  <c r="H19" i="55" s="1"/>
  <c r="Q112" i="58"/>
  <c r="J115" i="58"/>
  <c r="D116" i="58"/>
  <c r="J116" i="58" s="1"/>
  <c r="H23" i="55" s="1"/>
  <c r="J43" i="57"/>
  <c r="H4" i="54" s="1"/>
  <c r="J68" i="57"/>
  <c r="H11" i="54" s="1"/>
  <c r="I112" i="58"/>
  <c r="H17" i="55" s="1"/>
  <c r="K115" i="58"/>
  <c r="J58" i="57"/>
  <c r="H10" i="54" s="1"/>
  <c r="J25" i="57"/>
  <c r="H4" i="53" s="1"/>
  <c r="J110" i="58"/>
  <c r="L110" i="58"/>
  <c r="M110" i="58" s="1"/>
  <c r="R110" i="58" s="1"/>
  <c r="S110" i="58" s="1"/>
  <c r="K110" i="58"/>
  <c r="L106" i="58"/>
  <c r="M106" i="58" s="1"/>
  <c r="D107" i="58"/>
  <c r="D119" i="58"/>
  <c r="D123" i="58"/>
  <c r="D120" i="58"/>
  <c r="D124" i="58"/>
  <c r="O106" i="58"/>
  <c r="P106" i="58" s="1"/>
  <c r="G122" i="58"/>
  <c r="H106" i="58"/>
  <c r="K116" i="58"/>
  <c r="C81" i="57"/>
  <c r="F81" i="57" s="1"/>
  <c r="G81" i="57" s="1"/>
  <c r="I81" i="57" s="1"/>
  <c r="J81" i="57" s="1"/>
  <c r="H42" i="55" s="1"/>
  <c r="I106" i="58"/>
  <c r="Q106" i="58"/>
  <c r="K109" i="58"/>
  <c r="J113" i="58"/>
  <c r="H18" i="55" s="1"/>
  <c r="G115" i="58"/>
  <c r="L116" i="58"/>
  <c r="M116" i="58" s="1"/>
  <c r="R116" i="58" s="1"/>
  <c r="S116" i="58" s="1"/>
  <c r="H24" i="55" s="1"/>
  <c r="G118" i="58"/>
  <c r="O118" i="58"/>
  <c r="P118" i="58" s="1"/>
  <c r="O122" i="58"/>
  <c r="P122" i="58" s="1"/>
  <c r="J109" i="58"/>
  <c r="J106" i="58"/>
  <c r="L109" i="58"/>
  <c r="M109" i="58" s="1"/>
  <c r="R109" i="58" s="1"/>
  <c r="S109" i="58" s="1"/>
  <c r="H11" i="55" s="1"/>
  <c r="K113" i="58"/>
  <c r="H20" i="55" s="1"/>
  <c r="H115" i="58"/>
  <c r="G106" i="58"/>
  <c r="I115" i="58"/>
  <c r="H22" i="55" s="1"/>
  <c r="J45" i="57" l="1"/>
  <c r="H7" i="54" s="1"/>
  <c r="G125" i="58"/>
  <c r="H25" i="55"/>
  <c r="H12" i="55"/>
  <c r="R106" i="58"/>
  <c r="S106" i="58" s="1"/>
  <c r="K107" i="58"/>
  <c r="L107" i="58"/>
  <c r="M107" i="58" s="1"/>
  <c r="R107" i="58" s="1"/>
  <c r="S107" i="58" s="1"/>
  <c r="J107" i="58"/>
  <c r="H5" i="55" s="1"/>
  <c r="K4" i="54"/>
  <c r="H5" i="54"/>
  <c r="J118" i="58"/>
  <c r="H28" i="55" s="1"/>
  <c r="Q118" i="58"/>
  <c r="I118" i="58"/>
  <c r="H27" i="55" s="1"/>
  <c r="H118" i="58"/>
  <c r="L118" i="58"/>
  <c r="M118" i="58" s="1"/>
  <c r="H10" i="55"/>
  <c r="H4" i="55"/>
  <c r="H39" i="55"/>
  <c r="J122" i="58"/>
  <c r="H33" i="55" s="1"/>
  <c r="Q122" i="58"/>
  <c r="I122" i="58"/>
  <c r="H32" i="55" s="1"/>
  <c r="H122" i="58"/>
  <c r="L122" i="58"/>
  <c r="M122" i="58" s="1"/>
  <c r="H125" i="58" l="1"/>
  <c r="J125" i="58"/>
  <c r="H9" i="54"/>
  <c r="J71" i="57"/>
  <c r="K125" i="58"/>
  <c r="H7" i="55"/>
  <c r="H6" i="55"/>
  <c r="R122" i="58"/>
  <c r="S122" i="58" s="1"/>
  <c r="H34" i="55" s="1"/>
  <c r="I125" i="58"/>
  <c r="R118" i="58"/>
  <c r="S118" i="58" s="1"/>
  <c r="H29" i="55" s="1"/>
  <c r="S125" i="58" l="1"/>
  <c r="R15" i="51" l="1"/>
  <c r="S15" i="51" s="1"/>
  <c r="P15" i="51"/>
  <c r="Q15" i="51" s="1"/>
  <c r="D15" i="51"/>
  <c r="J15" i="51" s="1"/>
  <c r="J86" i="49" s="1"/>
  <c r="H32" i="47" s="1"/>
  <c r="R13" i="51"/>
  <c r="S13" i="51" s="1"/>
  <c r="P13" i="51"/>
  <c r="Q13" i="51" s="1"/>
  <c r="D13" i="51"/>
  <c r="G13" i="51" s="1"/>
  <c r="G8" i="51"/>
  <c r="G6" i="51"/>
  <c r="G4" i="51"/>
  <c r="N113" i="50"/>
  <c r="O113" i="50" s="1"/>
  <c r="P113" i="50" s="1"/>
  <c r="E113" i="50"/>
  <c r="G113" i="50" s="1"/>
  <c r="N110" i="50"/>
  <c r="N109" i="50"/>
  <c r="O109" i="50" s="1"/>
  <c r="P109" i="50" s="1"/>
  <c r="E109" i="50"/>
  <c r="G109" i="50" s="1"/>
  <c r="N107" i="50"/>
  <c r="N106" i="50"/>
  <c r="O106" i="50" s="1"/>
  <c r="P106" i="50" s="1"/>
  <c r="E106" i="50"/>
  <c r="D107" i="50" s="1"/>
  <c r="I124" i="49"/>
  <c r="J124" i="49" s="1"/>
  <c r="I120" i="49"/>
  <c r="J120" i="49" s="1"/>
  <c r="H6" i="48" s="1"/>
  <c r="B116" i="49"/>
  <c r="E115" i="49"/>
  <c r="B115" i="49"/>
  <c r="E116" i="49" s="1"/>
  <c r="F113" i="49"/>
  <c r="G113" i="49" s="1"/>
  <c r="I113" i="49" s="1"/>
  <c r="B112" i="49"/>
  <c r="F112" i="49" s="1"/>
  <c r="G112" i="49" s="1"/>
  <c r="I112" i="49" s="1"/>
  <c r="J113" i="49" s="1"/>
  <c r="H49" i="47" s="1"/>
  <c r="F111" i="49"/>
  <c r="G111" i="49" s="1"/>
  <c r="I111" i="49" s="1"/>
  <c r="J111" i="49" s="1"/>
  <c r="H47" i="47" s="1"/>
  <c r="B107" i="49"/>
  <c r="F107" i="49" s="1"/>
  <c r="G107" i="49" s="1"/>
  <c r="I107" i="49" s="1"/>
  <c r="J107" i="49" s="1"/>
  <c r="H40" i="47" s="1"/>
  <c r="F106" i="49"/>
  <c r="G106" i="49" s="1"/>
  <c r="I106" i="49" s="1"/>
  <c r="B105" i="49"/>
  <c r="E104" i="49"/>
  <c r="B104" i="49"/>
  <c r="E105" i="49" s="1"/>
  <c r="B102" i="49"/>
  <c r="F102" i="49" s="1"/>
  <c r="G102" i="49" s="1"/>
  <c r="I102" i="49" s="1"/>
  <c r="J102" i="49" s="1"/>
  <c r="H45" i="47" s="1"/>
  <c r="B101" i="49"/>
  <c r="F101" i="49" s="1"/>
  <c r="G101" i="49" s="1"/>
  <c r="I101" i="49" s="1"/>
  <c r="J101" i="49" s="1"/>
  <c r="H42" i="47" s="1"/>
  <c r="E100" i="49"/>
  <c r="F100" i="49" s="1"/>
  <c r="G100" i="49" s="1"/>
  <c r="I100" i="49" s="1"/>
  <c r="J100" i="49" s="1"/>
  <c r="H44" i="47" s="1"/>
  <c r="C95" i="49"/>
  <c r="B95" i="49"/>
  <c r="B96" i="49" s="1"/>
  <c r="B97" i="49" s="1"/>
  <c r="F94" i="49"/>
  <c r="G94" i="49" s="1"/>
  <c r="I94" i="49" s="1"/>
  <c r="J94" i="49" s="1"/>
  <c r="H37" i="47" s="1"/>
  <c r="I61" i="49"/>
  <c r="F59" i="49"/>
  <c r="G59" i="49" s="1"/>
  <c r="I59" i="49" s="1"/>
  <c r="J59" i="49" s="1"/>
  <c r="F56" i="49"/>
  <c r="G56" i="49" s="1"/>
  <c r="I56" i="49" s="1"/>
  <c r="J56" i="49" s="1"/>
  <c r="F53" i="49"/>
  <c r="G53" i="49" s="1"/>
  <c r="I53" i="49" s="1"/>
  <c r="J53" i="49" s="1"/>
  <c r="F52" i="49"/>
  <c r="G52" i="49" s="1"/>
  <c r="I52" i="49" s="1"/>
  <c r="J52" i="49" s="1"/>
  <c r="F51" i="49"/>
  <c r="G51" i="49" s="1"/>
  <c r="I51" i="49" s="1"/>
  <c r="J51" i="49" s="1"/>
  <c r="B50" i="49"/>
  <c r="F50" i="49" s="1"/>
  <c r="G50" i="49" s="1"/>
  <c r="I50" i="49" s="1"/>
  <c r="J50" i="49" s="1"/>
  <c r="F49" i="49"/>
  <c r="G49" i="49" s="1"/>
  <c r="I49" i="49" s="1"/>
  <c r="J49" i="49" s="1"/>
  <c r="I44" i="49"/>
  <c r="I43" i="49"/>
  <c r="J43" i="49" s="1"/>
  <c r="F42" i="49"/>
  <c r="G42" i="49" s="1"/>
  <c r="I42" i="49" s="1"/>
  <c r="J42" i="49" s="1"/>
  <c r="F39" i="49"/>
  <c r="G39" i="49" s="1"/>
  <c r="I39" i="49" s="1"/>
  <c r="J39" i="49" s="1"/>
  <c r="F36" i="49"/>
  <c r="G36" i="49" s="1"/>
  <c r="I36" i="49" s="1"/>
  <c r="J36" i="49" s="1"/>
  <c r="F35" i="49"/>
  <c r="G35" i="49" s="1"/>
  <c r="I35" i="49" s="1"/>
  <c r="J35" i="49" s="1"/>
  <c r="F34" i="49"/>
  <c r="G34" i="49" s="1"/>
  <c r="I34" i="49" s="1"/>
  <c r="J34" i="49" s="1"/>
  <c r="B33" i="49"/>
  <c r="F33" i="49" s="1"/>
  <c r="G33" i="49" s="1"/>
  <c r="I33" i="49" s="1"/>
  <c r="J33" i="49" s="1"/>
  <c r="F32" i="49"/>
  <c r="G32" i="49" s="1"/>
  <c r="I32" i="49" s="1"/>
  <c r="J32" i="49" s="1"/>
  <c r="F22" i="49"/>
  <c r="I22" i="49" s="1"/>
  <c r="J22" i="49" s="1"/>
  <c r="F21" i="49"/>
  <c r="I21" i="49" s="1"/>
  <c r="J21" i="49" s="1"/>
  <c r="C12" i="49"/>
  <c r="J12" i="49" s="1"/>
  <c r="F6" i="49"/>
  <c r="I6" i="49" s="1"/>
  <c r="J6" i="49" s="1"/>
  <c r="H15" i="46"/>
  <c r="H12" i="46"/>
  <c r="F15" i="46"/>
  <c r="G15" i="46" s="1"/>
  <c r="H5" i="46"/>
  <c r="K4" i="46"/>
  <c r="D1" i="46"/>
  <c r="D1" i="47" s="1"/>
  <c r="D1" i="48" s="1"/>
  <c r="E4" i="45"/>
  <c r="B8" i="44"/>
  <c r="B7" i="44"/>
  <c r="B6" i="44"/>
  <c r="B5" i="44"/>
  <c r="F105" i="49" l="1"/>
  <c r="G105" i="49" s="1"/>
  <c r="I105" i="49" s="1"/>
  <c r="J24" i="49"/>
  <c r="J26" i="49" s="1"/>
  <c r="G106" i="50"/>
  <c r="F15" i="51"/>
  <c r="J82" i="49" s="1"/>
  <c r="H27" i="47" s="1"/>
  <c r="G116" i="50"/>
  <c r="J10" i="49" s="1"/>
  <c r="D114" i="50"/>
  <c r="H113" i="50" s="1"/>
  <c r="F95" i="49"/>
  <c r="G95" i="49" s="1"/>
  <c r="I95" i="49" s="1"/>
  <c r="J95" i="49" s="1"/>
  <c r="H38" i="47" s="1"/>
  <c r="H109" i="50"/>
  <c r="Q109" i="50"/>
  <c r="K113" i="50"/>
  <c r="H17" i="47" s="1"/>
  <c r="F13" i="51"/>
  <c r="H13" i="51"/>
  <c r="J72" i="49" s="1"/>
  <c r="H22" i="47" s="1"/>
  <c r="F116" i="49"/>
  <c r="G116" i="49" s="1"/>
  <c r="I116" i="49" s="1"/>
  <c r="I109" i="50"/>
  <c r="H9" i="47" s="1"/>
  <c r="I13" i="51"/>
  <c r="J73" i="49" s="1"/>
  <c r="H23" i="47" s="1"/>
  <c r="F104" i="49"/>
  <c r="G104" i="49" s="1"/>
  <c r="I104" i="49" s="1"/>
  <c r="J105" i="49" s="1"/>
  <c r="H39" i="47" s="1"/>
  <c r="J109" i="50"/>
  <c r="J13" i="51"/>
  <c r="H10" i="46"/>
  <c r="F97" i="49"/>
  <c r="G97" i="49" s="1"/>
  <c r="I97" i="49" s="1"/>
  <c r="B98" i="49"/>
  <c r="J71" i="49"/>
  <c r="H20" i="47" s="1"/>
  <c r="J61" i="49"/>
  <c r="H11" i="46" s="1"/>
  <c r="J107" i="50"/>
  <c r="L107" i="50"/>
  <c r="M107" i="50" s="1"/>
  <c r="R107" i="50" s="1"/>
  <c r="S107" i="50" s="1"/>
  <c r="K107" i="50"/>
  <c r="K15" i="51"/>
  <c r="J87" i="49" s="1"/>
  <c r="H33" i="47" s="1"/>
  <c r="F96" i="49"/>
  <c r="G96" i="49" s="1"/>
  <c r="I96" i="49" s="1"/>
  <c r="H106" i="50"/>
  <c r="E15" i="51"/>
  <c r="M15" i="51"/>
  <c r="J89" i="49" s="1"/>
  <c r="J35" i="47" s="1"/>
  <c r="F115" i="49"/>
  <c r="G115" i="49" s="1"/>
  <c r="I115" i="49" s="1"/>
  <c r="J116" i="49" s="1"/>
  <c r="H48" i="47" s="1"/>
  <c r="I106" i="50"/>
  <c r="Q106" i="50"/>
  <c r="K109" i="50"/>
  <c r="D115" i="50"/>
  <c r="H35" i="47" s="1"/>
  <c r="K13" i="51"/>
  <c r="N15" i="51"/>
  <c r="O15" i="51" s="1"/>
  <c r="V15" i="51" s="1"/>
  <c r="L15" i="51"/>
  <c r="J88" i="49" s="1"/>
  <c r="T15" i="51"/>
  <c r="U15" i="51" s="1"/>
  <c r="W15" i="51" s="1"/>
  <c r="G16" i="46"/>
  <c r="J106" i="50"/>
  <c r="L109" i="50"/>
  <c r="M109" i="50" s="1"/>
  <c r="R109" i="50" s="1"/>
  <c r="S109" i="50" s="1"/>
  <c r="D110" i="50"/>
  <c r="L13" i="51"/>
  <c r="T13" i="51"/>
  <c r="U13" i="51" s="1"/>
  <c r="W13" i="51" s="1"/>
  <c r="G15" i="51"/>
  <c r="J83" i="49" s="1"/>
  <c r="H28" i="47" s="1"/>
  <c r="K106" i="50"/>
  <c r="E13" i="51"/>
  <c r="M13" i="51"/>
  <c r="H15" i="51"/>
  <c r="L106" i="50"/>
  <c r="M106" i="50" s="1"/>
  <c r="R106" i="50" s="1"/>
  <c r="S106" i="50" s="1"/>
  <c r="H6" i="47" s="1"/>
  <c r="N13" i="51"/>
  <c r="O13" i="51" s="1"/>
  <c r="V13" i="51" s="1"/>
  <c r="I15" i="51"/>
  <c r="J85" i="49" s="1"/>
  <c r="H31" i="47" s="1"/>
  <c r="I113" i="50"/>
  <c r="H14" i="47" s="1"/>
  <c r="F17" i="51" l="1"/>
  <c r="E17" i="51"/>
  <c r="J8" i="49" s="1"/>
  <c r="J14" i="49" s="1"/>
  <c r="H4" i="45" s="1"/>
  <c r="H116" i="50"/>
  <c r="J44" i="49" s="1"/>
  <c r="H9" i="46" s="1"/>
  <c r="J70" i="49"/>
  <c r="H19" i="47" s="1"/>
  <c r="J17" i="51"/>
  <c r="J74" i="49"/>
  <c r="H24" i="47" s="1"/>
  <c r="Q113" i="50"/>
  <c r="L113" i="50"/>
  <c r="M113" i="50" s="1"/>
  <c r="R113" i="50" s="1"/>
  <c r="S113" i="50" s="1"/>
  <c r="H16" i="47" s="1"/>
  <c r="J113" i="50"/>
  <c r="H15" i="47" s="1"/>
  <c r="M17" i="51"/>
  <c r="J77" i="49"/>
  <c r="I35" i="47" s="1"/>
  <c r="H5" i="47"/>
  <c r="H17" i="51"/>
  <c r="J84" i="49"/>
  <c r="H30" i="47" s="1"/>
  <c r="J46" i="49"/>
  <c r="I116" i="50"/>
  <c r="H4" i="47"/>
  <c r="L110" i="50"/>
  <c r="M110" i="50" s="1"/>
  <c r="R110" i="50" s="1"/>
  <c r="S110" i="50" s="1"/>
  <c r="H11" i="47" s="1"/>
  <c r="K110" i="50"/>
  <c r="K116" i="50" s="1"/>
  <c r="J110" i="50"/>
  <c r="H10" i="47" s="1"/>
  <c r="H7" i="47"/>
  <c r="X13" i="51"/>
  <c r="X15" i="51"/>
  <c r="J90" i="49" s="1"/>
  <c r="H29" i="47" s="1"/>
  <c r="I17" i="51"/>
  <c r="B99" i="49"/>
  <c r="F99" i="49" s="1"/>
  <c r="G99" i="49" s="1"/>
  <c r="I99" i="49" s="1"/>
  <c r="J99" i="49" s="1"/>
  <c r="H43" i="47" s="1"/>
  <c r="F98" i="49"/>
  <c r="G98" i="49" s="1"/>
  <c r="I98" i="49" s="1"/>
  <c r="J98" i="49" s="1"/>
  <c r="H41" i="47" s="1"/>
  <c r="L17" i="51"/>
  <c r="J76" i="49"/>
  <c r="K17" i="51"/>
  <c r="J75" i="49"/>
  <c r="H25" i="47" s="1"/>
  <c r="G17" i="51"/>
  <c r="H12" i="47" l="1"/>
  <c r="J116" i="50"/>
  <c r="X17" i="51"/>
  <c r="J78" i="49"/>
  <c r="H21" i="47" s="1"/>
  <c r="D1" i="39" l="1"/>
  <c r="H7" i="43"/>
  <c r="O6" i="43"/>
  <c r="H6" i="43"/>
  <c r="C6" i="43"/>
  <c r="R5" i="43"/>
  <c r="O5" i="43"/>
  <c r="N5" i="43"/>
  <c r="L5" i="43"/>
  <c r="K5" i="43"/>
  <c r="J5" i="43"/>
  <c r="D250" i="42"/>
  <c r="H241" i="42"/>
  <c r="D239" i="42"/>
  <c r="D238" i="42"/>
  <c r="C232" i="42"/>
  <c r="E239" i="42" s="1"/>
  <c r="N200" i="42"/>
  <c r="O200" i="42" s="1"/>
  <c r="P200" i="42" s="1"/>
  <c r="E200" i="42"/>
  <c r="D202" i="42" s="1"/>
  <c r="D198" i="42"/>
  <c r="D197" i="42"/>
  <c r="L196" i="42" s="1"/>
  <c r="M196" i="42" s="1"/>
  <c r="Q196" i="42"/>
  <c r="N196" i="42"/>
  <c r="O196" i="42" s="1"/>
  <c r="P196" i="42" s="1"/>
  <c r="K196" i="42"/>
  <c r="I196" i="42"/>
  <c r="G196" i="42"/>
  <c r="D194" i="42"/>
  <c r="D193" i="42"/>
  <c r="L192" i="42" s="1"/>
  <c r="M192" i="42" s="1"/>
  <c r="N192" i="42"/>
  <c r="O192" i="42" s="1"/>
  <c r="P192" i="42" s="1"/>
  <c r="K192" i="42"/>
  <c r="G192" i="42"/>
  <c r="D190" i="42"/>
  <c r="D189" i="42"/>
  <c r="J188" i="42" s="1"/>
  <c r="N188" i="42"/>
  <c r="O188" i="42" s="1"/>
  <c r="P188" i="42" s="1"/>
  <c r="K188" i="42"/>
  <c r="H188" i="42"/>
  <c r="G188" i="42"/>
  <c r="D186" i="42"/>
  <c r="D185" i="42"/>
  <c r="Q184" i="42" s="1"/>
  <c r="N184" i="42"/>
  <c r="K184" i="42"/>
  <c r="G184" i="42"/>
  <c r="D182" i="42"/>
  <c r="M181" i="42"/>
  <c r="R181" i="42" s="1"/>
  <c r="S181" i="42" s="1"/>
  <c r="D181" i="42"/>
  <c r="K181" i="42" s="1"/>
  <c r="Q180" i="42"/>
  <c r="N180" i="42"/>
  <c r="O180" i="42" s="1"/>
  <c r="P180" i="42" s="1"/>
  <c r="L180" i="42"/>
  <c r="M180" i="42" s="1"/>
  <c r="K180" i="42"/>
  <c r="J180" i="42"/>
  <c r="I180" i="42"/>
  <c r="H180" i="42"/>
  <c r="G180" i="42"/>
  <c r="D178" i="42"/>
  <c r="M177" i="42"/>
  <c r="R177" i="42" s="1"/>
  <c r="S177" i="42" s="1"/>
  <c r="D177" i="42"/>
  <c r="J177" i="42" s="1"/>
  <c r="Q176" i="42"/>
  <c r="N176" i="42"/>
  <c r="L176" i="42"/>
  <c r="M176" i="42" s="1"/>
  <c r="K176" i="42"/>
  <c r="J176" i="42"/>
  <c r="I176" i="42"/>
  <c r="H176" i="42"/>
  <c r="G176" i="42"/>
  <c r="D174" i="42"/>
  <c r="M173" i="42"/>
  <c r="R173" i="42" s="1"/>
  <c r="S173" i="42" s="1"/>
  <c r="D173" i="42"/>
  <c r="K173" i="42" s="1"/>
  <c r="Q172" i="42"/>
  <c r="N172" i="42"/>
  <c r="O172" i="42" s="1"/>
  <c r="P172" i="42" s="1"/>
  <c r="L172" i="42"/>
  <c r="M172" i="42" s="1"/>
  <c r="K172" i="42"/>
  <c r="J172" i="42"/>
  <c r="I172" i="42"/>
  <c r="H172" i="42"/>
  <c r="G172" i="42"/>
  <c r="D170" i="42"/>
  <c r="M169" i="42"/>
  <c r="R169" i="42" s="1"/>
  <c r="S169" i="42" s="1"/>
  <c r="D169" i="42"/>
  <c r="K169" i="42" s="1"/>
  <c r="Q168" i="42"/>
  <c r="N168" i="42"/>
  <c r="L168" i="42"/>
  <c r="M168" i="42" s="1"/>
  <c r="K168" i="42"/>
  <c r="J168" i="42"/>
  <c r="I168" i="42"/>
  <c r="H168" i="42"/>
  <c r="G168" i="42"/>
  <c r="D166" i="42"/>
  <c r="M165" i="42"/>
  <c r="R165" i="42" s="1"/>
  <c r="S165" i="42" s="1"/>
  <c r="D165" i="42"/>
  <c r="K165" i="42" s="1"/>
  <c r="Q164" i="42"/>
  <c r="N164" i="42"/>
  <c r="O164" i="42" s="1"/>
  <c r="P164" i="42" s="1"/>
  <c r="L164" i="42"/>
  <c r="M164" i="42" s="1"/>
  <c r="K164" i="42"/>
  <c r="J164" i="42"/>
  <c r="I164" i="42"/>
  <c r="H164" i="42"/>
  <c r="G164" i="42"/>
  <c r="N162" i="42"/>
  <c r="D162" i="42"/>
  <c r="J162" i="42" s="1"/>
  <c r="Q161" i="42"/>
  <c r="O161" i="42"/>
  <c r="P161" i="42" s="1"/>
  <c r="N161" i="42"/>
  <c r="L161" i="42"/>
  <c r="M161" i="42" s="1"/>
  <c r="K161" i="42"/>
  <c r="J161" i="42"/>
  <c r="I161" i="42"/>
  <c r="H161" i="42"/>
  <c r="G161" i="42"/>
  <c r="N159" i="42"/>
  <c r="D159" i="42"/>
  <c r="L159" i="42" s="1"/>
  <c r="M159" i="42" s="1"/>
  <c r="Q158" i="42"/>
  <c r="O158" i="42"/>
  <c r="P158" i="42" s="1"/>
  <c r="N158" i="42"/>
  <c r="L158" i="42"/>
  <c r="M158" i="42" s="1"/>
  <c r="K158" i="42"/>
  <c r="J158" i="42"/>
  <c r="I158" i="42"/>
  <c r="H158" i="42"/>
  <c r="G158" i="42"/>
  <c r="N156" i="42"/>
  <c r="J156" i="42"/>
  <c r="D156" i="42"/>
  <c r="L156" i="42" s="1"/>
  <c r="M156" i="42" s="1"/>
  <c r="Q155" i="42"/>
  <c r="N155" i="42"/>
  <c r="O155" i="42" s="1"/>
  <c r="P155" i="42" s="1"/>
  <c r="L155" i="42"/>
  <c r="M155" i="42" s="1"/>
  <c r="K155" i="42"/>
  <c r="J155" i="42"/>
  <c r="I155" i="42"/>
  <c r="H155" i="42"/>
  <c r="G155" i="42"/>
  <c r="N153" i="42"/>
  <c r="D153" i="42"/>
  <c r="L153" i="42" s="1"/>
  <c r="M153" i="42" s="1"/>
  <c r="Q152" i="42"/>
  <c r="N152" i="42"/>
  <c r="L152" i="42"/>
  <c r="M152" i="42" s="1"/>
  <c r="K152" i="42"/>
  <c r="J152" i="42"/>
  <c r="I152" i="42"/>
  <c r="H152" i="42"/>
  <c r="G152" i="42"/>
  <c r="Q150" i="42"/>
  <c r="O150" i="42"/>
  <c r="P150" i="42" s="1"/>
  <c r="N150" i="42"/>
  <c r="L150" i="42"/>
  <c r="M150" i="42" s="1"/>
  <c r="K150" i="42"/>
  <c r="J150" i="42"/>
  <c r="I150" i="42"/>
  <c r="H150" i="42"/>
  <c r="G150" i="42"/>
  <c r="Q148" i="42"/>
  <c r="O148" i="42"/>
  <c r="P148" i="42" s="1"/>
  <c r="N148" i="42"/>
  <c r="L148" i="42"/>
  <c r="M148" i="42" s="1"/>
  <c r="K148" i="42"/>
  <c r="J148" i="42"/>
  <c r="I148" i="42"/>
  <c r="H148" i="42"/>
  <c r="G148" i="42"/>
  <c r="Q146" i="42"/>
  <c r="N146" i="42"/>
  <c r="O146" i="42" s="1"/>
  <c r="P146" i="42" s="1"/>
  <c r="L146" i="42"/>
  <c r="M146" i="42" s="1"/>
  <c r="K146" i="42"/>
  <c r="J146" i="42"/>
  <c r="I146" i="42"/>
  <c r="H146" i="42"/>
  <c r="G146" i="42"/>
  <c r="Q144" i="42"/>
  <c r="N144" i="42"/>
  <c r="O144" i="42" s="1"/>
  <c r="P144" i="42" s="1"/>
  <c r="L144" i="42"/>
  <c r="M144" i="42" s="1"/>
  <c r="K144" i="42"/>
  <c r="J144" i="42"/>
  <c r="I144" i="42"/>
  <c r="H144" i="42"/>
  <c r="G144" i="42"/>
  <c r="Q142" i="42"/>
  <c r="N142" i="42"/>
  <c r="O142" i="42" s="1"/>
  <c r="P142" i="42" s="1"/>
  <c r="L142" i="42"/>
  <c r="M142" i="42" s="1"/>
  <c r="K142" i="42"/>
  <c r="J142" i="42"/>
  <c r="H142" i="42"/>
  <c r="G142" i="42"/>
  <c r="Q141" i="42"/>
  <c r="N141" i="42"/>
  <c r="L141" i="42"/>
  <c r="M141" i="42" s="1"/>
  <c r="K141" i="42"/>
  <c r="J141" i="42"/>
  <c r="I141" i="42"/>
  <c r="H141" i="42"/>
  <c r="G141" i="42"/>
  <c r="Q139" i="42"/>
  <c r="N139" i="42"/>
  <c r="O139" i="42" s="1"/>
  <c r="P139" i="42" s="1"/>
  <c r="L139" i="42"/>
  <c r="M139" i="42" s="1"/>
  <c r="K139" i="42"/>
  <c r="J139" i="42"/>
  <c r="H139" i="42"/>
  <c r="G139" i="42"/>
  <c r="Q138" i="42"/>
  <c r="N138" i="42"/>
  <c r="O138" i="42" s="1"/>
  <c r="P138" i="42" s="1"/>
  <c r="L138" i="42"/>
  <c r="M138" i="42" s="1"/>
  <c r="K138" i="42"/>
  <c r="J138" i="42"/>
  <c r="I138" i="42"/>
  <c r="H138" i="42"/>
  <c r="G138" i="42"/>
  <c r="Q136" i="42"/>
  <c r="N136" i="42"/>
  <c r="O136" i="42" s="1"/>
  <c r="P136" i="42" s="1"/>
  <c r="L136" i="42"/>
  <c r="M136" i="42" s="1"/>
  <c r="K136" i="42"/>
  <c r="J136" i="42"/>
  <c r="H136" i="42"/>
  <c r="G136" i="42"/>
  <c r="Q135" i="42"/>
  <c r="N135" i="42"/>
  <c r="O135" i="42" s="1"/>
  <c r="P135" i="42" s="1"/>
  <c r="L135" i="42"/>
  <c r="M135" i="42" s="1"/>
  <c r="K135" i="42"/>
  <c r="J135" i="42"/>
  <c r="I135" i="42"/>
  <c r="H135" i="42"/>
  <c r="G135" i="42"/>
  <c r="N133" i="42"/>
  <c r="D133" i="42"/>
  <c r="J133" i="42" s="1"/>
  <c r="Q132" i="42"/>
  <c r="N132" i="42"/>
  <c r="O132" i="42" s="1"/>
  <c r="P132" i="42" s="1"/>
  <c r="L132" i="42"/>
  <c r="M132" i="42" s="1"/>
  <c r="K132" i="42"/>
  <c r="J132" i="42"/>
  <c r="I132" i="42"/>
  <c r="H132" i="42"/>
  <c r="G132" i="42"/>
  <c r="N130" i="42"/>
  <c r="D130" i="42"/>
  <c r="J130" i="42" s="1"/>
  <c r="Q129" i="42"/>
  <c r="N129" i="42"/>
  <c r="O129" i="42" s="1"/>
  <c r="P129" i="42" s="1"/>
  <c r="L129" i="42"/>
  <c r="M129" i="42" s="1"/>
  <c r="K129" i="42"/>
  <c r="J129" i="42"/>
  <c r="I129" i="42"/>
  <c r="H129" i="42"/>
  <c r="G129" i="42"/>
  <c r="N127" i="42"/>
  <c r="D127" i="42"/>
  <c r="K127" i="42" s="1"/>
  <c r="Q126" i="42"/>
  <c r="N126" i="42"/>
  <c r="O126" i="42" s="1"/>
  <c r="P126" i="42" s="1"/>
  <c r="L126" i="42"/>
  <c r="M126" i="42" s="1"/>
  <c r="K126" i="42"/>
  <c r="J126" i="42"/>
  <c r="I126" i="42"/>
  <c r="H126" i="42"/>
  <c r="G126" i="42"/>
  <c r="N124" i="42"/>
  <c r="D124" i="42"/>
  <c r="L124" i="42" s="1"/>
  <c r="M124" i="42" s="1"/>
  <c r="Q123" i="42"/>
  <c r="N123" i="42"/>
  <c r="O123" i="42" s="1"/>
  <c r="P123" i="42" s="1"/>
  <c r="L123" i="42"/>
  <c r="M123" i="42" s="1"/>
  <c r="K123" i="42"/>
  <c r="J123" i="42"/>
  <c r="I123" i="42"/>
  <c r="H123" i="42"/>
  <c r="G123" i="42"/>
  <c r="N118" i="42"/>
  <c r="D118" i="42"/>
  <c r="L118" i="42" s="1"/>
  <c r="M118" i="42" s="1"/>
  <c r="Q117" i="42"/>
  <c r="N117" i="42"/>
  <c r="O117" i="42" s="1"/>
  <c r="P117" i="42" s="1"/>
  <c r="L117" i="42"/>
  <c r="M117" i="42" s="1"/>
  <c r="K117" i="42"/>
  <c r="J117" i="42"/>
  <c r="I117" i="42"/>
  <c r="H117" i="42"/>
  <c r="G117" i="42"/>
  <c r="N116" i="42"/>
  <c r="D116" i="42"/>
  <c r="K116" i="42" s="1"/>
  <c r="Q115" i="42"/>
  <c r="N115" i="42"/>
  <c r="O115" i="42" s="1"/>
  <c r="P115" i="42" s="1"/>
  <c r="L115" i="42"/>
  <c r="M115" i="42" s="1"/>
  <c r="K115" i="42"/>
  <c r="J115" i="42"/>
  <c r="I115" i="42"/>
  <c r="H115" i="42"/>
  <c r="G115" i="42"/>
  <c r="N113" i="42"/>
  <c r="H113" i="42"/>
  <c r="D113" i="42"/>
  <c r="L113" i="42" s="1"/>
  <c r="M113" i="42" s="1"/>
  <c r="Q112" i="42"/>
  <c r="N112" i="42"/>
  <c r="O112" i="42" s="1"/>
  <c r="P112" i="42" s="1"/>
  <c r="L112" i="42"/>
  <c r="M112" i="42" s="1"/>
  <c r="K112" i="42"/>
  <c r="J112" i="42"/>
  <c r="I112" i="42"/>
  <c r="H112" i="42"/>
  <c r="G112" i="42"/>
  <c r="N110" i="42"/>
  <c r="D110" i="42"/>
  <c r="L110" i="42" s="1"/>
  <c r="M110" i="42" s="1"/>
  <c r="Q109" i="42"/>
  <c r="N109" i="42"/>
  <c r="O109" i="42" s="1"/>
  <c r="P109" i="42" s="1"/>
  <c r="L109" i="42"/>
  <c r="M109" i="42" s="1"/>
  <c r="K109" i="42"/>
  <c r="J109" i="42"/>
  <c r="I109" i="42"/>
  <c r="H109" i="42"/>
  <c r="H9" i="39" s="1"/>
  <c r="G109" i="42"/>
  <c r="N107" i="42"/>
  <c r="N106" i="42"/>
  <c r="O106" i="42" s="1"/>
  <c r="P106" i="42" s="1"/>
  <c r="E106" i="42"/>
  <c r="D107" i="42" s="1"/>
  <c r="F108" i="41"/>
  <c r="G108" i="41" s="1"/>
  <c r="I108" i="41" s="1"/>
  <c r="J108" i="41" s="1"/>
  <c r="F107" i="41"/>
  <c r="G107" i="41" s="1"/>
  <c r="I107" i="41" s="1"/>
  <c r="J107" i="41" s="1"/>
  <c r="F106" i="41"/>
  <c r="G106" i="41" s="1"/>
  <c r="I106" i="41" s="1"/>
  <c r="J106" i="41" s="1"/>
  <c r="F102" i="41"/>
  <c r="I102" i="41" s="1"/>
  <c r="J102" i="41" s="1"/>
  <c r="F96" i="41"/>
  <c r="J96" i="41" s="1"/>
  <c r="J98" i="41" s="1"/>
  <c r="F92" i="41"/>
  <c r="G92" i="41" s="1"/>
  <c r="I92" i="41" s="1"/>
  <c r="J92" i="41" s="1"/>
  <c r="F91" i="41"/>
  <c r="G91" i="41" s="1"/>
  <c r="I91" i="41" s="1"/>
  <c r="J91" i="41" s="1"/>
  <c r="F87" i="41"/>
  <c r="J87" i="41" s="1"/>
  <c r="F86" i="41"/>
  <c r="J86" i="41" s="1"/>
  <c r="F85" i="41"/>
  <c r="J85" i="41" s="1"/>
  <c r="F84" i="41"/>
  <c r="J84" i="41" s="1"/>
  <c r="F82" i="41"/>
  <c r="J82" i="41" s="1"/>
  <c r="F72" i="41"/>
  <c r="I72" i="41" s="1"/>
  <c r="J72" i="41" s="1"/>
  <c r="F71" i="41"/>
  <c r="I71" i="41" s="1"/>
  <c r="J71" i="41" s="1"/>
  <c r="F70" i="41"/>
  <c r="I70" i="41" s="1"/>
  <c r="J70" i="41" s="1"/>
  <c r="F54" i="41"/>
  <c r="G54" i="41" s="1"/>
  <c r="I54" i="41" s="1"/>
  <c r="J54" i="41" s="1"/>
  <c r="F48" i="41"/>
  <c r="G48" i="41" s="1"/>
  <c r="I48" i="41" s="1"/>
  <c r="J48" i="41" s="1"/>
  <c r="H21" i="40" s="1"/>
  <c r="B43" i="41"/>
  <c r="B53" i="41" s="1"/>
  <c r="F53" i="41" s="1"/>
  <c r="G53" i="41" s="1"/>
  <c r="I53" i="41" s="1"/>
  <c r="J53" i="41" s="1"/>
  <c r="F32" i="41"/>
  <c r="G32" i="41" s="1"/>
  <c r="I32" i="41" s="1"/>
  <c r="J32" i="41" s="1"/>
  <c r="J33" i="41" s="1"/>
  <c r="H11" i="39" s="1"/>
  <c r="A31" i="41"/>
  <c r="B26" i="41"/>
  <c r="F26" i="41" s="1"/>
  <c r="G26" i="41" s="1"/>
  <c r="I26" i="41" s="1"/>
  <c r="J26" i="41" s="1"/>
  <c r="A26" i="41"/>
  <c r="B25" i="41"/>
  <c r="F25" i="41" s="1"/>
  <c r="G25" i="41" s="1"/>
  <c r="I25" i="41" s="1"/>
  <c r="J25" i="41" s="1"/>
  <c r="A25" i="41"/>
  <c r="B24" i="41"/>
  <c r="F24" i="41" s="1"/>
  <c r="G24" i="41" s="1"/>
  <c r="I24" i="41" s="1"/>
  <c r="J24" i="41" s="1"/>
  <c r="A24" i="41"/>
  <c r="B23" i="41"/>
  <c r="F23" i="41" s="1"/>
  <c r="G23" i="41" s="1"/>
  <c r="I23" i="41" s="1"/>
  <c r="J23" i="41" s="1"/>
  <c r="A23" i="41"/>
  <c r="F9" i="41"/>
  <c r="I9" i="41" s="1"/>
  <c r="J9" i="41" s="1"/>
  <c r="C8" i="41"/>
  <c r="F8" i="41" s="1"/>
  <c r="I8" i="41" s="1"/>
  <c r="J8" i="41" s="1"/>
  <c r="C7" i="41"/>
  <c r="F7" i="41" s="1"/>
  <c r="I7" i="41" s="1"/>
  <c r="J7" i="41" s="1"/>
  <c r="F6" i="41"/>
  <c r="I6" i="41" s="1"/>
  <c r="J6" i="41" s="1"/>
  <c r="H9" i="40"/>
  <c r="H4" i="40"/>
  <c r="H14" i="39"/>
  <c r="I4" i="38"/>
  <c r="B6" i="37"/>
  <c r="B5" i="37"/>
  <c r="B4" i="37"/>
  <c r="J169" i="42" l="1"/>
  <c r="K162" i="42"/>
  <c r="L162" i="42"/>
  <c r="M162" i="42" s="1"/>
  <c r="H12" i="40"/>
  <c r="H14" i="40"/>
  <c r="B44" i="41"/>
  <c r="F44" i="41" s="1"/>
  <c r="G44" i="41" s="1"/>
  <c r="I44" i="41" s="1"/>
  <c r="J44" i="41" s="1"/>
  <c r="H17" i="40" s="1"/>
  <c r="K118" i="42"/>
  <c r="J184" i="42"/>
  <c r="L188" i="42"/>
  <c r="M188" i="42" s="1"/>
  <c r="M5" i="43"/>
  <c r="L184" i="42"/>
  <c r="M184" i="42" s="1"/>
  <c r="F43" i="41"/>
  <c r="G43" i="41" s="1"/>
  <c r="I43" i="41" s="1"/>
  <c r="J43" i="41" s="1"/>
  <c r="H16" i="40" s="1"/>
  <c r="K106" i="42"/>
  <c r="K113" i="42"/>
  <c r="L133" i="42"/>
  <c r="M133" i="42" s="1"/>
  <c r="R133" i="42" s="1"/>
  <c r="S133" i="42" s="1"/>
  <c r="I184" i="42"/>
  <c r="J192" i="42"/>
  <c r="J73" i="41"/>
  <c r="R113" i="42"/>
  <c r="S113" i="42" s="1"/>
  <c r="J153" i="42"/>
  <c r="J106" i="42"/>
  <c r="J113" i="42"/>
  <c r="R118" i="42"/>
  <c r="S118" i="42" s="1"/>
  <c r="K133" i="42"/>
  <c r="H184" i="42"/>
  <c r="J196" i="42"/>
  <c r="J109" i="41"/>
  <c r="R117" i="42"/>
  <c r="S117" i="42" s="1"/>
  <c r="R146" i="42"/>
  <c r="S146" i="42" s="1"/>
  <c r="R161" i="42"/>
  <c r="S161" i="42" s="1"/>
  <c r="R164" i="42"/>
  <c r="S164" i="42" s="1"/>
  <c r="H11" i="40" s="1"/>
  <c r="K177" i="42"/>
  <c r="I192" i="42"/>
  <c r="Q192" i="42"/>
  <c r="R192" i="42" s="1"/>
  <c r="S192" i="42" s="1"/>
  <c r="H196" i="42"/>
  <c r="R156" i="42"/>
  <c r="S156" i="42" s="1"/>
  <c r="R110" i="42"/>
  <c r="S110" i="42" s="1"/>
  <c r="L127" i="42"/>
  <c r="M127" i="42" s="1"/>
  <c r="K130" i="42"/>
  <c r="K153" i="42"/>
  <c r="K156" i="42"/>
  <c r="J11" i="41"/>
  <c r="J4" i="38" s="1"/>
  <c r="L4" i="38" s="1"/>
  <c r="G106" i="42"/>
  <c r="L116" i="42"/>
  <c r="M116" i="42" s="1"/>
  <c r="R116" i="42" s="1"/>
  <c r="S116" i="42" s="1"/>
  <c r="J118" i="42"/>
  <c r="R127" i="42"/>
  <c r="S127" i="42" s="1"/>
  <c r="L130" i="42"/>
  <c r="M130" i="42" s="1"/>
  <c r="R130" i="42" s="1"/>
  <c r="S130" i="42" s="1"/>
  <c r="R150" i="42"/>
  <c r="S150" i="42" s="1"/>
  <c r="H192" i="42"/>
  <c r="G239" i="42"/>
  <c r="D1" i="40"/>
  <c r="J107" i="42"/>
  <c r="L107" i="42"/>
  <c r="M107" i="42" s="1"/>
  <c r="R107" i="42" s="1"/>
  <c r="S107" i="42" s="1"/>
  <c r="K107" i="42"/>
  <c r="J93" i="41"/>
  <c r="R129" i="42"/>
  <c r="S129" i="42" s="1"/>
  <c r="R148" i="42"/>
  <c r="S148" i="42" s="1"/>
  <c r="R124" i="42"/>
  <c r="S124" i="42" s="1"/>
  <c r="R158" i="42"/>
  <c r="S158" i="42" s="1"/>
  <c r="R115" i="42"/>
  <c r="S115" i="42" s="1"/>
  <c r="R162" i="42"/>
  <c r="S162" i="42" s="1"/>
  <c r="R172" i="42"/>
  <c r="S172" i="42" s="1"/>
  <c r="J55" i="41"/>
  <c r="H19" i="40" s="1"/>
  <c r="R153" i="42"/>
  <c r="S153" i="42" s="1"/>
  <c r="J28" i="41"/>
  <c r="H10" i="39" s="1"/>
  <c r="J88" i="41"/>
  <c r="R138" i="42"/>
  <c r="S138" i="42" s="1"/>
  <c r="R180" i="42"/>
  <c r="S180" i="42" s="1"/>
  <c r="R126" i="42"/>
  <c r="S126" i="42" s="1"/>
  <c r="R135" i="42"/>
  <c r="S135" i="42" s="1"/>
  <c r="R139" i="42"/>
  <c r="S139" i="42" s="1"/>
  <c r="R142" i="42"/>
  <c r="S142" i="42" s="1"/>
  <c r="R159" i="42"/>
  <c r="S159" i="42" s="1"/>
  <c r="O141" i="42"/>
  <c r="P141" i="42" s="1"/>
  <c r="R141" i="42" s="1"/>
  <c r="S141" i="42" s="1"/>
  <c r="R112" i="42"/>
  <c r="S112" i="42" s="1"/>
  <c r="U113" i="42" s="1"/>
  <c r="R132" i="42"/>
  <c r="S132" i="42" s="1"/>
  <c r="R144" i="42"/>
  <c r="S144" i="42" s="1"/>
  <c r="C235" i="42"/>
  <c r="B45" i="41"/>
  <c r="H106" i="42"/>
  <c r="R109" i="42"/>
  <c r="S109" i="42" s="1"/>
  <c r="U110" i="42" s="1"/>
  <c r="H6" i="40" s="1"/>
  <c r="J116" i="42"/>
  <c r="R123" i="42"/>
  <c r="S123" i="42" s="1"/>
  <c r="J127" i="42"/>
  <c r="R136" i="42"/>
  <c r="S136" i="42" s="1"/>
  <c r="O152" i="42"/>
  <c r="P152" i="42" s="1"/>
  <c r="R152" i="42" s="1"/>
  <c r="S152" i="42" s="1"/>
  <c r="R155" i="42"/>
  <c r="S155" i="42" s="1"/>
  <c r="J159" i="42"/>
  <c r="O168" i="42"/>
  <c r="P168" i="42" s="1"/>
  <c r="R168" i="42" s="1"/>
  <c r="S168" i="42" s="1"/>
  <c r="O176" i="42"/>
  <c r="P176" i="42" s="1"/>
  <c r="R176" i="42" s="1"/>
  <c r="S176" i="42" s="1"/>
  <c r="O184" i="42"/>
  <c r="P184" i="42" s="1"/>
  <c r="R184" i="42" s="1"/>
  <c r="S184" i="42" s="1"/>
  <c r="R196" i="42"/>
  <c r="S196" i="42" s="1"/>
  <c r="C236" i="42"/>
  <c r="I106" i="42"/>
  <c r="Q106" i="42"/>
  <c r="K159" i="42"/>
  <c r="I188" i="42"/>
  <c r="Q188" i="42"/>
  <c r="R188" i="42" s="1"/>
  <c r="S188" i="42" s="1"/>
  <c r="K200" i="42"/>
  <c r="J165" i="42"/>
  <c r="H10" i="40" s="1"/>
  <c r="J173" i="42"/>
  <c r="J181" i="42"/>
  <c r="D201" i="42"/>
  <c r="E238" i="42"/>
  <c r="G238" i="42" s="1"/>
  <c r="C250" i="42"/>
  <c r="F250" i="42" s="1"/>
  <c r="H250" i="42" s="1"/>
  <c r="P6" i="43"/>
  <c r="Q6" i="43" s="1"/>
  <c r="J110" i="42"/>
  <c r="H5" i="40" s="1"/>
  <c r="J124" i="42"/>
  <c r="L106" i="42"/>
  <c r="M106" i="42" s="1"/>
  <c r="R106" i="42" s="1"/>
  <c r="S106" i="42" s="1"/>
  <c r="U107" i="42" s="1"/>
  <c r="K110" i="42"/>
  <c r="H7" i="40" s="1"/>
  <c r="K124" i="42"/>
  <c r="P5" i="43"/>
  <c r="Q5" i="43" s="1"/>
  <c r="G200" i="42"/>
  <c r="G241" i="42" l="1"/>
  <c r="J241" i="42" s="1"/>
  <c r="Q7" i="43"/>
  <c r="H18" i="40" s="1"/>
  <c r="K201" i="42"/>
  <c r="J201" i="42"/>
  <c r="L200" i="42"/>
  <c r="M200" i="42" s="1"/>
  <c r="J200" i="42"/>
  <c r="Q200" i="42"/>
  <c r="I200" i="42"/>
  <c r="H200" i="42"/>
  <c r="B46" i="41"/>
  <c r="F45" i="41"/>
  <c r="G45" i="41" s="1"/>
  <c r="I45" i="41" s="1"/>
  <c r="J45" i="41" s="1"/>
  <c r="H23" i="40" s="1"/>
  <c r="U116" i="42"/>
  <c r="R200" i="42" l="1"/>
  <c r="S200" i="42" s="1"/>
  <c r="F46" i="41"/>
  <c r="G46" i="41" s="1"/>
  <c r="I46" i="41" s="1"/>
  <c r="J46" i="41" s="1"/>
  <c r="H22" i="40" s="1"/>
  <c r="B47" i="41"/>
  <c r="F47" i="41" s="1"/>
  <c r="G47" i="41" s="1"/>
  <c r="I47" i="41" s="1"/>
  <c r="J47" i="41" s="1"/>
  <c r="H20" i="40" s="1"/>
  <c r="H12" i="36" l="1"/>
  <c r="F10" i="36"/>
  <c r="C9" i="36"/>
  <c r="C8" i="36"/>
  <c r="K6" i="36"/>
  <c r="J6" i="36"/>
  <c r="I6" i="36"/>
  <c r="C5" i="36"/>
  <c r="F1" i="36"/>
  <c r="C20" i="35"/>
  <c r="H19" i="35"/>
  <c r="C10" i="35"/>
  <c r="C7" i="35"/>
  <c r="M6" i="35"/>
  <c r="L6" i="35"/>
  <c r="K6" i="35"/>
  <c r="J6" i="35"/>
  <c r="I6" i="35"/>
  <c r="C6" i="35"/>
  <c r="M5" i="35"/>
  <c r="L5" i="35"/>
  <c r="K5" i="35"/>
  <c r="J5" i="35"/>
  <c r="C5" i="35"/>
  <c r="O262" i="34"/>
  <c r="P262" i="34" s="1"/>
  <c r="M262" i="34"/>
  <c r="K262" i="34"/>
  <c r="H26" i="30" s="1"/>
  <c r="J262" i="34"/>
  <c r="H262" i="34"/>
  <c r="D250" i="34"/>
  <c r="C250" i="34"/>
  <c r="H241" i="34"/>
  <c r="D239" i="34"/>
  <c r="D238" i="34"/>
  <c r="C232" i="34"/>
  <c r="C235" i="34" s="1"/>
  <c r="N200" i="34"/>
  <c r="O200" i="34" s="1"/>
  <c r="P200" i="34" s="1"/>
  <c r="E200" i="34"/>
  <c r="D202" i="34" s="1"/>
  <c r="D198" i="34"/>
  <c r="D197" i="34"/>
  <c r="Q196" i="34" s="1"/>
  <c r="N196" i="34"/>
  <c r="O196" i="34" s="1"/>
  <c r="P196" i="34" s="1"/>
  <c r="K196" i="34"/>
  <c r="G196" i="34"/>
  <c r="D194" i="34"/>
  <c r="D193" i="34"/>
  <c r="H192" i="34" s="1"/>
  <c r="N192" i="34"/>
  <c r="O192" i="34" s="1"/>
  <c r="P192" i="34" s="1"/>
  <c r="K192" i="34"/>
  <c r="G192" i="34"/>
  <c r="D190" i="34"/>
  <c r="D189" i="34"/>
  <c r="J188" i="34" s="1"/>
  <c r="N188" i="34"/>
  <c r="O188" i="34" s="1"/>
  <c r="P188" i="34" s="1"/>
  <c r="K188" i="34"/>
  <c r="G188" i="34"/>
  <c r="D186" i="34"/>
  <c r="D185" i="34"/>
  <c r="J184" i="34" s="1"/>
  <c r="N184" i="34"/>
  <c r="O184" i="34" s="1"/>
  <c r="P184" i="34" s="1"/>
  <c r="K184" i="34"/>
  <c r="G184" i="34"/>
  <c r="D182" i="34"/>
  <c r="M181" i="34"/>
  <c r="R181" i="34" s="1"/>
  <c r="S181" i="34" s="1"/>
  <c r="D181" i="34"/>
  <c r="Q180" i="34"/>
  <c r="N180" i="34"/>
  <c r="L180" i="34"/>
  <c r="M180" i="34" s="1"/>
  <c r="K180" i="34"/>
  <c r="J180" i="34"/>
  <c r="I180" i="34"/>
  <c r="H180" i="34"/>
  <c r="G180" i="34"/>
  <c r="D178" i="34"/>
  <c r="M177" i="34"/>
  <c r="R177" i="34" s="1"/>
  <c r="S177" i="34" s="1"/>
  <c r="D177" i="34"/>
  <c r="K177" i="34" s="1"/>
  <c r="Q176" i="34"/>
  <c r="N176" i="34"/>
  <c r="O176" i="34" s="1"/>
  <c r="P176" i="34" s="1"/>
  <c r="L176" i="34"/>
  <c r="M176" i="34" s="1"/>
  <c r="K176" i="34"/>
  <c r="J176" i="34"/>
  <c r="I176" i="34"/>
  <c r="H176" i="34"/>
  <c r="G176" i="34"/>
  <c r="D174" i="34"/>
  <c r="M173" i="34"/>
  <c r="R173" i="34" s="1"/>
  <c r="S173" i="34" s="1"/>
  <c r="D173" i="34"/>
  <c r="Q172" i="34"/>
  <c r="N172" i="34"/>
  <c r="L172" i="34"/>
  <c r="M172" i="34" s="1"/>
  <c r="K172" i="34"/>
  <c r="J172" i="34"/>
  <c r="I172" i="34"/>
  <c r="H172" i="34"/>
  <c r="G172" i="34"/>
  <c r="D170" i="34"/>
  <c r="H33" i="30" s="1"/>
  <c r="M169" i="34"/>
  <c r="R169" i="34" s="1"/>
  <c r="S169" i="34" s="1"/>
  <c r="D169" i="34"/>
  <c r="K169" i="34" s="1"/>
  <c r="Q168" i="34"/>
  <c r="N168" i="34"/>
  <c r="O168" i="34" s="1"/>
  <c r="P168" i="34" s="1"/>
  <c r="L168" i="34"/>
  <c r="M168" i="34" s="1"/>
  <c r="K168" i="34"/>
  <c r="J168" i="34"/>
  <c r="I168" i="34"/>
  <c r="H168" i="34"/>
  <c r="G168" i="34"/>
  <c r="D166" i="34"/>
  <c r="M165" i="34"/>
  <c r="R165" i="34" s="1"/>
  <c r="S165" i="34" s="1"/>
  <c r="D165" i="34"/>
  <c r="Q164" i="34"/>
  <c r="N164" i="34"/>
  <c r="L164" i="34"/>
  <c r="M164" i="34" s="1"/>
  <c r="K164" i="34"/>
  <c r="J164" i="34"/>
  <c r="I164" i="34"/>
  <c r="H164" i="34"/>
  <c r="G164" i="34"/>
  <c r="N162" i="34"/>
  <c r="D162" i="34"/>
  <c r="L162" i="34" s="1"/>
  <c r="M162" i="34" s="1"/>
  <c r="Q161" i="34"/>
  <c r="O161" i="34"/>
  <c r="P161" i="34" s="1"/>
  <c r="N161" i="34"/>
  <c r="L161" i="34"/>
  <c r="M161" i="34" s="1"/>
  <c r="K161" i="34"/>
  <c r="J161" i="34"/>
  <c r="I161" i="34"/>
  <c r="H161" i="34"/>
  <c r="G161" i="34"/>
  <c r="N159" i="34"/>
  <c r="D159" i="34"/>
  <c r="L159" i="34" s="1"/>
  <c r="M159" i="34" s="1"/>
  <c r="Q158" i="34"/>
  <c r="O158" i="34"/>
  <c r="P158" i="34" s="1"/>
  <c r="N158" i="34"/>
  <c r="L158" i="34"/>
  <c r="M158" i="34" s="1"/>
  <c r="K158" i="34"/>
  <c r="J158" i="34"/>
  <c r="I158" i="34"/>
  <c r="H158" i="34"/>
  <c r="G158" i="34"/>
  <c r="N156" i="34"/>
  <c r="N155" i="34"/>
  <c r="O155" i="34" s="1"/>
  <c r="P155" i="34" s="1"/>
  <c r="E155" i="34"/>
  <c r="Q155" i="34" s="1"/>
  <c r="N153" i="34"/>
  <c r="D153" i="34"/>
  <c r="L153" i="34" s="1"/>
  <c r="M153" i="34" s="1"/>
  <c r="Q152" i="34"/>
  <c r="N152" i="34"/>
  <c r="O152" i="34" s="1"/>
  <c r="P152" i="34" s="1"/>
  <c r="L152" i="34"/>
  <c r="M152" i="34" s="1"/>
  <c r="K152" i="34"/>
  <c r="J152" i="34"/>
  <c r="I152" i="34"/>
  <c r="H152" i="34"/>
  <c r="G152" i="34"/>
  <c r="O150" i="34"/>
  <c r="P150" i="34" s="1"/>
  <c r="N150" i="34"/>
  <c r="E150" i="34"/>
  <c r="Q148" i="34"/>
  <c r="O148" i="34"/>
  <c r="P148" i="34" s="1"/>
  <c r="N148" i="34"/>
  <c r="L148" i="34"/>
  <c r="M148" i="34" s="1"/>
  <c r="K148" i="34"/>
  <c r="J148" i="34"/>
  <c r="I148" i="34"/>
  <c r="H148" i="34"/>
  <c r="G148" i="34"/>
  <c r="N146" i="34"/>
  <c r="O146" i="34" s="1"/>
  <c r="P146" i="34" s="1"/>
  <c r="E146" i="34"/>
  <c r="G146" i="34" s="1"/>
  <c r="Q144" i="34"/>
  <c r="N144" i="34"/>
  <c r="O144" i="34" s="1"/>
  <c r="P144" i="34" s="1"/>
  <c r="L144" i="34"/>
  <c r="M144" i="34" s="1"/>
  <c r="K144" i="34"/>
  <c r="J144" i="34"/>
  <c r="I144" i="34"/>
  <c r="H144" i="34"/>
  <c r="G144" i="34"/>
  <c r="N142" i="34"/>
  <c r="N141" i="34"/>
  <c r="O141" i="34" s="1"/>
  <c r="P141" i="34" s="1"/>
  <c r="E141" i="34"/>
  <c r="G141" i="34" s="1"/>
  <c r="N139" i="34"/>
  <c r="O139" i="34" s="1"/>
  <c r="P139" i="34" s="1"/>
  <c r="N138" i="34"/>
  <c r="E138" i="34"/>
  <c r="J138" i="34" s="1"/>
  <c r="N136" i="34"/>
  <c r="O136" i="34" s="1"/>
  <c r="P136" i="34" s="1"/>
  <c r="N135" i="34"/>
  <c r="O135" i="34" s="1"/>
  <c r="P135" i="34" s="1"/>
  <c r="E135" i="34"/>
  <c r="E136" i="34" s="1"/>
  <c r="J136" i="34" s="1"/>
  <c r="N133" i="34"/>
  <c r="D133" i="34"/>
  <c r="K133" i="34" s="1"/>
  <c r="N132" i="34"/>
  <c r="O132" i="34" s="1"/>
  <c r="P132" i="34" s="1"/>
  <c r="E132" i="34"/>
  <c r="K132" i="34" s="1"/>
  <c r="N130" i="34"/>
  <c r="N129" i="34"/>
  <c r="O129" i="34" s="1"/>
  <c r="P129" i="34" s="1"/>
  <c r="E129" i="34"/>
  <c r="Q129" i="34" s="1"/>
  <c r="N127" i="34"/>
  <c r="N126" i="34"/>
  <c r="O126" i="34" s="1"/>
  <c r="P126" i="34" s="1"/>
  <c r="E126" i="34"/>
  <c r="G126" i="34" s="1"/>
  <c r="N124" i="34"/>
  <c r="N123" i="34"/>
  <c r="O123" i="34" s="1"/>
  <c r="P123" i="34" s="1"/>
  <c r="E123" i="34"/>
  <c r="D124" i="34" s="1"/>
  <c r="L124" i="34" s="1"/>
  <c r="M124" i="34" s="1"/>
  <c r="E121" i="34"/>
  <c r="E120" i="34"/>
  <c r="N118" i="34"/>
  <c r="D118" i="34"/>
  <c r="J118" i="34" s="1"/>
  <c r="Q117" i="34"/>
  <c r="O117" i="34"/>
  <c r="P117" i="34" s="1"/>
  <c r="N117" i="34"/>
  <c r="L117" i="34"/>
  <c r="M117" i="34" s="1"/>
  <c r="K117" i="34"/>
  <c r="J117" i="34"/>
  <c r="I117" i="34"/>
  <c r="H19" i="30" s="1"/>
  <c r="H117" i="34"/>
  <c r="G117" i="34"/>
  <c r="N116" i="34"/>
  <c r="N115" i="34"/>
  <c r="O115" i="34" s="1"/>
  <c r="P115" i="34" s="1"/>
  <c r="E115" i="34"/>
  <c r="K115" i="34" s="1"/>
  <c r="N113" i="34"/>
  <c r="H113" i="34"/>
  <c r="D113" i="34"/>
  <c r="L113" i="34" s="1"/>
  <c r="M113" i="34" s="1"/>
  <c r="Q112" i="34"/>
  <c r="N112" i="34"/>
  <c r="O112" i="34" s="1"/>
  <c r="P112" i="34" s="1"/>
  <c r="L112" i="34"/>
  <c r="M112" i="34" s="1"/>
  <c r="K112" i="34"/>
  <c r="J112" i="34"/>
  <c r="I112" i="34"/>
  <c r="H112" i="34"/>
  <c r="G112" i="34"/>
  <c r="N110" i="34"/>
  <c r="D110" i="34"/>
  <c r="K110" i="34" s="1"/>
  <c r="Q109" i="34"/>
  <c r="N109" i="34"/>
  <c r="O109" i="34" s="1"/>
  <c r="P109" i="34" s="1"/>
  <c r="L109" i="34"/>
  <c r="M109" i="34" s="1"/>
  <c r="K109" i="34"/>
  <c r="J109" i="34"/>
  <c r="I109" i="34"/>
  <c r="H9" i="30" s="1"/>
  <c r="H109" i="34"/>
  <c r="G109" i="34"/>
  <c r="N107" i="34"/>
  <c r="D107" i="34"/>
  <c r="L107" i="34" s="1"/>
  <c r="M107" i="34" s="1"/>
  <c r="Q106" i="34"/>
  <c r="N106" i="34"/>
  <c r="O106" i="34" s="1"/>
  <c r="P106" i="34" s="1"/>
  <c r="L106" i="34"/>
  <c r="M106" i="34" s="1"/>
  <c r="K106" i="34"/>
  <c r="J106" i="34"/>
  <c r="I106" i="34"/>
  <c r="H4" i="30" s="1"/>
  <c r="H106" i="34"/>
  <c r="G106" i="34"/>
  <c r="F124" i="33"/>
  <c r="G124" i="33" s="1"/>
  <c r="I124" i="33" s="1"/>
  <c r="J124" i="33" s="1"/>
  <c r="A124" i="33"/>
  <c r="F123" i="33"/>
  <c r="G123" i="33" s="1"/>
  <c r="I123" i="33" s="1"/>
  <c r="J123" i="33" s="1"/>
  <c r="A123" i="33"/>
  <c r="F122" i="33"/>
  <c r="G122" i="33" s="1"/>
  <c r="I122" i="33" s="1"/>
  <c r="J122" i="33" s="1"/>
  <c r="A122" i="33"/>
  <c r="F121" i="33"/>
  <c r="G121" i="33" s="1"/>
  <c r="I121" i="33" s="1"/>
  <c r="J121" i="33" s="1"/>
  <c r="A121" i="33"/>
  <c r="F117" i="33"/>
  <c r="I117" i="33" s="1"/>
  <c r="J117" i="33" s="1"/>
  <c r="H9" i="31" s="1"/>
  <c r="F112" i="33"/>
  <c r="J112" i="33" s="1"/>
  <c r="F111" i="33"/>
  <c r="J111" i="33" s="1"/>
  <c r="F107" i="33"/>
  <c r="G107" i="33" s="1"/>
  <c r="I107" i="33" s="1"/>
  <c r="J107" i="33" s="1"/>
  <c r="F106" i="33"/>
  <c r="G106" i="33" s="1"/>
  <c r="I106" i="33" s="1"/>
  <c r="J106" i="33" s="1"/>
  <c r="J108" i="33" s="1"/>
  <c r="H8" i="31" s="1"/>
  <c r="F102" i="33"/>
  <c r="J102" i="33" s="1"/>
  <c r="J103" i="33" s="1"/>
  <c r="H13" i="31" s="1"/>
  <c r="F92" i="33"/>
  <c r="I92" i="33" s="1"/>
  <c r="J92" i="33" s="1"/>
  <c r="F91" i="33"/>
  <c r="I91" i="33" s="1"/>
  <c r="J91" i="33" s="1"/>
  <c r="F90" i="33"/>
  <c r="I90" i="33" s="1"/>
  <c r="J90" i="33" s="1"/>
  <c r="F89" i="33"/>
  <c r="I89" i="33" s="1"/>
  <c r="J89" i="33" s="1"/>
  <c r="C64" i="33"/>
  <c r="C63" i="33"/>
  <c r="C61" i="33"/>
  <c r="B61" i="33"/>
  <c r="E60" i="33"/>
  <c r="C60" i="33"/>
  <c r="F57" i="33"/>
  <c r="G57" i="33" s="1"/>
  <c r="I57" i="33" s="1"/>
  <c r="J57" i="33" s="1"/>
  <c r="B56" i="33"/>
  <c r="B60" i="33" s="1"/>
  <c r="E63" i="33" s="1"/>
  <c r="E64" i="33" s="1"/>
  <c r="F54" i="33"/>
  <c r="G54" i="33" s="1"/>
  <c r="I54" i="33" s="1"/>
  <c r="J54" i="33" s="1"/>
  <c r="H41" i="30" s="1"/>
  <c r="F53" i="33"/>
  <c r="G53" i="33" s="1"/>
  <c r="I53" i="33" s="1"/>
  <c r="J53" i="33" s="1"/>
  <c r="H36" i="30" s="1"/>
  <c r="F52" i="33"/>
  <c r="G52" i="33" s="1"/>
  <c r="I52" i="33" s="1"/>
  <c r="J52" i="33" s="1"/>
  <c r="H35" i="30" s="1"/>
  <c r="F51" i="33"/>
  <c r="G51" i="33" s="1"/>
  <c r="I51" i="33" s="1"/>
  <c r="J51" i="33" s="1"/>
  <c r="H39" i="30" s="1"/>
  <c r="F50" i="33"/>
  <c r="G50" i="33" s="1"/>
  <c r="I50" i="33" s="1"/>
  <c r="J50" i="33" s="1"/>
  <c r="H40" i="30" s="1"/>
  <c r="B20" i="33"/>
  <c r="A20" i="33"/>
  <c r="A31" i="33" s="1"/>
  <c r="A39" i="33" s="1"/>
  <c r="B19" i="33"/>
  <c r="B30" i="33" s="1"/>
  <c r="A19" i="33"/>
  <c r="A30" i="33" s="1"/>
  <c r="A38" i="33" s="1"/>
  <c r="B18" i="33"/>
  <c r="F18" i="33" s="1"/>
  <c r="I18" i="33" s="1"/>
  <c r="J18" i="33" s="1"/>
  <c r="A18" i="33"/>
  <c r="A29" i="33" s="1"/>
  <c r="A37" i="33" s="1"/>
  <c r="B17" i="33"/>
  <c r="F17" i="33" s="1"/>
  <c r="I17" i="33" s="1"/>
  <c r="J17" i="33" s="1"/>
  <c r="A17" i="33"/>
  <c r="A28" i="33" s="1"/>
  <c r="A36" i="33" s="1"/>
  <c r="F9" i="33"/>
  <c r="I9" i="33" s="1"/>
  <c r="J9" i="33" s="1"/>
  <c r="F8" i="33"/>
  <c r="I8" i="33" s="1"/>
  <c r="J8" i="33" s="1"/>
  <c r="F7" i="33"/>
  <c r="I7" i="33" s="1"/>
  <c r="J7" i="33" s="1"/>
  <c r="F6" i="33"/>
  <c r="I6" i="33" s="1"/>
  <c r="J6" i="33" s="1"/>
  <c r="H4" i="32"/>
  <c r="H5" i="32" s="1"/>
  <c r="H11" i="31"/>
  <c r="H28" i="30"/>
  <c r="H24" i="30"/>
  <c r="H14" i="30"/>
  <c r="H7" i="29"/>
  <c r="D1" i="28"/>
  <c r="B8" i="27"/>
  <c r="B7" i="27"/>
  <c r="B6" i="27"/>
  <c r="B5" i="27"/>
  <c r="B4" i="27"/>
  <c r="D251" i="26"/>
  <c r="C251" i="26"/>
  <c r="H242" i="26"/>
  <c r="D240" i="26"/>
  <c r="D239" i="26"/>
  <c r="C237" i="26"/>
  <c r="C233" i="26"/>
  <c r="E240" i="26" s="1"/>
  <c r="N201" i="26"/>
  <c r="O201" i="26" s="1"/>
  <c r="P201" i="26" s="1"/>
  <c r="E201" i="26"/>
  <c r="D203" i="26" s="1"/>
  <c r="D199" i="26"/>
  <c r="D198" i="26"/>
  <c r="Q197" i="26" s="1"/>
  <c r="N197" i="26"/>
  <c r="O197" i="26" s="1"/>
  <c r="P197" i="26" s="1"/>
  <c r="K197" i="26"/>
  <c r="G197" i="26"/>
  <c r="D195" i="26"/>
  <c r="D194" i="26"/>
  <c r="J193" i="26" s="1"/>
  <c r="N193" i="26"/>
  <c r="O193" i="26" s="1"/>
  <c r="P193" i="26" s="1"/>
  <c r="K193" i="26"/>
  <c r="G193" i="26"/>
  <c r="D191" i="26"/>
  <c r="D190" i="26"/>
  <c r="J189" i="26" s="1"/>
  <c r="N189" i="26"/>
  <c r="O189" i="26" s="1"/>
  <c r="P189" i="26" s="1"/>
  <c r="K189" i="26"/>
  <c r="G189" i="26"/>
  <c r="D187" i="26"/>
  <c r="D186" i="26"/>
  <c r="J185" i="26" s="1"/>
  <c r="N185" i="26"/>
  <c r="K185" i="26"/>
  <c r="G185" i="26"/>
  <c r="D183" i="26"/>
  <c r="M182" i="26"/>
  <c r="R182" i="26" s="1"/>
  <c r="S182" i="26" s="1"/>
  <c r="D182" i="26"/>
  <c r="J182" i="26" s="1"/>
  <c r="Q181" i="26"/>
  <c r="N181" i="26"/>
  <c r="O181" i="26" s="1"/>
  <c r="P181" i="26" s="1"/>
  <c r="L181" i="26"/>
  <c r="M181" i="26" s="1"/>
  <c r="K181" i="26"/>
  <c r="J181" i="26"/>
  <c r="I181" i="26"/>
  <c r="H181" i="26"/>
  <c r="G181" i="26"/>
  <c r="D179" i="26"/>
  <c r="M178" i="26"/>
  <c r="R178" i="26" s="1"/>
  <c r="S178" i="26" s="1"/>
  <c r="D178" i="26"/>
  <c r="J178" i="26" s="1"/>
  <c r="Q177" i="26"/>
  <c r="N177" i="26"/>
  <c r="L177" i="26"/>
  <c r="M177" i="26" s="1"/>
  <c r="K177" i="26"/>
  <c r="J177" i="26"/>
  <c r="I177" i="26"/>
  <c r="H177" i="26"/>
  <c r="G177" i="26"/>
  <c r="D175" i="26"/>
  <c r="M174" i="26"/>
  <c r="R174" i="26" s="1"/>
  <c r="S174" i="26" s="1"/>
  <c r="D174" i="26"/>
  <c r="J174" i="26" s="1"/>
  <c r="Q173" i="26"/>
  <c r="N173" i="26"/>
  <c r="O173" i="26" s="1"/>
  <c r="P173" i="26" s="1"/>
  <c r="L173" i="26"/>
  <c r="M173" i="26" s="1"/>
  <c r="K173" i="26"/>
  <c r="J173" i="26"/>
  <c r="I173" i="26"/>
  <c r="H173" i="26"/>
  <c r="G173" i="26"/>
  <c r="D171" i="26"/>
  <c r="M170" i="26"/>
  <c r="R170" i="26" s="1"/>
  <c r="S170" i="26" s="1"/>
  <c r="K170" i="26"/>
  <c r="H27" i="24" s="1"/>
  <c r="D170" i="26"/>
  <c r="J170" i="26" s="1"/>
  <c r="H25" i="24" s="1"/>
  <c r="Q169" i="26"/>
  <c r="N169" i="26"/>
  <c r="L169" i="26"/>
  <c r="M169" i="26" s="1"/>
  <c r="K169" i="26"/>
  <c r="J169" i="26"/>
  <c r="I169" i="26"/>
  <c r="H169" i="26"/>
  <c r="G169" i="26"/>
  <c r="D167" i="26"/>
  <c r="M166" i="26"/>
  <c r="R166" i="26" s="1"/>
  <c r="S166" i="26" s="1"/>
  <c r="D166" i="26"/>
  <c r="J166" i="26" s="1"/>
  <c r="Q165" i="26"/>
  <c r="N165" i="26"/>
  <c r="O165" i="26" s="1"/>
  <c r="P165" i="26" s="1"/>
  <c r="L165" i="26"/>
  <c r="M165" i="26" s="1"/>
  <c r="K165" i="26"/>
  <c r="J165" i="26"/>
  <c r="I165" i="26"/>
  <c r="H165" i="26"/>
  <c r="G165" i="26"/>
  <c r="N163" i="26"/>
  <c r="D163" i="26"/>
  <c r="J163" i="26" s="1"/>
  <c r="Q162" i="26"/>
  <c r="O162" i="26"/>
  <c r="P162" i="26" s="1"/>
  <c r="N162" i="26"/>
  <c r="L162" i="26"/>
  <c r="M162" i="26" s="1"/>
  <c r="K162" i="26"/>
  <c r="J162" i="26"/>
  <c r="I162" i="26"/>
  <c r="H162" i="26"/>
  <c r="G162" i="26"/>
  <c r="N160" i="26"/>
  <c r="D160" i="26"/>
  <c r="Q159" i="26"/>
  <c r="O159" i="26"/>
  <c r="P159" i="26" s="1"/>
  <c r="N159" i="26"/>
  <c r="L159" i="26"/>
  <c r="M159" i="26" s="1"/>
  <c r="K159" i="26"/>
  <c r="J159" i="26"/>
  <c r="I159" i="26"/>
  <c r="H159" i="26"/>
  <c r="G159" i="26"/>
  <c r="N157" i="26"/>
  <c r="N156" i="26"/>
  <c r="O156" i="26" s="1"/>
  <c r="P156" i="26" s="1"/>
  <c r="E156" i="26"/>
  <c r="G156" i="26" s="1"/>
  <c r="N154" i="26"/>
  <c r="D154" i="26"/>
  <c r="J154" i="26" s="1"/>
  <c r="Q153" i="26"/>
  <c r="N153" i="26"/>
  <c r="O153" i="26" s="1"/>
  <c r="P153" i="26" s="1"/>
  <c r="L153" i="26"/>
  <c r="M153" i="26" s="1"/>
  <c r="K153" i="26"/>
  <c r="J153" i="26"/>
  <c r="I153" i="26"/>
  <c r="H153" i="26"/>
  <c r="G153" i="26"/>
  <c r="O151" i="26"/>
  <c r="P151" i="26" s="1"/>
  <c r="N151" i="26"/>
  <c r="E151" i="26"/>
  <c r="J151" i="26" s="1"/>
  <c r="Q149" i="26"/>
  <c r="O149" i="26"/>
  <c r="P149" i="26" s="1"/>
  <c r="N149" i="26"/>
  <c r="L149" i="26"/>
  <c r="M149" i="26" s="1"/>
  <c r="K149" i="26"/>
  <c r="J149" i="26"/>
  <c r="I149" i="26"/>
  <c r="H149" i="26"/>
  <c r="G149" i="26"/>
  <c r="O147" i="26"/>
  <c r="P147" i="26" s="1"/>
  <c r="N147" i="26"/>
  <c r="E147" i="26"/>
  <c r="J147" i="26" s="1"/>
  <c r="Q145" i="26"/>
  <c r="N145" i="26"/>
  <c r="O145" i="26" s="1"/>
  <c r="P145" i="26" s="1"/>
  <c r="L145" i="26"/>
  <c r="M145" i="26" s="1"/>
  <c r="K145" i="26"/>
  <c r="J145" i="26"/>
  <c r="I145" i="26"/>
  <c r="H145" i="26"/>
  <c r="G145" i="26"/>
  <c r="N143" i="26"/>
  <c r="O143" i="26" s="1"/>
  <c r="P143" i="26" s="1"/>
  <c r="N142" i="26"/>
  <c r="E142" i="26"/>
  <c r="J142" i="26" s="1"/>
  <c r="N140" i="26"/>
  <c r="O140" i="26" s="1"/>
  <c r="P140" i="26" s="1"/>
  <c r="N139" i="26"/>
  <c r="O139" i="26" s="1"/>
  <c r="P139" i="26" s="1"/>
  <c r="E139" i="26"/>
  <c r="J139" i="26" s="1"/>
  <c r="N137" i="26"/>
  <c r="O137" i="26" s="1"/>
  <c r="P137" i="26" s="1"/>
  <c r="N136" i="26"/>
  <c r="O136" i="26" s="1"/>
  <c r="P136" i="26" s="1"/>
  <c r="E136" i="26"/>
  <c r="K136" i="26" s="1"/>
  <c r="N134" i="26"/>
  <c r="N133" i="26"/>
  <c r="O133" i="26" s="1"/>
  <c r="P133" i="26" s="1"/>
  <c r="J133" i="26"/>
  <c r="E133" i="26"/>
  <c r="Q133" i="26" s="1"/>
  <c r="N131" i="26"/>
  <c r="N130" i="26"/>
  <c r="O130" i="26" s="1"/>
  <c r="P130" i="26" s="1"/>
  <c r="E130" i="26"/>
  <c r="G130" i="26" s="1"/>
  <c r="N128" i="26"/>
  <c r="N127" i="26"/>
  <c r="O127" i="26" s="1"/>
  <c r="P127" i="26" s="1"/>
  <c r="K127" i="26"/>
  <c r="E127" i="26"/>
  <c r="J127" i="26" s="1"/>
  <c r="N125" i="26"/>
  <c r="N124" i="26"/>
  <c r="O124" i="26" s="1"/>
  <c r="P124" i="26" s="1"/>
  <c r="E124" i="26"/>
  <c r="K124" i="26" s="1"/>
  <c r="E122" i="26"/>
  <c r="E121" i="26"/>
  <c r="N119" i="26"/>
  <c r="D119" i="26"/>
  <c r="K119" i="26" s="1"/>
  <c r="Q118" i="26"/>
  <c r="N118" i="26"/>
  <c r="O118" i="26" s="1"/>
  <c r="P118" i="26" s="1"/>
  <c r="L118" i="26"/>
  <c r="M118" i="26" s="1"/>
  <c r="K118" i="26"/>
  <c r="J118" i="26"/>
  <c r="I118" i="26"/>
  <c r="H118" i="26"/>
  <c r="G118" i="26"/>
  <c r="N117" i="26"/>
  <c r="N116" i="26"/>
  <c r="O116" i="26" s="1"/>
  <c r="P116" i="26" s="1"/>
  <c r="E116" i="26"/>
  <c r="Q116" i="26" s="1"/>
  <c r="N114" i="26"/>
  <c r="H114" i="26"/>
  <c r="D114" i="26"/>
  <c r="J114" i="26" s="1"/>
  <c r="Q113" i="26"/>
  <c r="N113" i="26"/>
  <c r="O113" i="26" s="1"/>
  <c r="P113" i="26" s="1"/>
  <c r="L113" i="26"/>
  <c r="M113" i="26" s="1"/>
  <c r="K113" i="26"/>
  <c r="J113" i="26"/>
  <c r="I113" i="26"/>
  <c r="H113" i="26"/>
  <c r="G113" i="26"/>
  <c r="N111" i="26"/>
  <c r="D111" i="26"/>
  <c r="L111" i="26" s="1"/>
  <c r="M111" i="26" s="1"/>
  <c r="Q110" i="26"/>
  <c r="N110" i="26"/>
  <c r="L110" i="26"/>
  <c r="M110" i="26" s="1"/>
  <c r="K110" i="26"/>
  <c r="J110" i="26"/>
  <c r="I110" i="26"/>
  <c r="H110" i="26"/>
  <c r="G110" i="26"/>
  <c r="N108" i="26"/>
  <c r="D108" i="26"/>
  <c r="Q107" i="26"/>
  <c r="N107" i="26"/>
  <c r="L107" i="26"/>
  <c r="M107" i="26" s="1"/>
  <c r="K107" i="26"/>
  <c r="J107" i="26"/>
  <c r="I107" i="26"/>
  <c r="H4" i="24" s="1"/>
  <c r="H107" i="26"/>
  <c r="G107" i="26"/>
  <c r="F174" i="25"/>
  <c r="G174" i="25" s="1"/>
  <c r="I174" i="25" s="1"/>
  <c r="J175" i="25" s="1"/>
  <c r="F173" i="25"/>
  <c r="G173" i="25" s="1"/>
  <c r="I173" i="25" s="1"/>
  <c r="J174" i="25" s="1"/>
  <c r="F172" i="25"/>
  <c r="G172" i="25" s="1"/>
  <c r="I172" i="25" s="1"/>
  <c r="J173" i="25" s="1"/>
  <c r="F168" i="25"/>
  <c r="I168" i="25" s="1"/>
  <c r="J169" i="25" s="1"/>
  <c r="J163" i="25"/>
  <c r="J165" i="25" s="1"/>
  <c r="G158" i="25"/>
  <c r="I158" i="25" s="1"/>
  <c r="J159" i="25" s="1"/>
  <c r="G157" i="25"/>
  <c r="I157" i="25" s="1"/>
  <c r="J158" i="25" s="1"/>
  <c r="F154" i="25"/>
  <c r="F153" i="25"/>
  <c r="J154" i="25" s="1"/>
  <c r="F152" i="25"/>
  <c r="J153" i="25" s="1"/>
  <c r="F151" i="25"/>
  <c r="J152" i="25" s="1"/>
  <c r="F150" i="25"/>
  <c r="J151" i="25" s="1"/>
  <c r="F148" i="25"/>
  <c r="J149" i="25" s="1"/>
  <c r="F138" i="25"/>
  <c r="I138" i="25" s="1"/>
  <c r="J139" i="25" s="1"/>
  <c r="F137" i="25"/>
  <c r="I137" i="25" s="1"/>
  <c r="J138" i="25" s="1"/>
  <c r="F136" i="25"/>
  <c r="I136" i="25" s="1"/>
  <c r="J137" i="25" s="1"/>
  <c r="C108" i="25"/>
  <c r="F108" i="25" s="1"/>
  <c r="G108" i="25" s="1"/>
  <c r="I108" i="25" s="1"/>
  <c r="J108" i="25" s="1"/>
  <c r="H45" i="24" s="1"/>
  <c r="B105" i="25"/>
  <c r="F105" i="25" s="1"/>
  <c r="G105" i="25" s="1"/>
  <c r="I105" i="25" s="1"/>
  <c r="J105" i="25" s="1"/>
  <c r="C104" i="25"/>
  <c r="B104" i="25"/>
  <c r="C103" i="25"/>
  <c r="F103" i="25" s="1"/>
  <c r="G103" i="25" s="1"/>
  <c r="I103" i="25" s="1"/>
  <c r="J103" i="25" s="1"/>
  <c r="F100" i="25"/>
  <c r="G100" i="25" s="1"/>
  <c r="I100" i="25" s="1"/>
  <c r="J100" i="25" s="1"/>
  <c r="F99" i="25"/>
  <c r="G99" i="25" s="1"/>
  <c r="I99" i="25" s="1"/>
  <c r="J99" i="25" s="1"/>
  <c r="F97" i="25"/>
  <c r="G97" i="25" s="1"/>
  <c r="I97" i="25" s="1"/>
  <c r="J97" i="25" s="1"/>
  <c r="H43" i="24" s="1"/>
  <c r="F96" i="25"/>
  <c r="G96" i="25" s="1"/>
  <c r="I96" i="25" s="1"/>
  <c r="J96" i="25" s="1"/>
  <c r="H38" i="24" s="1"/>
  <c r="F95" i="25"/>
  <c r="G95" i="25" s="1"/>
  <c r="I95" i="25" s="1"/>
  <c r="J95" i="25" s="1"/>
  <c r="H37" i="24" s="1"/>
  <c r="F94" i="25"/>
  <c r="G94" i="25" s="1"/>
  <c r="I94" i="25" s="1"/>
  <c r="J94" i="25" s="1"/>
  <c r="H41" i="24" s="1"/>
  <c r="F93" i="25"/>
  <c r="G93" i="25" s="1"/>
  <c r="I93" i="25" s="1"/>
  <c r="J93" i="25" s="1"/>
  <c r="H42" i="24" s="1"/>
  <c r="B85" i="25"/>
  <c r="F85" i="25" s="1"/>
  <c r="G85" i="25" s="1"/>
  <c r="I85" i="25" s="1"/>
  <c r="J85" i="25" s="1"/>
  <c r="F84" i="25"/>
  <c r="G84" i="25" s="1"/>
  <c r="I84" i="25" s="1"/>
  <c r="J84" i="25" s="1"/>
  <c r="M81" i="25"/>
  <c r="F81" i="25"/>
  <c r="G81" i="25" s="1"/>
  <c r="I81" i="25" s="1"/>
  <c r="J81" i="25" s="1"/>
  <c r="M80" i="25"/>
  <c r="F80" i="25"/>
  <c r="G80" i="25" s="1"/>
  <c r="I80" i="25" s="1"/>
  <c r="J80" i="25" s="1"/>
  <c r="B78" i="25"/>
  <c r="F78" i="25" s="1"/>
  <c r="G78" i="25" s="1"/>
  <c r="I78" i="25" s="1"/>
  <c r="J78" i="25" s="1"/>
  <c r="F77" i="25"/>
  <c r="G77" i="25" s="1"/>
  <c r="I77" i="25" s="1"/>
  <c r="J77" i="25" s="1"/>
  <c r="B75" i="25"/>
  <c r="F75" i="25" s="1"/>
  <c r="G75" i="25" s="1"/>
  <c r="I75" i="25" s="1"/>
  <c r="J75" i="25" s="1"/>
  <c r="M74" i="25"/>
  <c r="F74" i="25"/>
  <c r="G74" i="25" s="1"/>
  <c r="I74" i="25" s="1"/>
  <c r="J74" i="25" s="1"/>
  <c r="M73" i="25"/>
  <c r="F73" i="25"/>
  <c r="G73" i="25" s="1"/>
  <c r="I73" i="25" s="1"/>
  <c r="J73" i="25" s="1"/>
  <c r="B71" i="25"/>
  <c r="F71" i="25" s="1"/>
  <c r="G71" i="25" s="1"/>
  <c r="I71" i="25" s="1"/>
  <c r="J71" i="25" s="1"/>
  <c r="F70" i="25"/>
  <c r="G70" i="25" s="1"/>
  <c r="I70" i="25" s="1"/>
  <c r="J70" i="25" s="1"/>
  <c r="F65" i="25"/>
  <c r="G65" i="25" s="1"/>
  <c r="I65" i="25" s="1"/>
  <c r="J65" i="25" s="1"/>
  <c r="F61" i="25"/>
  <c r="G61" i="25" s="1"/>
  <c r="I61" i="25" s="1"/>
  <c r="J61" i="25" s="1"/>
  <c r="D60" i="25"/>
  <c r="D58" i="25"/>
  <c r="B48" i="25"/>
  <c r="F48" i="25" s="1"/>
  <c r="G48" i="25" s="1"/>
  <c r="I48" i="25" s="1"/>
  <c r="J48" i="25" s="1"/>
  <c r="F45" i="25"/>
  <c r="G45" i="25" s="1"/>
  <c r="I45" i="25" s="1"/>
  <c r="J45" i="25" s="1"/>
  <c r="H31" i="24" s="1"/>
  <c r="B34" i="25"/>
  <c r="F34" i="25" s="1"/>
  <c r="G34" i="25" s="1"/>
  <c r="I34" i="25" s="1"/>
  <c r="J34" i="25" s="1"/>
  <c r="A34" i="25"/>
  <c r="B33" i="25"/>
  <c r="F33" i="25" s="1"/>
  <c r="G33" i="25" s="1"/>
  <c r="I33" i="25" s="1"/>
  <c r="J33" i="25" s="1"/>
  <c r="A33" i="25"/>
  <c r="B32" i="25"/>
  <c r="F32" i="25" s="1"/>
  <c r="G32" i="25" s="1"/>
  <c r="I32" i="25" s="1"/>
  <c r="J32" i="25" s="1"/>
  <c r="A32" i="25"/>
  <c r="F28" i="25"/>
  <c r="I28" i="25" s="1"/>
  <c r="J28" i="25" s="1"/>
  <c r="F27" i="25"/>
  <c r="I27" i="25" s="1"/>
  <c r="J27" i="25" s="1"/>
  <c r="F26" i="25"/>
  <c r="I26" i="25" s="1"/>
  <c r="J26" i="25" s="1"/>
  <c r="F18" i="25"/>
  <c r="I18" i="25" s="1"/>
  <c r="J18" i="25" s="1"/>
  <c r="I17" i="25"/>
  <c r="J17" i="25" s="1"/>
  <c r="F17" i="25"/>
  <c r="F16" i="25"/>
  <c r="I16" i="25" s="1"/>
  <c r="J16" i="25" s="1"/>
  <c r="F8" i="25"/>
  <c r="I8" i="25" s="1"/>
  <c r="J8" i="25" s="1"/>
  <c r="F7" i="25"/>
  <c r="I7" i="25" s="1"/>
  <c r="J7" i="25" s="1"/>
  <c r="F6" i="25"/>
  <c r="I6" i="25" s="1"/>
  <c r="J6" i="25" s="1"/>
  <c r="H29" i="24"/>
  <c r="H24" i="24"/>
  <c r="H19" i="24"/>
  <c r="H14" i="24"/>
  <c r="H9" i="24"/>
  <c r="D1" i="24"/>
  <c r="H14" i="23"/>
  <c r="D1" i="23"/>
  <c r="B7" i="21"/>
  <c r="B6" i="21"/>
  <c r="B5" i="21"/>
  <c r="I4" i="28" l="1"/>
  <c r="R181" i="26"/>
  <c r="S181" i="26" s="1"/>
  <c r="H193" i="26"/>
  <c r="K146" i="34"/>
  <c r="K178" i="26"/>
  <c r="L197" i="26"/>
  <c r="M197" i="26" s="1"/>
  <c r="H9" i="29"/>
  <c r="H20" i="30"/>
  <c r="K141" i="34"/>
  <c r="H184" i="34"/>
  <c r="L141" i="34"/>
  <c r="M141" i="34" s="1"/>
  <c r="L184" i="34"/>
  <c r="M184" i="34" s="1"/>
  <c r="R184" i="34" s="1"/>
  <c r="S184" i="34" s="1"/>
  <c r="R109" i="34"/>
  <c r="S109" i="34" s="1"/>
  <c r="H196" i="34"/>
  <c r="H20" i="24"/>
  <c r="I146" i="34"/>
  <c r="Q184" i="34"/>
  <c r="H15" i="24"/>
  <c r="Q127" i="26"/>
  <c r="D117" i="26"/>
  <c r="K117" i="26" s="1"/>
  <c r="L185" i="26"/>
  <c r="M185" i="26" s="1"/>
  <c r="J197" i="26"/>
  <c r="G116" i="26"/>
  <c r="J124" i="26"/>
  <c r="G136" i="26"/>
  <c r="G147" i="26"/>
  <c r="K182" i="26"/>
  <c r="G115" i="34"/>
  <c r="L118" i="34"/>
  <c r="M118" i="34" s="1"/>
  <c r="H126" i="34"/>
  <c r="J153" i="34"/>
  <c r="F104" i="25"/>
  <c r="G104" i="25" s="1"/>
  <c r="I104" i="25" s="1"/>
  <c r="J104" i="25" s="1"/>
  <c r="J106" i="25" s="1"/>
  <c r="H39" i="24" s="1"/>
  <c r="K111" i="26"/>
  <c r="H12" i="24" s="1"/>
  <c r="H116" i="26"/>
  <c r="I136" i="26"/>
  <c r="I147" i="26"/>
  <c r="Q193" i="26"/>
  <c r="R107" i="34"/>
  <c r="S107" i="34" s="1"/>
  <c r="I115" i="34"/>
  <c r="I126" i="34"/>
  <c r="J159" i="34"/>
  <c r="J192" i="34"/>
  <c r="J116" i="26"/>
  <c r="J119" i="26"/>
  <c r="K147" i="26"/>
  <c r="H12" i="30"/>
  <c r="L115" i="34"/>
  <c r="M115" i="34" s="1"/>
  <c r="K126" i="34"/>
  <c r="Q141" i="34"/>
  <c r="R141" i="34" s="1"/>
  <c r="S141" i="34" s="1"/>
  <c r="Q146" i="34"/>
  <c r="I184" i="34"/>
  <c r="J196" i="34"/>
  <c r="J35" i="25"/>
  <c r="H11" i="23" s="1"/>
  <c r="L116" i="26"/>
  <c r="M116" i="26" s="1"/>
  <c r="L119" i="26"/>
  <c r="M119" i="26" s="1"/>
  <c r="E137" i="26"/>
  <c r="K137" i="26" s="1"/>
  <c r="L154" i="26"/>
  <c r="M154" i="26" s="1"/>
  <c r="R154" i="26" s="1"/>
  <c r="S154" i="26" s="1"/>
  <c r="I193" i="26"/>
  <c r="F251" i="26"/>
  <c r="H251" i="26" s="1"/>
  <c r="F19" i="33"/>
  <c r="I19" i="33" s="1"/>
  <c r="J19" i="33" s="1"/>
  <c r="J21" i="33" s="1"/>
  <c r="H4" i="29" s="1"/>
  <c r="H132" i="34"/>
  <c r="E142" i="34"/>
  <c r="J142" i="34" s="1"/>
  <c r="H31" i="30"/>
  <c r="L192" i="34"/>
  <c r="M192" i="34" s="1"/>
  <c r="R149" i="26"/>
  <c r="S149" i="26" s="1"/>
  <c r="H185" i="26"/>
  <c r="L189" i="26"/>
  <c r="M189" i="26" s="1"/>
  <c r="J113" i="33"/>
  <c r="H6" i="31" s="1"/>
  <c r="Q115" i="34"/>
  <c r="Q126" i="34"/>
  <c r="I132" i="34"/>
  <c r="L196" i="34"/>
  <c r="M196" i="34" s="1"/>
  <c r="R196" i="34" s="1"/>
  <c r="S196" i="34" s="1"/>
  <c r="Q147" i="26"/>
  <c r="L193" i="26"/>
  <c r="M193" i="26" s="1"/>
  <c r="H197" i="26"/>
  <c r="R115" i="34"/>
  <c r="S115" i="34" s="1"/>
  <c r="J111" i="26"/>
  <c r="H10" i="24" s="1"/>
  <c r="H9" i="23"/>
  <c r="L114" i="26"/>
  <c r="M114" i="26" s="1"/>
  <c r="R114" i="26" s="1"/>
  <c r="S114" i="26" s="1"/>
  <c r="R118" i="26"/>
  <c r="S118" i="26" s="1"/>
  <c r="I124" i="26"/>
  <c r="Q124" i="26"/>
  <c r="I127" i="26"/>
  <c r="Q130" i="26"/>
  <c r="H133" i="26"/>
  <c r="L136" i="26"/>
  <c r="M136" i="26" s="1"/>
  <c r="Q136" i="26"/>
  <c r="L137" i="26"/>
  <c r="M137" i="26" s="1"/>
  <c r="K142" i="26"/>
  <c r="Q142" i="26"/>
  <c r="R165" i="26"/>
  <c r="S165" i="26" s="1"/>
  <c r="H21" i="24" s="1"/>
  <c r="Q185" i="26"/>
  <c r="I197" i="26"/>
  <c r="C236" i="26"/>
  <c r="B28" i="33"/>
  <c r="B36" i="33" s="1"/>
  <c r="F36" i="33" s="1"/>
  <c r="G36" i="33" s="1"/>
  <c r="I36" i="33" s="1"/>
  <c r="J36" i="33" s="1"/>
  <c r="F56" i="33"/>
  <c r="G56" i="33" s="1"/>
  <c r="I56" i="33" s="1"/>
  <c r="J56" i="33" s="1"/>
  <c r="J58" i="33" s="1"/>
  <c r="H38" i="30" s="1"/>
  <c r="J107" i="34"/>
  <c r="H5" i="30" s="1"/>
  <c r="L110" i="34"/>
  <c r="M110" i="34" s="1"/>
  <c r="R110" i="34" s="1"/>
  <c r="S110" i="34" s="1"/>
  <c r="U110" i="34" s="1"/>
  <c r="H11" i="30" s="1"/>
  <c r="J115" i="34"/>
  <c r="R117" i="34"/>
  <c r="S117" i="34" s="1"/>
  <c r="K118" i="34"/>
  <c r="H22" i="30" s="1"/>
  <c r="K123" i="34"/>
  <c r="G132" i="34"/>
  <c r="L132" i="34"/>
  <c r="M132" i="34" s="1"/>
  <c r="Q132" i="34"/>
  <c r="K135" i="34"/>
  <c r="E139" i="34"/>
  <c r="I141" i="34"/>
  <c r="L142" i="34"/>
  <c r="M142" i="34" s="1"/>
  <c r="H146" i="34"/>
  <c r="K159" i="34"/>
  <c r="I188" i="34"/>
  <c r="Q188" i="34"/>
  <c r="I192" i="34"/>
  <c r="F250" i="34"/>
  <c r="H250" i="34" s="1"/>
  <c r="J29" i="25"/>
  <c r="H10" i="23" s="1"/>
  <c r="R116" i="26"/>
  <c r="S116" i="26" s="1"/>
  <c r="L142" i="26"/>
  <c r="M142" i="26" s="1"/>
  <c r="E143" i="26"/>
  <c r="I156" i="26"/>
  <c r="R173" i="26"/>
  <c r="S173" i="26" s="1"/>
  <c r="R161" i="34"/>
  <c r="S161" i="34" s="1"/>
  <c r="R168" i="34"/>
  <c r="S168" i="34" s="1"/>
  <c r="H30" i="30" s="1"/>
  <c r="B49" i="25"/>
  <c r="F49" i="25" s="1"/>
  <c r="G49" i="25" s="1"/>
  <c r="I49" i="25" s="1"/>
  <c r="J49" i="25" s="1"/>
  <c r="B82" i="25"/>
  <c r="F82" i="25" s="1"/>
  <c r="G82" i="25" s="1"/>
  <c r="I82" i="25" s="1"/>
  <c r="J82" i="25" s="1"/>
  <c r="O107" i="26"/>
  <c r="P107" i="26" s="1"/>
  <c r="R107" i="26" s="1"/>
  <c r="S107" i="26" s="1"/>
  <c r="R111" i="26"/>
  <c r="S111" i="26" s="1"/>
  <c r="L127" i="26"/>
  <c r="M127" i="26" s="1"/>
  <c r="R127" i="26" s="1"/>
  <c r="S127" i="26" s="1"/>
  <c r="D128" i="26"/>
  <c r="I130" i="26"/>
  <c r="K133" i="26"/>
  <c r="G142" i="26"/>
  <c r="I151" i="26"/>
  <c r="K174" i="26"/>
  <c r="I185" i="26"/>
  <c r="B29" i="33"/>
  <c r="B37" i="33" s="1"/>
  <c r="F37" i="33" s="1"/>
  <c r="G37" i="33" s="1"/>
  <c r="I37" i="33" s="1"/>
  <c r="J37" i="33" s="1"/>
  <c r="J110" i="34"/>
  <c r="H10" i="30" s="1"/>
  <c r="K113" i="34"/>
  <c r="H17" i="30" s="1"/>
  <c r="H115" i="34"/>
  <c r="D116" i="34"/>
  <c r="R118" i="34"/>
  <c r="S118" i="34" s="1"/>
  <c r="G123" i="34"/>
  <c r="L126" i="34"/>
  <c r="M126" i="34" s="1"/>
  <c r="R126" i="34" s="1"/>
  <c r="S126" i="34" s="1"/>
  <c r="D127" i="34"/>
  <c r="G129" i="34"/>
  <c r="J133" i="34"/>
  <c r="G135" i="34"/>
  <c r="L138" i="34"/>
  <c r="M138" i="34" s="1"/>
  <c r="G155" i="34"/>
  <c r="R158" i="34"/>
  <c r="S158" i="34" s="1"/>
  <c r="R159" i="34"/>
  <c r="S159" i="34" s="1"/>
  <c r="J162" i="34"/>
  <c r="L188" i="34"/>
  <c r="M188" i="34" s="1"/>
  <c r="Q192" i="34"/>
  <c r="K200" i="34"/>
  <c r="J101" i="25"/>
  <c r="H40" i="24" s="1"/>
  <c r="J140" i="25"/>
  <c r="J160" i="25"/>
  <c r="I4" i="22"/>
  <c r="K114" i="26"/>
  <c r="H17" i="24" s="1"/>
  <c r="K116" i="26"/>
  <c r="R119" i="26"/>
  <c r="S119" i="26" s="1"/>
  <c r="G124" i="26"/>
  <c r="G127" i="26"/>
  <c r="G133" i="26"/>
  <c r="L133" i="26"/>
  <c r="M133" i="26" s="1"/>
  <c r="R133" i="26" s="1"/>
  <c r="S133" i="26" s="1"/>
  <c r="D134" i="26"/>
  <c r="J136" i="26"/>
  <c r="I142" i="26"/>
  <c r="O142" i="26"/>
  <c r="P142" i="26" s="1"/>
  <c r="R142" i="26" s="1"/>
  <c r="S142" i="26" s="1"/>
  <c r="L147" i="26"/>
  <c r="M147" i="26" s="1"/>
  <c r="R147" i="26" s="1"/>
  <c r="S147" i="26" s="1"/>
  <c r="L151" i="26"/>
  <c r="M151" i="26" s="1"/>
  <c r="R151" i="26" s="1"/>
  <c r="S151" i="26" s="1"/>
  <c r="Q151" i="26"/>
  <c r="Q156" i="26"/>
  <c r="R159" i="26"/>
  <c r="S159" i="26" s="1"/>
  <c r="R162" i="26"/>
  <c r="S162" i="26" s="1"/>
  <c r="L163" i="26"/>
  <c r="M163" i="26" s="1"/>
  <c r="R163" i="26" s="1"/>
  <c r="S163" i="26" s="1"/>
  <c r="K166" i="26"/>
  <c r="H22" i="24" s="1"/>
  <c r="G240" i="26"/>
  <c r="R113" i="34"/>
  <c r="S113" i="34" s="1"/>
  <c r="I123" i="34"/>
  <c r="Q123" i="34"/>
  <c r="K129" i="34"/>
  <c r="J132" i="34"/>
  <c r="L133" i="34"/>
  <c r="M133" i="34" s="1"/>
  <c r="R133" i="34" s="1"/>
  <c r="S133" i="34" s="1"/>
  <c r="I135" i="34"/>
  <c r="Q135" i="34"/>
  <c r="G142" i="34"/>
  <c r="L146" i="34"/>
  <c r="M146" i="34" s="1"/>
  <c r="K155" i="34"/>
  <c r="H188" i="34"/>
  <c r="J86" i="25"/>
  <c r="H33" i="24" s="1"/>
  <c r="J19" i="25"/>
  <c r="J9" i="25"/>
  <c r="J4" i="22" s="1"/>
  <c r="R136" i="26"/>
  <c r="S136" i="26" s="1"/>
  <c r="R153" i="26"/>
  <c r="S153" i="26" s="1"/>
  <c r="O169" i="26"/>
  <c r="P169" i="26" s="1"/>
  <c r="R169" i="26" s="1"/>
  <c r="S169" i="26" s="1"/>
  <c r="H26" i="24" s="1"/>
  <c r="O185" i="26"/>
  <c r="P185" i="26" s="1"/>
  <c r="R193" i="26"/>
  <c r="S193" i="26" s="1"/>
  <c r="J155" i="25"/>
  <c r="H139" i="26"/>
  <c r="G139" i="26"/>
  <c r="E140" i="26"/>
  <c r="L139" i="26"/>
  <c r="M139" i="26" s="1"/>
  <c r="K139" i="26"/>
  <c r="Q139" i="26"/>
  <c r="I139" i="26"/>
  <c r="J176" i="25"/>
  <c r="O177" i="26"/>
  <c r="P177" i="26" s="1"/>
  <c r="R177" i="26" s="1"/>
  <c r="S177" i="26" s="1"/>
  <c r="O110" i="26"/>
  <c r="P110" i="26" s="1"/>
  <c r="R110" i="26" s="1"/>
  <c r="S110" i="26" s="1"/>
  <c r="U111" i="26" s="1"/>
  <c r="H11" i="24" s="1"/>
  <c r="J108" i="26"/>
  <c r="H5" i="24" s="1"/>
  <c r="K108" i="26"/>
  <c r="H7" i="24" s="1"/>
  <c r="R145" i="26"/>
  <c r="S145" i="26" s="1"/>
  <c r="L160" i="26"/>
  <c r="M160" i="26" s="1"/>
  <c r="R160" i="26" s="1"/>
  <c r="S160" i="26" s="1"/>
  <c r="K160" i="26"/>
  <c r="J160" i="26"/>
  <c r="K165" i="34"/>
  <c r="J165" i="34"/>
  <c r="B58" i="25"/>
  <c r="L108" i="26"/>
  <c r="M108" i="26" s="1"/>
  <c r="R108" i="26" s="1"/>
  <c r="S108" i="26" s="1"/>
  <c r="R113" i="26"/>
  <c r="S113" i="26" s="1"/>
  <c r="L124" i="26"/>
  <c r="M124" i="26" s="1"/>
  <c r="R124" i="26" s="1"/>
  <c r="S124" i="26" s="1"/>
  <c r="D125" i="26"/>
  <c r="K128" i="26"/>
  <c r="H130" i="26"/>
  <c r="H143" i="26"/>
  <c r="Q143" i="26"/>
  <c r="K151" i="26"/>
  <c r="K154" i="26"/>
  <c r="H156" i="26"/>
  <c r="K163" i="26"/>
  <c r="B38" i="33"/>
  <c r="F38" i="33" s="1"/>
  <c r="G38" i="33" s="1"/>
  <c r="I38" i="33" s="1"/>
  <c r="J38" i="33" s="1"/>
  <c r="F30" i="33"/>
  <c r="G30" i="33" s="1"/>
  <c r="I30" i="33" s="1"/>
  <c r="J30" i="33" s="1"/>
  <c r="F29" i="33"/>
  <c r="G29" i="33" s="1"/>
  <c r="I29" i="33" s="1"/>
  <c r="J29" i="33" s="1"/>
  <c r="B64" i="33"/>
  <c r="F64" i="33" s="1"/>
  <c r="G64" i="33" s="1"/>
  <c r="I64" i="33" s="1"/>
  <c r="J64" i="33" s="1"/>
  <c r="R148" i="34"/>
  <c r="S148" i="34" s="1"/>
  <c r="R162" i="34"/>
  <c r="S162" i="34" s="1"/>
  <c r="H127" i="26"/>
  <c r="J130" i="26"/>
  <c r="H142" i="26"/>
  <c r="K143" i="26"/>
  <c r="H147" i="26"/>
  <c r="J156" i="26"/>
  <c r="H189" i="26"/>
  <c r="R197" i="26"/>
  <c r="S197" i="26" s="1"/>
  <c r="E67" i="33"/>
  <c r="I67" i="33" s="1"/>
  <c r="J67" i="33" s="1"/>
  <c r="H43" i="30" s="1"/>
  <c r="F60" i="33"/>
  <c r="G60" i="33" s="1"/>
  <c r="I60" i="33" s="1"/>
  <c r="J60" i="33" s="1"/>
  <c r="E61" i="33"/>
  <c r="F61" i="33" s="1"/>
  <c r="G61" i="33" s="1"/>
  <c r="I61" i="33" s="1"/>
  <c r="J61" i="33" s="1"/>
  <c r="F63" i="33"/>
  <c r="G63" i="33" s="1"/>
  <c r="I63" i="33" s="1"/>
  <c r="J63" i="33" s="1"/>
  <c r="J125" i="33"/>
  <c r="K130" i="26"/>
  <c r="L143" i="26"/>
  <c r="M143" i="26" s="1"/>
  <c r="K156" i="26"/>
  <c r="I189" i="26"/>
  <c r="Q189" i="26"/>
  <c r="R189" i="26" s="1"/>
  <c r="S189" i="26" s="1"/>
  <c r="K201" i="26"/>
  <c r="D1" i="29"/>
  <c r="D1" i="31"/>
  <c r="D1" i="32"/>
  <c r="F20" i="33"/>
  <c r="I20" i="33" s="1"/>
  <c r="J20" i="33" s="1"/>
  <c r="B31" i="33"/>
  <c r="H21" i="30"/>
  <c r="L139" i="34"/>
  <c r="M139" i="34" s="1"/>
  <c r="K139" i="34"/>
  <c r="J139" i="34"/>
  <c r="Q139" i="34"/>
  <c r="H139" i="34"/>
  <c r="G139" i="34"/>
  <c r="R153" i="34"/>
  <c r="S153" i="34" s="1"/>
  <c r="K173" i="34"/>
  <c r="J173" i="34"/>
  <c r="R176" i="34"/>
  <c r="S176" i="34" s="1"/>
  <c r="H124" i="26"/>
  <c r="L130" i="26"/>
  <c r="M130" i="26" s="1"/>
  <c r="D131" i="26"/>
  <c r="H136" i="26"/>
  <c r="G151" i="26"/>
  <c r="L156" i="26"/>
  <c r="M156" i="26" s="1"/>
  <c r="R156" i="26" s="1"/>
  <c r="S156" i="26" s="1"/>
  <c r="D157" i="26"/>
  <c r="D202" i="26"/>
  <c r="E239" i="26"/>
  <c r="G239" i="26" s="1"/>
  <c r="G242" i="26" s="1"/>
  <c r="J242" i="26" s="1"/>
  <c r="J10" i="33"/>
  <c r="J4" i="28" s="1"/>
  <c r="L4" i="28" s="1"/>
  <c r="J124" i="34"/>
  <c r="K124" i="34"/>
  <c r="R124" i="34"/>
  <c r="S124" i="34" s="1"/>
  <c r="L150" i="34"/>
  <c r="M150" i="34" s="1"/>
  <c r="K150" i="34"/>
  <c r="J150" i="34"/>
  <c r="Q150" i="34"/>
  <c r="I150" i="34"/>
  <c r="H150" i="34"/>
  <c r="G150" i="34"/>
  <c r="K181" i="34"/>
  <c r="J181" i="34"/>
  <c r="H151" i="26"/>
  <c r="D1" i="30"/>
  <c r="J93" i="33"/>
  <c r="H7" i="31" s="1"/>
  <c r="R112" i="34"/>
  <c r="S112" i="34" s="1"/>
  <c r="U113" i="34" s="1"/>
  <c r="H16" i="30" s="1"/>
  <c r="G136" i="34"/>
  <c r="L136" i="34"/>
  <c r="M136" i="34" s="1"/>
  <c r="K136" i="34"/>
  <c r="Q136" i="34"/>
  <c r="H136" i="34"/>
  <c r="R144" i="34"/>
  <c r="S144" i="34" s="1"/>
  <c r="N262" i="34"/>
  <c r="R262" i="34" s="1"/>
  <c r="S262" i="34" s="1"/>
  <c r="U262" i="34" s="1"/>
  <c r="H25" i="30" s="1"/>
  <c r="I116" i="26"/>
  <c r="I133" i="26"/>
  <c r="G201" i="26"/>
  <c r="J129" i="34"/>
  <c r="K138" i="34"/>
  <c r="H141" i="34"/>
  <c r="K142" i="34"/>
  <c r="J155" i="34"/>
  <c r="C236" i="34"/>
  <c r="R106" i="34"/>
  <c r="S106" i="34" s="1"/>
  <c r="U107" i="34" s="1"/>
  <c r="H6" i="30" s="1"/>
  <c r="J113" i="34"/>
  <c r="H15" i="30" s="1"/>
  <c r="H123" i="34"/>
  <c r="J126" i="34"/>
  <c r="L129" i="34"/>
  <c r="M129" i="34" s="1"/>
  <c r="R129" i="34" s="1"/>
  <c r="S129" i="34" s="1"/>
  <c r="D130" i="34"/>
  <c r="H135" i="34"/>
  <c r="J141" i="34"/>
  <c r="J146" i="34"/>
  <c r="R146" i="34"/>
  <c r="S146" i="34" s="1"/>
  <c r="R152" i="34"/>
  <c r="S152" i="34" s="1"/>
  <c r="L155" i="34"/>
  <c r="M155" i="34" s="1"/>
  <c r="R155" i="34" s="1"/>
  <c r="S155" i="34" s="1"/>
  <c r="D156" i="34"/>
  <c r="D201" i="34"/>
  <c r="E238" i="34"/>
  <c r="G238" i="34" s="1"/>
  <c r="F28" i="33"/>
  <c r="G28" i="33" s="1"/>
  <c r="I28" i="33" s="1"/>
  <c r="J28" i="33" s="1"/>
  <c r="J123" i="34"/>
  <c r="J135" i="34"/>
  <c r="G138" i="34"/>
  <c r="O138" i="34"/>
  <c r="P138" i="34" s="1"/>
  <c r="O142" i="34"/>
  <c r="P142" i="34" s="1"/>
  <c r="O164" i="34"/>
  <c r="P164" i="34" s="1"/>
  <c r="R164" i="34" s="1"/>
  <c r="S164" i="34" s="1"/>
  <c r="O172" i="34"/>
  <c r="P172" i="34" s="1"/>
  <c r="R172" i="34" s="1"/>
  <c r="S172" i="34" s="1"/>
  <c r="O180" i="34"/>
  <c r="P180" i="34" s="1"/>
  <c r="R180" i="34" s="1"/>
  <c r="S180" i="34" s="1"/>
  <c r="H138" i="34"/>
  <c r="G200" i="34"/>
  <c r="E239" i="34"/>
  <c r="G239" i="34" s="1"/>
  <c r="K107" i="34"/>
  <c r="H7" i="30" s="1"/>
  <c r="L123" i="34"/>
  <c r="M123" i="34" s="1"/>
  <c r="R123" i="34" s="1"/>
  <c r="S123" i="34" s="1"/>
  <c r="K127" i="34"/>
  <c r="H129" i="34"/>
  <c r="L135" i="34"/>
  <c r="M135" i="34" s="1"/>
  <c r="I138" i="34"/>
  <c r="Q138" i="34"/>
  <c r="H142" i="34"/>
  <c r="Q142" i="34"/>
  <c r="K153" i="34"/>
  <c r="H155" i="34"/>
  <c r="K162" i="34"/>
  <c r="J169" i="34"/>
  <c r="H29" i="30" s="1"/>
  <c r="J177" i="34"/>
  <c r="I129" i="34"/>
  <c r="I155" i="34"/>
  <c r="I196" i="34"/>
  <c r="J40" i="33" l="1"/>
  <c r="H11" i="29" s="1"/>
  <c r="B51" i="25"/>
  <c r="L117" i="26"/>
  <c r="M117" i="26" s="1"/>
  <c r="R117" i="26" s="1"/>
  <c r="S117" i="26" s="1"/>
  <c r="U117" i="26" s="1"/>
  <c r="R185" i="26"/>
  <c r="S185" i="26" s="1"/>
  <c r="R188" i="34"/>
  <c r="S188" i="34" s="1"/>
  <c r="J117" i="26"/>
  <c r="R192" i="34"/>
  <c r="S192" i="34" s="1"/>
  <c r="R130" i="26"/>
  <c r="S130" i="26" s="1"/>
  <c r="R150" i="34"/>
  <c r="S150" i="34" s="1"/>
  <c r="R132" i="34"/>
  <c r="S132" i="34" s="1"/>
  <c r="L4" i="22"/>
  <c r="R135" i="34"/>
  <c r="S135" i="34" s="1"/>
  <c r="Q137" i="26"/>
  <c r="R137" i="26" s="1"/>
  <c r="S137" i="26" s="1"/>
  <c r="H137" i="26"/>
  <c r="R136" i="34"/>
  <c r="S136" i="34" s="1"/>
  <c r="J137" i="26"/>
  <c r="G137" i="26"/>
  <c r="R142" i="34"/>
  <c r="S142" i="34" s="1"/>
  <c r="R139" i="26"/>
  <c r="S139" i="26" s="1"/>
  <c r="K134" i="26"/>
  <c r="L134" i="26"/>
  <c r="M134" i="26" s="1"/>
  <c r="R134" i="26" s="1"/>
  <c r="S134" i="26" s="1"/>
  <c r="J134" i="26"/>
  <c r="U114" i="26"/>
  <c r="H16" i="24" s="1"/>
  <c r="U108" i="26"/>
  <c r="H6" i="24" s="1"/>
  <c r="L127" i="34"/>
  <c r="M127" i="34" s="1"/>
  <c r="R127" i="34" s="1"/>
  <c r="S127" i="34" s="1"/>
  <c r="J127" i="34"/>
  <c r="K116" i="34"/>
  <c r="J116" i="34"/>
  <c r="L116" i="34"/>
  <c r="M116" i="34" s="1"/>
  <c r="R116" i="34" s="1"/>
  <c r="S116" i="34" s="1"/>
  <c r="U116" i="34" s="1"/>
  <c r="R138" i="34"/>
  <c r="S138" i="34" s="1"/>
  <c r="G143" i="26"/>
  <c r="J143" i="26"/>
  <c r="G241" i="34"/>
  <c r="J241" i="34" s="1"/>
  <c r="J128" i="26"/>
  <c r="L128" i="26"/>
  <c r="M128" i="26" s="1"/>
  <c r="R128" i="26" s="1"/>
  <c r="S128" i="26" s="1"/>
  <c r="L130" i="34"/>
  <c r="M130" i="34" s="1"/>
  <c r="R130" i="34" s="1"/>
  <c r="S130" i="34" s="1"/>
  <c r="K130" i="34"/>
  <c r="J130" i="34"/>
  <c r="J32" i="33"/>
  <c r="H10" i="29" s="1"/>
  <c r="H14" i="29" s="1"/>
  <c r="Q200" i="34"/>
  <c r="I200" i="34"/>
  <c r="H200" i="34"/>
  <c r="K201" i="34"/>
  <c r="J201" i="34"/>
  <c r="L200" i="34"/>
  <c r="M200" i="34" s="1"/>
  <c r="J200" i="34"/>
  <c r="L157" i="26"/>
  <c r="M157" i="26" s="1"/>
  <c r="R157" i="26" s="1"/>
  <c r="S157" i="26" s="1"/>
  <c r="K157" i="26"/>
  <c r="J157" i="26"/>
  <c r="R139" i="34"/>
  <c r="S139" i="34" s="1"/>
  <c r="L156" i="34"/>
  <c r="M156" i="34" s="1"/>
  <c r="R156" i="34" s="1"/>
  <c r="S156" i="34" s="1"/>
  <c r="K156" i="34"/>
  <c r="J156" i="34"/>
  <c r="B60" i="25"/>
  <c r="F60" i="25" s="1"/>
  <c r="G60" i="25" s="1"/>
  <c r="I60" i="25" s="1"/>
  <c r="J60" i="25" s="1"/>
  <c r="F58" i="25"/>
  <c r="G58" i="25" s="1"/>
  <c r="I58" i="25" s="1"/>
  <c r="J58" i="25" s="1"/>
  <c r="B39" i="33"/>
  <c r="F39" i="33" s="1"/>
  <c r="G39" i="33" s="1"/>
  <c r="I39" i="33" s="1"/>
  <c r="J39" i="33" s="1"/>
  <c r="F31" i="33"/>
  <c r="G31" i="33" s="1"/>
  <c r="I31" i="33" s="1"/>
  <c r="J31" i="33" s="1"/>
  <c r="L131" i="26"/>
  <c r="M131" i="26" s="1"/>
  <c r="R131" i="26" s="1"/>
  <c r="S131" i="26" s="1"/>
  <c r="K131" i="26"/>
  <c r="J131" i="26"/>
  <c r="R143" i="26"/>
  <c r="S143" i="26" s="1"/>
  <c r="J65" i="33"/>
  <c r="H37" i="30" s="1"/>
  <c r="F51" i="25"/>
  <c r="G51" i="25" s="1"/>
  <c r="I51" i="25" s="1"/>
  <c r="J51" i="25" s="1"/>
  <c r="E53" i="25"/>
  <c r="L125" i="26"/>
  <c r="M125" i="26" s="1"/>
  <c r="R125" i="26" s="1"/>
  <c r="S125" i="26" s="1"/>
  <c r="K125" i="26"/>
  <c r="J125" i="26"/>
  <c r="K140" i="26"/>
  <c r="J140" i="26"/>
  <c r="Q140" i="26"/>
  <c r="H140" i="26"/>
  <c r="G140" i="26"/>
  <c r="L140" i="26"/>
  <c r="M140" i="26" s="1"/>
  <c r="K202" i="26"/>
  <c r="J202" i="26"/>
  <c r="L201" i="26"/>
  <c r="M201" i="26" s="1"/>
  <c r="J201" i="26"/>
  <c r="H201" i="26"/>
  <c r="Q201" i="26"/>
  <c r="I201" i="26"/>
  <c r="R140" i="26" l="1"/>
  <c r="S140" i="26" s="1"/>
  <c r="R200" i="34"/>
  <c r="S200" i="34" s="1"/>
  <c r="F53" i="25"/>
  <c r="G53" i="25" s="1"/>
  <c r="I53" i="25" s="1"/>
  <c r="J53" i="25" s="1"/>
  <c r="J54" i="25" s="1"/>
  <c r="H32" i="24" s="1"/>
  <c r="E64" i="25"/>
  <c r="F64" i="25" s="1"/>
  <c r="G64" i="25" s="1"/>
  <c r="I64" i="25" s="1"/>
  <c r="J64" i="25" s="1"/>
  <c r="J66" i="25" s="1"/>
  <c r="H34" i="24" s="1"/>
  <c r="R201" i="26"/>
  <c r="S201" i="26" s="1"/>
  <c r="J12" i="19" l="1"/>
  <c r="I12" i="19"/>
  <c r="J11" i="19"/>
  <c r="C8" i="19"/>
  <c r="C7" i="19"/>
  <c r="C6" i="19"/>
  <c r="K5" i="19"/>
  <c r="J5" i="19"/>
  <c r="I5" i="19"/>
  <c r="D250" i="18"/>
  <c r="H241" i="18"/>
  <c r="D239" i="18"/>
  <c r="D238" i="18"/>
  <c r="C232" i="18"/>
  <c r="E239" i="18" s="1"/>
  <c r="N200" i="18"/>
  <c r="O200" i="18" s="1"/>
  <c r="P200" i="18" s="1"/>
  <c r="E200" i="18"/>
  <c r="D202" i="18" s="1"/>
  <c r="D198" i="18"/>
  <c r="D197" i="18"/>
  <c r="H196" i="18" s="1"/>
  <c r="N196" i="18"/>
  <c r="O196" i="18" s="1"/>
  <c r="P196" i="18" s="1"/>
  <c r="K196" i="18"/>
  <c r="G196" i="18"/>
  <c r="D194" i="18"/>
  <c r="D193" i="18"/>
  <c r="L192" i="18" s="1"/>
  <c r="M192" i="18" s="1"/>
  <c r="O192" i="18"/>
  <c r="P192" i="18" s="1"/>
  <c r="N192" i="18"/>
  <c r="K192" i="18"/>
  <c r="G192" i="18"/>
  <c r="D190" i="18"/>
  <c r="D189" i="18"/>
  <c r="Q188" i="18" s="1"/>
  <c r="N188" i="18"/>
  <c r="O188" i="18" s="1"/>
  <c r="P188" i="18" s="1"/>
  <c r="K188" i="18"/>
  <c r="G188" i="18"/>
  <c r="D186" i="18"/>
  <c r="D185" i="18"/>
  <c r="Q184" i="18" s="1"/>
  <c r="N184" i="18"/>
  <c r="O184" i="18" s="1"/>
  <c r="P184" i="18" s="1"/>
  <c r="K184" i="18"/>
  <c r="G184" i="18"/>
  <c r="D182" i="18"/>
  <c r="M181" i="18"/>
  <c r="R181" i="18" s="1"/>
  <c r="S181" i="18" s="1"/>
  <c r="D181" i="18"/>
  <c r="K181" i="18" s="1"/>
  <c r="Q180" i="18"/>
  <c r="N180" i="18"/>
  <c r="O180" i="18" s="1"/>
  <c r="P180" i="18" s="1"/>
  <c r="L180" i="18"/>
  <c r="M180" i="18" s="1"/>
  <c r="K180" i="18"/>
  <c r="J180" i="18"/>
  <c r="I180" i="18"/>
  <c r="H180" i="18"/>
  <c r="G180" i="18"/>
  <c r="D178" i="18"/>
  <c r="M177" i="18"/>
  <c r="R177" i="18" s="1"/>
  <c r="S177" i="18" s="1"/>
  <c r="D177" i="18"/>
  <c r="J177" i="18" s="1"/>
  <c r="Q176" i="18"/>
  <c r="N176" i="18"/>
  <c r="O176" i="18" s="1"/>
  <c r="P176" i="18" s="1"/>
  <c r="L176" i="18"/>
  <c r="M176" i="18" s="1"/>
  <c r="K176" i="18"/>
  <c r="J176" i="18"/>
  <c r="I176" i="18"/>
  <c r="H176" i="18"/>
  <c r="G176" i="18"/>
  <c r="D174" i="18"/>
  <c r="M173" i="18"/>
  <c r="R173" i="18" s="1"/>
  <c r="S173" i="18" s="1"/>
  <c r="D173" i="18"/>
  <c r="J173" i="18" s="1"/>
  <c r="Q172" i="18"/>
  <c r="N172" i="18"/>
  <c r="O172" i="18" s="1"/>
  <c r="P172" i="18" s="1"/>
  <c r="L172" i="18"/>
  <c r="M172" i="18" s="1"/>
  <c r="K172" i="18"/>
  <c r="J172" i="18"/>
  <c r="I172" i="18"/>
  <c r="H172" i="18"/>
  <c r="G172" i="18"/>
  <c r="D170" i="18"/>
  <c r="M169" i="18"/>
  <c r="R169" i="18" s="1"/>
  <c r="S169" i="18" s="1"/>
  <c r="D169" i="18"/>
  <c r="J169" i="18" s="1"/>
  <c r="Q168" i="18"/>
  <c r="N168" i="18"/>
  <c r="O168" i="18" s="1"/>
  <c r="P168" i="18" s="1"/>
  <c r="L168" i="18"/>
  <c r="M168" i="18" s="1"/>
  <c r="K168" i="18"/>
  <c r="J168" i="18"/>
  <c r="I168" i="18"/>
  <c r="H168" i="18"/>
  <c r="G168" i="18"/>
  <c r="D166" i="18"/>
  <c r="M165" i="18"/>
  <c r="R165" i="18" s="1"/>
  <c r="S165" i="18" s="1"/>
  <c r="D165" i="18"/>
  <c r="K165" i="18" s="1"/>
  <c r="Q164" i="18"/>
  <c r="N164" i="18"/>
  <c r="O164" i="18" s="1"/>
  <c r="P164" i="18" s="1"/>
  <c r="L164" i="18"/>
  <c r="M164" i="18" s="1"/>
  <c r="K164" i="18"/>
  <c r="J164" i="18"/>
  <c r="I164" i="18"/>
  <c r="H164" i="18"/>
  <c r="G164" i="18"/>
  <c r="N162" i="18"/>
  <c r="D162" i="18"/>
  <c r="K162" i="18" s="1"/>
  <c r="Q161" i="18"/>
  <c r="O161" i="18"/>
  <c r="P161" i="18" s="1"/>
  <c r="N161" i="18"/>
  <c r="L161" i="18"/>
  <c r="M161" i="18" s="1"/>
  <c r="K161" i="18"/>
  <c r="J161" i="18"/>
  <c r="I161" i="18"/>
  <c r="H161" i="18"/>
  <c r="G161" i="18"/>
  <c r="N159" i="18"/>
  <c r="D159" i="18"/>
  <c r="L159" i="18" s="1"/>
  <c r="M159" i="18" s="1"/>
  <c r="Q158" i="18"/>
  <c r="O158" i="18"/>
  <c r="P158" i="18" s="1"/>
  <c r="N158" i="18"/>
  <c r="L158" i="18"/>
  <c r="M158" i="18" s="1"/>
  <c r="K158" i="18"/>
  <c r="J158" i="18"/>
  <c r="I158" i="18"/>
  <c r="H158" i="18"/>
  <c r="G158" i="18"/>
  <c r="N156" i="18"/>
  <c r="N155" i="18"/>
  <c r="O155" i="18" s="1"/>
  <c r="P155" i="18" s="1"/>
  <c r="E155" i="18"/>
  <c r="H155" i="18" s="1"/>
  <c r="N153" i="18"/>
  <c r="D153" i="18"/>
  <c r="K153" i="18" s="1"/>
  <c r="Q152" i="18"/>
  <c r="N152" i="18"/>
  <c r="O152" i="18" s="1"/>
  <c r="P152" i="18" s="1"/>
  <c r="L152" i="18"/>
  <c r="M152" i="18" s="1"/>
  <c r="K152" i="18"/>
  <c r="J152" i="18"/>
  <c r="I152" i="18"/>
  <c r="H152" i="18"/>
  <c r="G152" i="18"/>
  <c r="O150" i="18"/>
  <c r="P150" i="18" s="1"/>
  <c r="N150" i="18"/>
  <c r="E150" i="18"/>
  <c r="K150" i="18" s="1"/>
  <c r="Q148" i="18"/>
  <c r="O148" i="18"/>
  <c r="P148" i="18" s="1"/>
  <c r="N148" i="18"/>
  <c r="L148" i="18"/>
  <c r="M148" i="18" s="1"/>
  <c r="K148" i="18"/>
  <c r="J148" i="18"/>
  <c r="I148" i="18"/>
  <c r="H148" i="18"/>
  <c r="G148" i="18"/>
  <c r="N146" i="18"/>
  <c r="O146" i="18" s="1"/>
  <c r="P146" i="18" s="1"/>
  <c r="E146" i="18"/>
  <c r="H146" i="18" s="1"/>
  <c r="Q144" i="18"/>
  <c r="N144" i="18"/>
  <c r="O144" i="18" s="1"/>
  <c r="P144" i="18" s="1"/>
  <c r="L144" i="18"/>
  <c r="M144" i="18" s="1"/>
  <c r="K144" i="18"/>
  <c r="J144" i="18"/>
  <c r="I144" i="18"/>
  <c r="H144" i="18"/>
  <c r="G144" i="18"/>
  <c r="N142" i="18"/>
  <c r="O142" i="18" s="1"/>
  <c r="P142" i="18" s="1"/>
  <c r="Q141" i="18"/>
  <c r="N141" i="18"/>
  <c r="O141" i="18" s="1"/>
  <c r="P141" i="18" s="1"/>
  <c r="E141" i="18"/>
  <c r="H141" i="18" s="1"/>
  <c r="N139" i="18"/>
  <c r="O139" i="18" s="1"/>
  <c r="P139" i="18" s="1"/>
  <c r="N138" i="18"/>
  <c r="O138" i="18" s="1"/>
  <c r="P138" i="18" s="1"/>
  <c r="E138" i="18"/>
  <c r="Q138" i="18" s="1"/>
  <c r="N136" i="18"/>
  <c r="E136" i="18"/>
  <c r="J136" i="18" s="1"/>
  <c r="Q135" i="18"/>
  <c r="N135" i="18"/>
  <c r="O135" i="18" s="1"/>
  <c r="P135" i="18" s="1"/>
  <c r="L135" i="18"/>
  <c r="M135" i="18" s="1"/>
  <c r="K135" i="18"/>
  <c r="J135" i="18"/>
  <c r="I135" i="18"/>
  <c r="H14" i="15" s="1"/>
  <c r="H135" i="18"/>
  <c r="N133" i="18"/>
  <c r="N132" i="18"/>
  <c r="O132" i="18" s="1"/>
  <c r="P132" i="18" s="1"/>
  <c r="E132" i="18"/>
  <c r="H132" i="18" s="1"/>
  <c r="N130" i="18"/>
  <c r="Q129" i="18"/>
  <c r="N129" i="18"/>
  <c r="O129" i="18" s="1"/>
  <c r="P129" i="18" s="1"/>
  <c r="E129" i="18"/>
  <c r="H129" i="18" s="1"/>
  <c r="N127" i="18"/>
  <c r="N126" i="18"/>
  <c r="O126" i="18" s="1"/>
  <c r="P126" i="18" s="1"/>
  <c r="H126" i="18"/>
  <c r="E126" i="18"/>
  <c r="K126" i="18" s="1"/>
  <c r="N124" i="18"/>
  <c r="N123" i="18"/>
  <c r="O123" i="18" s="1"/>
  <c r="P123" i="18" s="1"/>
  <c r="E123" i="18"/>
  <c r="J123" i="18" s="1"/>
  <c r="E121" i="18"/>
  <c r="E120" i="18"/>
  <c r="N118" i="18"/>
  <c r="D118" i="18"/>
  <c r="L118" i="18" s="1"/>
  <c r="M118" i="18" s="1"/>
  <c r="Q117" i="18"/>
  <c r="N117" i="18"/>
  <c r="O117" i="18" s="1"/>
  <c r="P117" i="18" s="1"/>
  <c r="L117" i="18"/>
  <c r="M117" i="18" s="1"/>
  <c r="K117" i="18"/>
  <c r="J117" i="18"/>
  <c r="I117" i="18"/>
  <c r="H117" i="18"/>
  <c r="G117" i="18"/>
  <c r="N116" i="18"/>
  <c r="N115" i="18"/>
  <c r="O115" i="18" s="1"/>
  <c r="P115" i="18" s="1"/>
  <c r="E115" i="18"/>
  <c r="H115" i="18" s="1"/>
  <c r="N113" i="18"/>
  <c r="D113" i="18"/>
  <c r="L113" i="18" s="1"/>
  <c r="M113" i="18" s="1"/>
  <c r="Q112" i="18"/>
  <c r="N112" i="18"/>
  <c r="O112" i="18" s="1"/>
  <c r="P112" i="18" s="1"/>
  <c r="L112" i="18"/>
  <c r="M112" i="18" s="1"/>
  <c r="K112" i="18"/>
  <c r="J112" i="18"/>
  <c r="I112" i="18"/>
  <c r="H9" i="15" s="1"/>
  <c r="H112" i="18"/>
  <c r="N110" i="18"/>
  <c r="D110" i="18"/>
  <c r="K110" i="18" s="1"/>
  <c r="Q109" i="18"/>
  <c r="N109" i="18"/>
  <c r="O109" i="18" s="1"/>
  <c r="P109" i="18" s="1"/>
  <c r="L109" i="18"/>
  <c r="M109" i="18" s="1"/>
  <c r="K109" i="18"/>
  <c r="J109" i="18"/>
  <c r="I109" i="18"/>
  <c r="H4" i="15" s="1"/>
  <c r="H109" i="18"/>
  <c r="G109" i="18"/>
  <c r="I4" i="13" s="1"/>
  <c r="N107" i="18"/>
  <c r="N106" i="18"/>
  <c r="O106" i="18" s="1"/>
  <c r="P106" i="18" s="1"/>
  <c r="E106" i="18"/>
  <c r="J106" i="18" s="1"/>
  <c r="F103" i="17"/>
  <c r="I103" i="17" s="1"/>
  <c r="J103" i="17" s="1"/>
  <c r="F98" i="17"/>
  <c r="J98" i="17" s="1"/>
  <c r="F97" i="17"/>
  <c r="J97" i="17" s="1"/>
  <c r="F93" i="17"/>
  <c r="G93" i="17" s="1"/>
  <c r="I93" i="17" s="1"/>
  <c r="J93" i="17" s="1"/>
  <c r="F92" i="17"/>
  <c r="G92" i="17" s="1"/>
  <c r="I92" i="17" s="1"/>
  <c r="J92" i="17" s="1"/>
  <c r="F88" i="17"/>
  <c r="J88" i="17" s="1"/>
  <c r="F87" i="17"/>
  <c r="J87" i="17" s="1"/>
  <c r="F86" i="17"/>
  <c r="J86" i="17" s="1"/>
  <c r="F85" i="17"/>
  <c r="J85" i="17" s="1"/>
  <c r="F83" i="17"/>
  <c r="J83" i="17" s="1"/>
  <c r="B76" i="17"/>
  <c r="F76" i="17" s="1"/>
  <c r="I76" i="17" s="1"/>
  <c r="J76" i="17" s="1"/>
  <c r="B75" i="17"/>
  <c r="F75" i="17" s="1"/>
  <c r="I75" i="17" s="1"/>
  <c r="J75" i="17" s="1"/>
  <c r="B74" i="17"/>
  <c r="F74" i="17" s="1"/>
  <c r="I74" i="17" s="1"/>
  <c r="J74" i="17" s="1"/>
  <c r="F70" i="17"/>
  <c r="I70" i="17" s="1"/>
  <c r="J70" i="17" s="1"/>
  <c r="F69" i="17"/>
  <c r="I69" i="17" s="1"/>
  <c r="J69" i="17" s="1"/>
  <c r="F68" i="17"/>
  <c r="I68" i="17" s="1"/>
  <c r="J68" i="17" s="1"/>
  <c r="F48" i="17"/>
  <c r="G48" i="17" s="1"/>
  <c r="I48" i="17" s="1"/>
  <c r="J48" i="17" s="1"/>
  <c r="H27" i="15" s="1"/>
  <c r="F47" i="17"/>
  <c r="G47" i="17" s="1"/>
  <c r="I47" i="17" s="1"/>
  <c r="J47" i="17" s="1"/>
  <c r="H28" i="15" s="1"/>
  <c r="F46" i="17"/>
  <c r="G46" i="17" s="1"/>
  <c r="I46" i="17" s="1"/>
  <c r="J46" i="17" s="1"/>
  <c r="H26" i="15" s="1"/>
  <c r="B35" i="17"/>
  <c r="F35" i="17" s="1"/>
  <c r="G35" i="17" s="1"/>
  <c r="I35" i="17" s="1"/>
  <c r="J35" i="17" s="1"/>
  <c r="B28" i="17"/>
  <c r="F28" i="17" s="1"/>
  <c r="G28" i="17" s="1"/>
  <c r="I28" i="17" s="1"/>
  <c r="J28" i="17" s="1"/>
  <c r="A28" i="17"/>
  <c r="A35" i="17" s="1"/>
  <c r="B27" i="17"/>
  <c r="B34" i="17" s="1"/>
  <c r="F34" i="17" s="1"/>
  <c r="G34" i="17" s="1"/>
  <c r="I34" i="17" s="1"/>
  <c r="J34" i="17" s="1"/>
  <c r="A27" i="17"/>
  <c r="A34" i="17" s="1"/>
  <c r="B26" i="17"/>
  <c r="B33" i="17" s="1"/>
  <c r="F33" i="17" s="1"/>
  <c r="G33" i="17" s="1"/>
  <c r="I33" i="17" s="1"/>
  <c r="J33" i="17" s="1"/>
  <c r="A26" i="17"/>
  <c r="A33" i="17" s="1"/>
  <c r="F18" i="17"/>
  <c r="I18" i="17" s="1"/>
  <c r="J18" i="17" s="1"/>
  <c r="A18" i="17"/>
  <c r="A76" i="17" s="1"/>
  <c r="F17" i="17"/>
  <c r="I17" i="17" s="1"/>
  <c r="J17" i="17" s="1"/>
  <c r="A17" i="17"/>
  <c r="A75" i="17" s="1"/>
  <c r="F16" i="17"/>
  <c r="I16" i="17" s="1"/>
  <c r="J16" i="17" s="1"/>
  <c r="A16" i="17"/>
  <c r="A74" i="17" s="1"/>
  <c r="F8" i="17"/>
  <c r="I8" i="17" s="1"/>
  <c r="J8" i="17" s="1"/>
  <c r="F7" i="17"/>
  <c r="I7" i="17" s="1"/>
  <c r="J7" i="17" s="1"/>
  <c r="F6" i="17"/>
  <c r="I6" i="17" s="1"/>
  <c r="J6" i="17" s="1"/>
  <c r="D1" i="16"/>
  <c r="H24" i="15"/>
  <c r="H19" i="15"/>
  <c r="D1" i="15"/>
  <c r="H14" i="14"/>
  <c r="H7" i="14"/>
  <c r="D1" i="14"/>
  <c r="B8" i="12"/>
  <c r="L153" i="18" l="1"/>
  <c r="M153" i="18" s="1"/>
  <c r="I106" i="18"/>
  <c r="L129" i="18"/>
  <c r="M129" i="18" s="1"/>
  <c r="J94" i="17"/>
  <c r="H136" i="18"/>
  <c r="H9" i="14" s="1"/>
  <c r="L126" i="18"/>
  <c r="M126" i="18" s="1"/>
  <c r="Q136" i="18"/>
  <c r="G155" i="18"/>
  <c r="R159" i="18"/>
  <c r="S159" i="18" s="1"/>
  <c r="K155" i="18"/>
  <c r="I146" i="18"/>
  <c r="G106" i="18"/>
  <c r="J129" i="18"/>
  <c r="D133" i="18"/>
  <c r="K133" i="18" s="1"/>
  <c r="J153" i="18"/>
  <c r="D156" i="18"/>
  <c r="K156" i="18" s="1"/>
  <c r="R109" i="18"/>
  <c r="S109" i="18" s="1"/>
  <c r="D116" i="18"/>
  <c r="G123" i="18"/>
  <c r="R153" i="18"/>
  <c r="S153" i="18" s="1"/>
  <c r="Q106" i="18"/>
  <c r="G115" i="18"/>
  <c r="I123" i="18"/>
  <c r="Q126" i="18"/>
  <c r="I115" i="18"/>
  <c r="H22" i="15"/>
  <c r="R112" i="18"/>
  <c r="S112" i="18" s="1"/>
  <c r="K115" i="18"/>
  <c r="Q123" i="18"/>
  <c r="G132" i="18"/>
  <c r="L136" i="18"/>
  <c r="M136" i="18" s="1"/>
  <c r="G141" i="18"/>
  <c r="I155" i="18"/>
  <c r="K173" i="18"/>
  <c r="J188" i="18"/>
  <c r="G129" i="18"/>
  <c r="I132" i="18"/>
  <c r="J141" i="18"/>
  <c r="H7" i="15"/>
  <c r="K132" i="18"/>
  <c r="L141" i="18"/>
  <c r="M141" i="18" s="1"/>
  <c r="R141" i="18" s="1"/>
  <c r="S141" i="18" s="1"/>
  <c r="J184" i="18"/>
  <c r="L188" i="18"/>
  <c r="M188" i="18" s="1"/>
  <c r="R188" i="18" s="1"/>
  <c r="S188" i="18" s="1"/>
  <c r="J99" i="17"/>
  <c r="H6" i="16" s="1"/>
  <c r="R129" i="18"/>
  <c r="S129" i="18" s="1"/>
  <c r="J89" i="17"/>
  <c r="J36" i="17"/>
  <c r="H11" i="14" s="1"/>
  <c r="J110" i="18"/>
  <c r="H5" i="15" s="1"/>
  <c r="L115" i="18"/>
  <c r="M115" i="18" s="1"/>
  <c r="Q115" i="18"/>
  <c r="J118" i="18"/>
  <c r="I126" i="18"/>
  <c r="D127" i="18"/>
  <c r="K129" i="18"/>
  <c r="H15" i="15"/>
  <c r="K141" i="18"/>
  <c r="J146" i="18"/>
  <c r="L155" i="18"/>
  <c r="M155" i="18" s="1"/>
  <c r="Q155" i="18"/>
  <c r="J162" i="18"/>
  <c r="J165" i="18"/>
  <c r="H20" i="15" s="1"/>
  <c r="J181" i="18"/>
  <c r="L184" i="18"/>
  <c r="M184" i="18" s="1"/>
  <c r="R184" i="18" s="1"/>
  <c r="S184" i="18" s="1"/>
  <c r="C235" i="18"/>
  <c r="L110" i="18"/>
  <c r="M110" i="18" s="1"/>
  <c r="K118" i="18"/>
  <c r="J126" i="18"/>
  <c r="L133" i="18"/>
  <c r="M133" i="18" s="1"/>
  <c r="R133" i="18" s="1"/>
  <c r="S133" i="18" s="1"/>
  <c r="K146" i="18"/>
  <c r="R148" i="18"/>
  <c r="S148" i="18" s="1"/>
  <c r="L162" i="18"/>
  <c r="M162" i="18" s="1"/>
  <c r="R162" i="18" s="1"/>
  <c r="S162" i="18" s="1"/>
  <c r="L196" i="18"/>
  <c r="M196" i="18" s="1"/>
  <c r="C236" i="18"/>
  <c r="R113" i="18"/>
  <c r="S113" i="18" s="1"/>
  <c r="U113" i="18" s="1"/>
  <c r="H11" i="15" s="1"/>
  <c r="J116" i="18"/>
  <c r="G126" i="18"/>
  <c r="I129" i="18"/>
  <c r="D130" i="18"/>
  <c r="L132" i="18"/>
  <c r="M132" i="18" s="1"/>
  <c r="Q132" i="18"/>
  <c r="K136" i="18"/>
  <c r="H17" i="15" s="1"/>
  <c r="O136" i="18"/>
  <c r="P136" i="18" s="1"/>
  <c r="I141" i="18"/>
  <c r="E142" i="18"/>
  <c r="K142" i="18" s="1"/>
  <c r="G146" i="18"/>
  <c r="L146" i="18"/>
  <c r="M146" i="18" s="1"/>
  <c r="Q146" i="18"/>
  <c r="H150" i="18"/>
  <c r="J156" i="18"/>
  <c r="R158" i="18"/>
  <c r="S158" i="18" s="1"/>
  <c r="R118" i="18"/>
  <c r="S118" i="18" s="1"/>
  <c r="R161" i="18"/>
  <c r="S161" i="18" s="1"/>
  <c r="J19" i="17"/>
  <c r="H4" i="14" s="1"/>
  <c r="J71" i="17"/>
  <c r="R144" i="18"/>
  <c r="S144" i="18" s="1"/>
  <c r="J9" i="17"/>
  <c r="J4" i="13" s="1"/>
  <c r="L4" i="13" s="1"/>
  <c r="R176" i="18"/>
  <c r="S176" i="18" s="1"/>
  <c r="G239" i="18"/>
  <c r="J77" i="17"/>
  <c r="I4" i="16" s="1"/>
  <c r="R117" i="18"/>
  <c r="S117" i="18" s="1"/>
  <c r="R126" i="18"/>
  <c r="S126" i="18" s="1"/>
  <c r="R135" i="18"/>
  <c r="S135" i="18" s="1"/>
  <c r="R152" i="18"/>
  <c r="S152" i="18" s="1"/>
  <c r="R110" i="18"/>
  <c r="S110" i="18" s="1"/>
  <c r="U110" i="18" s="1"/>
  <c r="H6" i="15" s="1"/>
  <c r="R115" i="18"/>
  <c r="S115" i="18" s="1"/>
  <c r="R168" i="18"/>
  <c r="S168" i="18" s="1"/>
  <c r="K123" i="18"/>
  <c r="J138" i="18"/>
  <c r="L150" i="18"/>
  <c r="M150" i="18" s="1"/>
  <c r="R164" i="18"/>
  <c r="S164" i="18" s="1"/>
  <c r="H21" i="15" s="1"/>
  <c r="K169" i="18"/>
  <c r="R172" i="18"/>
  <c r="S172" i="18" s="1"/>
  <c r="K177" i="18"/>
  <c r="R180" i="18"/>
  <c r="S180" i="18" s="1"/>
  <c r="H192" i="18"/>
  <c r="I196" i="18"/>
  <c r="Q196" i="18"/>
  <c r="K106" i="18"/>
  <c r="L106" i="18"/>
  <c r="M106" i="18" s="1"/>
  <c r="D107" i="18"/>
  <c r="J115" i="18"/>
  <c r="L123" i="18"/>
  <c r="M123" i="18" s="1"/>
  <c r="D124" i="18"/>
  <c r="J132" i="18"/>
  <c r="K138" i="18"/>
  <c r="J155" i="18"/>
  <c r="J159" i="18"/>
  <c r="H188" i="18"/>
  <c r="I192" i="18"/>
  <c r="Q192" i="18"/>
  <c r="R192" i="18" s="1"/>
  <c r="S192" i="18" s="1"/>
  <c r="J196" i="18"/>
  <c r="L138" i="18"/>
  <c r="M138" i="18" s="1"/>
  <c r="R138" i="18" s="1"/>
  <c r="S138" i="18" s="1"/>
  <c r="E139" i="18"/>
  <c r="K159" i="18"/>
  <c r="H184" i="18"/>
  <c r="I188" i="18"/>
  <c r="J192" i="18"/>
  <c r="K200" i="18"/>
  <c r="F27" i="17"/>
  <c r="G27" i="17" s="1"/>
  <c r="I27" i="17" s="1"/>
  <c r="J27" i="17" s="1"/>
  <c r="G150" i="18"/>
  <c r="I184" i="18"/>
  <c r="D201" i="18"/>
  <c r="E238" i="18"/>
  <c r="G238" i="18" s="1"/>
  <c r="C250" i="18"/>
  <c r="F250" i="18" s="1"/>
  <c r="H250" i="18" s="1"/>
  <c r="F26" i="17"/>
  <c r="G26" i="17" s="1"/>
  <c r="I26" i="17" s="1"/>
  <c r="J26" i="17" s="1"/>
  <c r="H106" i="18"/>
  <c r="J113" i="18"/>
  <c r="H10" i="15" s="1"/>
  <c r="H123" i="18"/>
  <c r="G138" i="18"/>
  <c r="I150" i="18"/>
  <c r="Q150" i="18"/>
  <c r="K113" i="18"/>
  <c r="H12" i="15" s="1"/>
  <c r="H138" i="18"/>
  <c r="J150" i="18"/>
  <c r="G200" i="18"/>
  <c r="I138" i="18"/>
  <c r="R132" i="18" l="1"/>
  <c r="S132" i="18" s="1"/>
  <c r="R155" i="18"/>
  <c r="S155" i="18" s="1"/>
  <c r="J133" i="18"/>
  <c r="G241" i="18"/>
  <c r="J241" i="18" s="1"/>
  <c r="L156" i="18"/>
  <c r="M156" i="18" s="1"/>
  <c r="R156" i="18" s="1"/>
  <c r="S156" i="18" s="1"/>
  <c r="R136" i="18"/>
  <c r="S136" i="18" s="1"/>
  <c r="U136" i="18" s="1"/>
  <c r="H16" i="15" s="1"/>
  <c r="R196" i="18"/>
  <c r="S196" i="18" s="1"/>
  <c r="H142" i="18"/>
  <c r="R123" i="18"/>
  <c r="S123" i="18" s="1"/>
  <c r="K116" i="18"/>
  <c r="L116" i="18"/>
  <c r="M116" i="18" s="1"/>
  <c r="R116" i="18" s="1"/>
  <c r="S116" i="18" s="1"/>
  <c r="U116" i="18" s="1"/>
  <c r="R106" i="18"/>
  <c r="S106" i="18" s="1"/>
  <c r="R146" i="18"/>
  <c r="S146" i="18" s="1"/>
  <c r="K127" i="18"/>
  <c r="L127" i="18"/>
  <c r="M127" i="18" s="1"/>
  <c r="R127" i="18" s="1"/>
  <c r="S127" i="18" s="1"/>
  <c r="J127" i="18"/>
  <c r="Q142" i="18"/>
  <c r="G142" i="18"/>
  <c r="L142" i="18"/>
  <c r="M142" i="18" s="1"/>
  <c r="J142" i="18"/>
  <c r="R150" i="18"/>
  <c r="S150" i="18" s="1"/>
  <c r="K130" i="18"/>
  <c r="J130" i="18"/>
  <c r="L130" i="18"/>
  <c r="M130" i="18" s="1"/>
  <c r="R130" i="18" s="1"/>
  <c r="S130" i="18" s="1"/>
  <c r="J29" i="17"/>
  <c r="H10" i="14" s="1"/>
  <c r="K124" i="18"/>
  <c r="J124" i="18"/>
  <c r="L124" i="18"/>
  <c r="M124" i="18" s="1"/>
  <c r="R124" i="18" s="1"/>
  <c r="S124" i="18" s="1"/>
  <c r="H200" i="18"/>
  <c r="K201" i="18"/>
  <c r="J201" i="18"/>
  <c r="L200" i="18"/>
  <c r="M200" i="18" s="1"/>
  <c r="J200" i="18"/>
  <c r="Q200" i="18"/>
  <c r="I200" i="18"/>
  <c r="L139" i="18"/>
  <c r="M139" i="18" s="1"/>
  <c r="K139" i="18"/>
  <c r="J139" i="18"/>
  <c r="G139" i="18"/>
  <c r="Q139" i="18"/>
  <c r="H139" i="18"/>
  <c r="L107" i="18"/>
  <c r="M107" i="18" s="1"/>
  <c r="R107" i="18" s="1"/>
  <c r="S107" i="18" s="1"/>
  <c r="U107" i="18" s="1"/>
  <c r="K107" i="18"/>
  <c r="J107" i="18"/>
  <c r="R142" i="18" l="1"/>
  <c r="S142" i="18" s="1"/>
  <c r="R139" i="18"/>
  <c r="S139" i="18" s="1"/>
  <c r="R200" i="18"/>
  <c r="S200" i="18" s="1"/>
  <c r="J38" i="11" l="1"/>
  <c r="J37" i="11"/>
  <c r="J36" i="11"/>
  <c r="H24" i="10"/>
  <c r="D20" i="10"/>
  <c r="B7" i="2"/>
  <c r="B6" i="2"/>
  <c r="B5" i="2"/>
  <c r="H24" i="5" l="1"/>
  <c r="C7" i="8"/>
  <c r="B7" i="8"/>
  <c r="F7" i="8" s="1"/>
  <c r="G7" i="8" s="1"/>
  <c r="I7" i="8" s="1"/>
  <c r="J7" i="8" s="1"/>
  <c r="C46" i="8"/>
  <c r="B46" i="8"/>
  <c r="F46" i="8" s="1"/>
  <c r="G46" i="8" s="1"/>
  <c r="I46" i="8" s="1"/>
  <c r="J46" i="8" s="1"/>
  <c r="H26" i="5" s="1"/>
  <c r="C48" i="8"/>
  <c r="B48" i="8"/>
  <c r="F26" i="8"/>
  <c r="G26" i="8" s="1"/>
  <c r="I26" i="8" s="1"/>
  <c r="J26" i="8" s="1"/>
  <c r="C11" i="1" l="1"/>
  <c r="D1" i="4" l="1"/>
  <c r="H242" i="9"/>
  <c r="D240" i="9"/>
  <c r="D239" i="9"/>
  <c r="C233" i="9"/>
  <c r="C236" i="9" s="1"/>
  <c r="N201" i="9"/>
  <c r="O201" i="9" s="1"/>
  <c r="P201" i="9" s="1"/>
  <c r="E201" i="9"/>
  <c r="D202" i="9" s="1"/>
  <c r="Q201" i="9" s="1"/>
  <c r="D199" i="9"/>
  <c r="D198" i="9"/>
  <c r="Q197" i="9" s="1"/>
  <c r="N197" i="9"/>
  <c r="O197" i="9" s="1"/>
  <c r="P197" i="9" s="1"/>
  <c r="K197" i="9"/>
  <c r="G197" i="9"/>
  <c r="D195" i="9"/>
  <c r="D194" i="9"/>
  <c r="J193" i="9" s="1"/>
  <c r="O193" i="9"/>
  <c r="P193" i="9" s="1"/>
  <c r="N193" i="9"/>
  <c r="K193" i="9"/>
  <c r="G193" i="9"/>
  <c r="D191" i="9"/>
  <c r="D190" i="9"/>
  <c r="L189" i="9" s="1"/>
  <c r="M189" i="9" s="1"/>
  <c r="N189" i="9"/>
  <c r="O189" i="9" s="1"/>
  <c r="P189" i="9" s="1"/>
  <c r="K189" i="9"/>
  <c r="G189" i="9"/>
  <c r="D187" i="9"/>
  <c r="D186" i="9"/>
  <c r="J185" i="9" s="1"/>
  <c r="N185" i="9"/>
  <c r="O185" i="9" s="1"/>
  <c r="P185" i="9" s="1"/>
  <c r="K185" i="9"/>
  <c r="G185" i="9"/>
  <c r="D183" i="9"/>
  <c r="M182" i="9"/>
  <c r="R182" i="9" s="1"/>
  <c r="S182" i="9" s="1"/>
  <c r="D182" i="9"/>
  <c r="K182" i="9" s="1"/>
  <c r="Q181" i="9"/>
  <c r="N181" i="9"/>
  <c r="O181" i="9" s="1"/>
  <c r="P181" i="9" s="1"/>
  <c r="L181" i="9"/>
  <c r="M181" i="9" s="1"/>
  <c r="K181" i="9"/>
  <c r="J181" i="9"/>
  <c r="I181" i="9"/>
  <c r="H181" i="9"/>
  <c r="G181" i="9"/>
  <c r="D179" i="9"/>
  <c r="M178" i="9"/>
  <c r="R178" i="9" s="1"/>
  <c r="S178" i="9" s="1"/>
  <c r="D178" i="9"/>
  <c r="K178" i="9" s="1"/>
  <c r="Q177" i="9"/>
  <c r="N177" i="9"/>
  <c r="O177" i="9" s="1"/>
  <c r="P177" i="9" s="1"/>
  <c r="L177" i="9"/>
  <c r="M177" i="9" s="1"/>
  <c r="K177" i="9"/>
  <c r="J177" i="9"/>
  <c r="I177" i="9"/>
  <c r="H177" i="9"/>
  <c r="G177" i="9"/>
  <c r="D175" i="9"/>
  <c r="M174" i="9"/>
  <c r="R174" i="9" s="1"/>
  <c r="S174" i="9" s="1"/>
  <c r="D174" i="9"/>
  <c r="K174" i="9" s="1"/>
  <c r="Q173" i="9"/>
  <c r="N173" i="9"/>
  <c r="O173" i="9" s="1"/>
  <c r="P173" i="9" s="1"/>
  <c r="L173" i="9"/>
  <c r="M173" i="9" s="1"/>
  <c r="K173" i="9"/>
  <c r="J173" i="9"/>
  <c r="I173" i="9"/>
  <c r="H173" i="9"/>
  <c r="G173" i="9"/>
  <c r="D171" i="9"/>
  <c r="M170" i="9"/>
  <c r="R170" i="9" s="1"/>
  <c r="S170" i="9" s="1"/>
  <c r="D170" i="9"/>
  <c r="K170" i="9" s="1"/>
  <c r="Q169" i="9"/>
  <c r="N169" i="9"/>
  <c r="O169" i="9" s="1"/>
  <c r="P169" i="9" s="1"/>
  <c r="L169" i="9"/>
  <c r="M169" i="9" s="1"/>
  <c r="K169" i="9"/>
  <c r="J169" i="9"/>
  <c r="I169" i="9"/>
  <c r="H19" i="5" s="1"/>
  <c r="H169" i="9"/>
  <c r="G169" i="9"/>
  <c r="D167" i="9"/>
  <c r="M166" i="9"/>
  <c r="R166" i="9" s="1"/>
  <c r="S166" i="9" s="1"/>
  <c r="D166" i="9"/>
  <c r="K166" i="9" s="1"/>
  <c r="Q165" i="9"/>
  <c r="N165" i="9"/>
  <c r="O165" i="9" s="1"/>
  <c r="P165" i="9" s="1"/>
  <c r="L165" i="9"/>
  <c r="M165" i="9" s="1"/>
  <c r="K165" i="9"/>
  <c r="J165" i="9"/>
  <c r="I165" i="9"/>
  <c r="H165" i="9"/>
  <c r="G165" i="9"/>
  <c r="N163" i="9"/>
  <c r="D163" i="9"/>
  <c r="K163" i="9" s="1"/>
  <c r="Q162" i="9"/>
  <c r="O162" i="9"/>
  <c r="P162" i="9" s="1"/>
  <c r="N162" i="9"/>
  <c r="L162" i="9"/>
  <c r="M162" i="9" s="1"/>
  <c r="K162" i="9"/>
  <c r="J162" i="9"/>
  <c r="I162" i="9"/>
  <c r="H162" i="9"/>
  <c r="G162" i="9"/>
  <c r="N160" i="9"/>
  <c r="D160" i="9"/>
  <c r="J160" i="9" s="1"/>
  <c r="Q159" i="9"/>
  <c r="O159" i="9"/>
  <c r="P159" i="9" s="1"/>
  <c r="N159" i="9"/>
  <c r="L159" i="9"/>
  <c r="M159" i="9" s="1"/>
  <c r="K159" i="9"/>
  <c r="J159" i="9"/>
  <c r="I159" i="9"/>
  <c r="H159" i="9"/>
  <c r="G159" i="9"/>
  <c r="N157" i="9"/>
  <c r="D157" i="9"/>
  <c r="K157" i="9" s="1"/>
  <c r="Q156" i="9"/>
  <c r="N156" i="9"/>
  <c r="O156" i="9" s="1"/>
  <c r="P156" i="9" s="1"/>
  <c r="L156" i="9"/>
  <c r="M156" i="9" s="1"/>
  <c r="K156" i="9"/>
  <c r="J156" i="9"/>
  <c r="I156" i="9"/>
  <c r="H156" i="9"/>
  <c r="G156" i="9"/>
  <c r="N154" i="9"/>
  <c r="D154" i="9"/>
  <c r="K154" i="9" s="1"/>
  <c r="Q153" i="9"/>
  <c r="N153" i="9"/>
  <c r="O153" i="9" s="1"/>
  <c r="P153" i="9" s="1"/>
  <c r="L153" i="9"/>
  <c r="M153" i="9" s="1"/>
  <c r="K153" i="9"/>
  <c r="J153" i="9"/>
  <c r="I153" i="9"/>
  <c r="H153" i="9"/>
  <c r="G153" i="9"/>
  <c r="Q151" i="9"/>
  <c r="O151" i="9"/>
  <c r="P151" i="9" s="1"/>
  <c r="N151" i="9"/>
  <c r="L151" i="9"/>
  <c r="M151" i="9" s="1"/>
  <c r="K151" i="9"/>
  <c r="J151" i="9"/>
  <c r="I151" i="9"/>
  <c r="H151" i="9"/>
  <c r="G151" i="9"/>
  <c r="Q149" i="9"/>
  <c r="O149" i="9"/>
  <c r="P149" i="9" s="1"/>
  <c r="N149" i="9"/>
  <c r="L149" i="9"/>
  <c r="M149" i="9" s="1"/>
  <c r="K149" i="9"/>
  <c r="J149" i="9"/>
  <c r="I149" i="9"/>
  <c r="H149" i="9"/>
  <c r="G149" i="9"/>
  <c r="Q147" i="9"/>
  <c r="N147" i="9"/>
  <c r="O147" i="9" s="1"/>
  <c r="P147" i="9" s="1"/>
  <c r="L147" i="9"/>
  <c r="M147" i="9" s="1"/>
  <c r="K147" i="9"/>
  <c r="J147" i="9"/>
  <c r="I147" i="9"/>
  <c r="H147" i="9"/>
  <c r="G147" i="9"/>
  <c r="Q145" i="9"/>
  <c r="N145" i="9"/>
  <c r="O145" i="9" s="1"/>
  <c r="P145" i="9" s="1"/>
  <c r="L145" i="9"/>
  <c r="M145" i="9" s="1"/>
  <c r="K145" i="9"/>
  <c r="J145" i="9"/>
  <c r="I145" i="9"/>
  <c r="H145" i="9"/>
  <c r="G145" i="9"/>
  <c r="N143" i="9"/>
  <c r="O143" i="9" s="1"/>
  <c r="P143" i="9" s="1"/>
  <c r="J143" i="9"/>
  <c r="Q142" i="9"/>
  <c r="N142" i="9"/>
  <c r="O142" i="9" s="1"/>
  <c r="P142" i="9" s="1"/>
  <c r="L142" i="9"/>
  <c r="M142" i="9" s="1"/>
  <c r="K142" i="9"/>
  <c r="J142" i="9"/>
  <c r="I142" i="9"/>
  <c r="H142" i="9"/>
  <c r="G142" i="9"/>
  <c r="N140" i="9"/>
  <c r="O140" i="9" s="1"/>
  <c r="P140" i="9" s="1"/>
  <c r="Q140" i="9"/>
  <c r="Q139" i="9"/>
  <c r="N139" i="9"/>
  <c r="O139" i="9" s="1"/>
  <c r="P139" i="9" s="1"/>
  <c r="L139" i="9"/>
  <c r="M139" i="9" s="1"/>
  <c r="K139" i="9"/>
  <c r="J139" i="9"/>
  <c r="I139" i="9"/>
  <c r="H139" i="9"/>
  <c r="G139" i="9"/>
  <c r="N137" i="9"/>
  <c r="O137" i="9" s="1"/>
  <c r="P137" i="9" s="1"/>
  <c r="Q137" i="9"/>
  <c r="Q136" i="9"/>
  <c r="N136" i="9"/>
  <c r="O136" i="9" s="1"/>
  <c r="P136" i="9" s="1"/>
  <c r="L136" i="9"/>
  <c r="M136" i="9" s="1"/>
  <c r="K136" i="9"/>
  <c r="J136" i="9"/>
  <c r="I136" i="9"/>
  <c r="H136" i="9"/>
  <c r="G136" i="9"/>
  <c r="N134" i="9"/>
  <c r="D134" i="9"/>
  <c r="K134" i="9" s="1"/>
  <c r="Q133" i="9"/>
  <c r="N133" i="9"/>
  <c r="O133" i="9" s="1"/>
  <c r="P133" i="9" s="1"/>
  <c r="L133" i="9"/>
  <c r="M133" i="9" s="1"/>
  <c r="K133" i="9"/>
  <c r="J133" i="9"/>
  <c r="I133" i="9"/>
  <c r="H133" i="9"/>
  <c r="G133" i="9"/>
  <c r="N131" i="9"/>
  <c r="D131" i="9"/>
  <c r="L131" i="9" s="1"/>
  <c r="M131" i="9" s="1"/>
  <c r="Q130" i="9"/>
  <c r="N130" i="9"/>
  <c r="O130" i="9" s="1"/>
  <c r="P130" i="9" s="1"/>
  <c r="L130" i="9"/>
  <c r="M130" i="9" s="1"/>
  <c r="K130" i="9"/>
  <c r="J130" i="9"/>
  <c r="I130" i="9"/>
  <c r="H130" i="9"/>
  <c r="G130" i="9"/>
  <c r="N128" i="9"/>
  <c r="D128" i="9"/>
  <c r="L128" i="9" s="1"/>
  <c r="M128" i="9" s="1"/>
  <c r="Q127" i="9"/>
  <c r="N127" i="9"/>
  <c r="O127" i="9" s="1"/>
  <c r="P127" i="9" s="1"/>
  <c r="L127" i="9"/>
  <c r="M127" i="9" s="1"/>
  <c r="K127" i="9"/>
  <c r="J127" i="9"/>
  <c r="I127" i="9"/>
  <c r="H127" i="9"/>
  <c r="G127" i="9"/>
  <c r="N125" i="9"/>
  <c r="D125" i="9"/>
  <c r="L125" i="9" s="1"/>
  <c r="M125" i="9" s="1"/>
  <c r="Q124" i="9"/>
  <c r="N124" i="9"/>
  <c r="O124" i="9" s="1"/>
  <c r="P124" i="9" s="1"/>
  <c r="L124" i="9"/>
  <c r="M124" i="9" s="1"/>
  <c r="I124" i="9"/>
  <c r="H124" i="9"/>
  <c r="K124" i="9"/>
  <c r="N119" i="9"/>
  <c r="D119" i="9"/>
  <c r="K119" i="9" s="1"/>
  <c r="Q118" i="9"/>
  <c r="N118" i="9"/>
  <c r="O118" i="9" s="1"/>
  <c r="P118" i="9" s="1"/>
  <c r="L118" i="9"/>
  <c r="M118" i="9" s="1"/>
  <c r="K118" i="9"/>
  <c r="J118" i="9"/>
  <c r="I118" i="9"/>
  <c r="H118" i="9"/>
  <c r="G118" i="9"/>
  <c r="N117" i="9"/>
  <c r="D117" i="9"/>
  <c r="J117" i="9" s="1"/>
  <c r="Q116" i="9"/>
  <c r="N116" i="9"/>
  <c r="O116" i="9" s="1"/>
  <c r="P116" i="9" s="1"/>
  <c r="L116" i="9"/>
  <c r="M116" i="9" s="1"/>
  <c r="K116" i="9"/>
  <c r="J116" i="9"/>
  <c r="I116" i="9"/>
  <c r="H116" i="9"/>
  <c r="G116" i="9"/>
  <c r="N114" i="9"/>
  <c r="D114" i="9"/>
  <c r="L114" i="9" s="1"/>
  <c r="M114" i="9" s="1"/>
  <c r="R114" i="9" s="1"/>
  <c r="S114" i="9" s="1"/>
  <c r="Q113" i="9"/>
  <c r="N113" i="9"/>
  <c r="O113" i="9" s="1"/>
  <c r="P113" i="9" s="1"/>
  <c r="L113" i="9"/>
  <c r="M113" i="9" s="1"/>
  <c r="K113" i="9"/>
  <c r="J113" i="9"/>
  <c r="H15" i="5" s="1"/>
  <c r="I113" i="9"/>
  <c r="H14" i="5" s="1"/>
  <c r="H113" i="9"/>
  <c r="G113" i="9"/>
  <c r="N111" i="9"/>
  <c r="D111" i="9"/>
  <c r="L111" i="9" s="1"/>
  <c r="M111" i="9" s="1"/>
  <c r="Q110" i="9"/>
  <c r="N110" i="9"/>
  <c r="O110" i="9" s="1"/>
  <c r="P110" i="9" s="1"/>
  <c r="L110" i="9"/>
  <c r="M110" i="9" s="1"/>
  <c r="K110" i="9"/>
  <c r="J110" i="9"/>
  <c r="I110" i="9"/>
  <c r="H9" i="5" s="1"/>
  <c r="H110" i="9"/>
  <c r="G110" i="9"/>
  <c r="N108" i="9"/>
  <c r="D108" i="9"/>
  <c r="K108" i="9" s="1"/>
  <c r="Q107" i="9"/>
  <c r="N107" i="9"/>
  <c r="O107" i="9" s="1"/>
  <c r="P107" i="9" s="1"/>
  <c r="L107" i="9"/>
  <c r="M107" i="9" s="1"/>
  <c r="K107" i="9"/>
  <c r="J107" i="9"/>
  <c r="I107" i="9"/>
  <c r="H4" i="5" s="1"/>
  <c r="H107" i="9"/>
  <c r="G107" i="9"/>
  <c r="F48" i="8"/>
  <c r="G48" i="8" s="1"/>
  <c r="I48" i="8" s="1"/>
  <c r="J48" i="8" s="1"/>
  <c r="H27" i="5" s="1"/>
  <c r="G201" i="9" l="1"/>
  <c r="H7" i="5"/>
  <c r="H22" i="5"/>
  <c r="L185" i="9"/>
  <c r="M185" i="9" s="1"/>
  <c r="D203" i="9"/>
  <c r="R128" i="9"/>
  <c r="S128" i="9" s="1"/>
  <c r="C237" i="9"/>
  <c r="J197" i="9"/>
  <c r="K201" i="9"/>
  <c r="E240" i="9"/>
  <c r="G240" i="9" s="1"/>
  <c r="H9" i="4"/>
  <c r="R111" i="9"/>
  <c r="S111" i="9" s="1"/>
  <c r="R159" i="9"/>
  <c r="S159" i="9" s="1"/>
  <c r="L157" i="9"/>
  <c r="M157" i="9" s="1"/>
  <c r="R157" i="9" s="1"/>
  <c r="S157" i="9" s="1"/>
  <c r="R169" i="9"/>
  <c r="S169" i="9" s="1"/>
  <c r="H21" i="5" s="1"/>
  <c r="I4" i="3"/>
  <c r="R173" i="9"/>
  <c r="S173" i="9" s="1"/>
  <c r="H197" i="9"/>
  <c r="L197" i="9"/>
  <c r="M197" i="9" s="1"/>
  <c r="R197" i="9" s="1"/>
  <c r="S197" i="9" s="1"/>
  <c r="E239" i="9"/>
  <c r="G239" i="9" s="1"/>
  <c r="I197" i="9"/>
  <c r="G137" i="9"/>
  <c r="H137" i="9"/>
  <c r="R149" i="9"/>
  <c r="S149" i="9" s="1"/>
  <c r="L163" i="9"/>
  <c r="M163" i="9" s="1"/>
  <c r="R163" i="9" s="1"/>
  <c r="S163" i="9" s="1"/>
  <c r="L119" i="9"/>
  <c r="M119" i="9" s="1"/>
  <c r="J137" i="9"/>
  <c r="R151" i="9"/>
  <c r="S151" i="9" s="1"/>
  <c r="K111" i="9"/>
  <c r="H12" i="5" s="1"/>
  <c r="L193" i="9"/>
  <c r="M193" i="9" s="1"/>
  <c r="H185" i="9"/>
  <c r="I189" i="9"/>
  <c r="J189" i="9"/>
  <c r="Q189" i="9"/>
  <c r="R189" i="9" s="1"/>
  <c r="S189" i="9" s="1"/>
  <c r="H193" i="9"/>
  <c r="L108" i="9"/>
  <c r="M108" i="9" s="1"/>
  <c r="R108" i="9" s="1"/>
  <c r="S108" i="9" s="1"/>
  <c r="R107" i="9"/>
  <c r="S107" i="9" s="1"/>
  <c r="J114" i="9"/>
  <c r="K114" i="9"/>
  <c r="H17" i="5" s="1"/>
  <c r="J111" i="9"/>
  <c r="H10" i="5" s="1"/>
  <c r="R125" i="9"/>
  <c r="S125" i="9" s="1"/>
  <c r="J140" i="9"/>
  <c r="R136" i="9"/>
  <c r="S136" i="9" s="1"/>
  <c r="J119" i="9"/>
  <c r="J128" i="9"/>
  <c r="L137" i="9"/>
  <c r="M137" i="9" s="1"/>
  <c r="R137" i="9" s="1"/>
  <c r="S137" i="9" s="1"/>
  <c r="R139" i="9"/>
  <c r="S139" i="9" s="1"/>
  <c r="L154" i="9"/>
  <c r="M154" i="9" s="1"/>
  <c r="R154" i="9" s="1"/>
  <c r="S154" i="9" s="1"/>
  <c r="K160" i="9"/>
  <c r="R162" i="9"/>
  <c r="S162" i="9" s="1"/>
  <c r="L134" i="9"/>
  <c r="M134" i="9" s="1"/>
  <c r="R134" i="9" s="1"/>
  <c r="S134" i="9" s="1"/>
  <c r="R127" i="9"/>
  <c r="S127" i="9" s="1"/>
  <c r="K128" i="9"/>
  <c r="R147" i="9"/>
  <c r="S147" i="9" s="1"/>
  <c r="L160" i="9"/>
  <c r="M160" i="9" s="1"/>
  <c r="R160" i="9" s="1"/>
  <c r="S160" i="9" s="1"/>
  <c r="R165" i="9"/>
  <c r="S165" i="9" s="1"/>
  <c r="R177" i="9"/>
  <c r="S177" i="9" s="1"/>
  <c r="R181" i="9"/>
  <c r="S181" i="9" s="1"/>
  <c r="R145" i="9"/>
  <c r="S145" i="9" s="1"/>
  <c r="R153" i="9"/>
  <c r="S153" i="9" s="1"/>
  <c r="R124" i="9"/>
  <c r="S124" i="9" s="1"/>
  <c r="G143" i="9"/>
  <c r="J170" i="9"/>
  <c r="H20" i="5" s="1"/>
  <c r="J174" i="9"/>
  <c r="J178" i="9"/>
  <c r="J182" i="9"/>
  <c r="I185" i="9"/>
  <c r="Q185" i="9"/>
  <c r="R185" i="9" s="1"/>
  <c r="S185" i="9" s="1"/>
  <c r="J202" i="9"/>
  <c r="R156" i="9"/>
  <c r="S156" i="9" s="1"/>
  <c r="J201" i="9"/>
  <c r="R131" i="9"/>
  <c r="S131" i="9" s="1"/>
  <c r="L143" i="9"/>
  <c r="M143" i="9" s="1"/>
  <c r="K117" i="9"/>
  <c r="K131" i="9"/>
  <c r="J134" i="9"/>
  <c r="K137" i="9"/>
  <c r="G140" i="9"/>
  <c r="L140" i="9"/>
  <c r="M140" i="9" s="1"/>
  <c r="R140" i="9" s="1"/>
  <c r="S140" i="9" s="1"/>
  <c r="H143" i="9"/>
  <c r="J154" i="9"/>
  <c r="J157" i="9"/>
  <c r="J163" i="9"/>
  <c r="J166" i="9"/>
  <c r="I193" i="9"/>
  <c r="Q193" i="9"/>
  <c r="R193" i="9" s="1"/>
  <c r="S193" i="9" s="1"/>
  <c r="H201" i="9"/>
  <c r="L201" i="9"/>
  <c r="M201" i="9" s="1"/>
  <c r="R201" i="9" s="1"/>
  <c r="S201" i="9" s="1"/>
  <c r="K202" i="9"/>
  <c r="K143" i="9"/>
  <c r="J131" i="9"/>
  <c r="K140" i="9"/>
  <c r="Q143" i="9"/>
  <c r="L117" i="9"/>
  <c r="M117" i="9" s="1"/>
  <c r="R117" i="9" s="1"/>
  <c r="S117" i="9" s="1"/>
  <c r="R119" i="9"/>
  <c r="S119" i="9" s="1"/>
  <c r="R130" i="9"/>
  <c r="S130" i="9" s="1"/>
  <c r="R133" i="9"/>
  <c r="S133" i="9" s="1"/>
  <c r="H140" i="9"/>
  <c r="R142" i="9"/>
  <c r="S142" i="9" s="1"/>
  <c r="H189" i="9"/>
  <c r="I201" i="9"/>
  <c r="J29" i="8"/>
  <c r="H10" i="4" s="1"/>
  <c r="J9" i="8"/>
  <c r="J4" i="3" s="1"/>
  <c r="R116" i="9"/>
  <c r="S116" i="9" s="1"/>
  <c r="R113" i="9"/>
  <c r="S113" i="9" s="1"/>
  <c r="U114" i="9" s="1"/>
  <c r="H16" i="5" s="1"/>
  <c r="R110" i="9"/>
  <c r="S110" i="9" s="1"/>
  <c r="U111" i="9" s="1"/>
  <c r="H11" i="5" s="1"/>
  <c r="R118" i="9"/>
  <c r="S118" i="9" s="1"/>
  <c r="J124" i="9"/>
  <c r="K125" i="9"/>
  <c r="J125" i="9"/>
  <c r="J108" i="9"/>
  <c r="H5" i="5" s="1"/>
  <c r="G124" i="9"/>
  <c r="G242" i="9" l="1"/>
  <c r="J242" i="9" s="1"/>
  <c r="L4" i="3"/>
  <c r="H13" i="4"/>
  <c r="U108" i="9"/>
  <c r="H6" i="5" s="1"/>
  <c r="U117" i="9"/>
  <c r="R143" i="9"/>
  <c r="S143" i="9" s="1"/>
  <c r="D1" i="5"/>
  <c r="J9" i="10" l="1"/>
  <c r="M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6E1955A7-2CD8-4D8C-92DE-2797B9C38E41}">
      <text>
        <r>
          <rPr>
            <b/>
            <sz val="9"/>
            <color indexed="81"/>
            <rFont val="Tahoma"/>
            <family val="2"/>
          </rPr>
          <t xml:space="preserve">Adminis
Varies </t>
        </r>
      </text>
    </comment>
    <comment ref="L83" authorId="0" shapeId="0" xr:uid="{898F75DB-558B-4C0C-822A-5A71E69C4950}">
      <text>
        <r>
          <rPr>
            <b/>
            <sz val="9"/>
            <color indexed="81"/>
            <rFont val="Tahoma"/>
            <family val="2"/>
          </rPr>
          <t xml:space="preserve">Adminis
Varies </t>
        </r>
      </text>
    </comment>
    <comment ref="L87" authorId="0" shapeId="0" xr:uid="{D7DF8C97-6416-430D-B59E-818A7A3F3F0D}">
      <text>
        <r>
          <rPr>
            <b/>
            <sz val="9"/>
            <color indexed="81"/>
            <rFont val="Tahoma"/>
            <family val="2"/>
          </rPr>
          <t xml:space="preserve">Adminis
Varies </t>
        </r>
      </text>
    </comment>
    <comment ref="L91" authorId="0" shapeId="0" xr:uid="{7F02EAF8-E423-48AA-8823-5680EEFA59B3}">
      <text>
        <r>
          <rPr>
            <b/>
            <sz val="9"/>
            <color indexed="81"/>
            <rFont val="Tahoma"/>
            <family val="2"/>
          </rPr>
          <t xml:space="preserve">Adminis
Varies </t>
        </r>
      </text>
    </comment>
    <comment ref="L95" authorId="0" shapeId="0" xr:uid="{3F49E3F7-88AC-4896-934E-1582F71A74E0}">
      <text>
        <r>
          <rPr>
            <b/>
            <sz val="9"/>
            <color indexed="81"/>
            <rFont val="Tahoma"/>
            <family val="2"/>
          </rPr>
          <t xml:space="preserve">Adminis
Varies </t>
        </r>
      </text>
    </comment>
    <comment ref="C149" authorId="0" shapeId="0" xr:uid="{5A2E2E51-4E2F-4F3A-97DD-A06F7EA9AAA6}">
      <text>
        <r>
          <rPr>
            <b/>
            <sz val="9"/>
            <color indexed="81"/>
            <rFont val="Tahoma"/>
            <family val="2"/>
          </rPr>
          <t>Administrator:</t>
        </r>
        <r>
          <rPr>
            <sz val="9"/>
            <color indexed="81"/>
            <rFont val="Tahoma"/>
            <family val="2"/>
          </rPr>
          <t xml:space="preserve">
H takes as 600 mm
</t>
        </r>
      </text>
    </comment>
    <comment ref="C151" authorId="0" shapeId="0" xr:uid="{23859CD1-C5D4-472F-981D-54AC8C03DB71}">
      <text>
        <r>
          <rPr>
            <b/>
            <sz val="9"/>
            <color indexed="81"/>
            <rFont val="Tahoma"/>
            <family val="2"/>
          </rPr>
          <t>Administrator:</t>
        </r>
        <r>
          <rPr>
            <sz val="9"/>
            <color indexed="81"/>
            <rFont val="Tahoma"/>
            <family val="2"/>
          </rPr>
          <t xml:space="preserve">
H takes as 600 mm
</t>
        </r>
      </text>
    </comment>
    <comment ref="J165" authorId="0" shapeId="0" xr:uid="{0B7D5E47-E125-4189-B095-374C7CFFE824}">
      <text>
        <r>
          <rPr>
            <b/>
            <sz val="9"/>
            <color indexed="81"/>
            <rFont val="Tahoma"/>
            <family val="2"/>
          </rPr>
          <t>Administrator:</t>
        </r>
        <r>
          <rPr>
            <sz val="9"/>
            <color indexed="81"/>
            <rFont val="Tahoma"/>
            <family val="2"/>
          </rPr>
          <t xml:space="preserve">
has added 60mm to height of base concrete
</t>
        </r>
      </text>
    </comment>
    <comment ref="J169" authorId="0" shapeId="0" xr:uid="{5C0C7F55-B134-4079-9310-6388F7D01C04}">
      <text>
        <r>
          <rPr>
            <b/>
            <sz val="9"/>
            <color indexed="81"/>
            <rFont val="Tahoma"/>
            <family val="2"/>
          </rPr>
          <t>Administrator:</t>
        </r>
        <r>
          <rPr>
            <sz val="9"/>
            <color indexed="81"/>
            <rFont val="Tahoma"/>
            <family val="2"/>
          </rPr>
          <t xml:space="preserve">
has added 60mm to height of base concrete
</t>
        </r>
      </text>
    </comment>
    <comment ref="J173" authorId="0" shapeId="0" xr:uid="{EB5F4231-8AC6-430C-AC39-CDA3A44AA0F8}">
      <text>
        <r>
          <rPr>
            <b/>
            <sz val="9"/>
            <color indexed="81"/>
            <rFont val="Tahoma"/>
            <family val="2"/>
          </rPr>
          <t>Administrator:</t>
        </r>
        <r>
          <rPr>
            <sz val="9"/>
            <color indexed="81"/>
            <rFont val="Tahoma"/>
            <family val="2"/>
          </rPr>
          <t xml:space="preserve">
has added 60mm to height of base concrete
</t>
        </r>
      </text>
    </comment>
    <comment ref="J177" authorId="0" shapeId="0" xr:uid="{84F70BA5-CE05-4701-B9ED-4EDDDAF8570A}">
      <text>
        <r>
          <rPr>
            <b/>
            <sz val="9"/>
            <color indexed="81"/>
            <rFont val="Tahoma"/>
            <family val="2"/>
          </rPr>
          <t>Administrator:</t>
        </r>
        <r>
          <rPr>
            <sz val="9"/>
            <color indexed="81"/>
            <rFont val="Tahoma"/>
            <family val="2"/>
          </rPr>
          <t xml:space="preserve">
has added 60mm to height of base concrete
</t>
        </r>
      </text>
    </comment>
    <comment ref="J181" authorId="0" shapeId="0" xr:uid="{518B393E-6ED3-4CAF-A78D-9B9CBE50FD5D}">
      <text>
        <r>
          <rPr>
            <b/>
            <sz val="9"/>
            <color indexed="81"/>
            <rFont val="Tahoma"/>
            <family val="2"/>
          </rPr>
          <t>Administrator:</t>
        </r>
        <r>
          <rPr>
            <sz val="9"/>
            <color indexed="81"/>
            <rFont val="Tahoma"/>
            <family val="2"/>
          </rPr>
          <t xml:space="preserve">
has added 60mm to height of base concrete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FEEFED8A-A3F1-44E7-B6BF-762558E11717}">
      <text>
        <r>
          <rPr>
            <b/>
            <sz val="9"/>
            <color indexed="81"/>
            <rFont val="Tahoma"/>
            <family val="2"/>
          </rPr>
          <t xml:space="preserve">Adminis
Varies </t>
        </r>
      </text>
    </comment>
    <comment ref="L83" authorId="0" shapeId="0" xr:uid="{59146A4C-D8AC-40BE-A9E8-D8726B6764B0}">
      <text>
        <r>
          <rPr>
            <b/>
            <sz val="9"/>
            <color indexed="81"/>
            <rFont val="Tahoma"/>
            <family val="2"/>
          </rPr>
          <t xml:space="preserve">Adminis
Varies </t>
        </r>
      </text>
    </comment>
    <comment ref="L87" authorId="0" shapeId="0" xr:uid="{402EF7C2-C2CC-4F07-A5FD-7BA346C859BD}">
      <text>
        <r>
          <rPr>
            <b/>
            <sz val="9"/>
            <color indexed="81"/>
            <rFont val="Tahoma"/>
            <family val="2"/>
          </rPr>
          <t xml:space="preserve">Adminis
Varies </t>
        </r>
      </text>
    </comment>
    <comment ref="L91" authorId="0" shapeId="0" xr:uid="{F6FE1B20-8CFE-426A-98AC-0C3AFB07B582}">
      <text>
        <r>
          <rPr>
            <b/>
            <sz val="9"/>
            <color indexed="81"/>
            <rFont val="Tahoma"/>
            <family val="2"/>
          </rPr>
          <t xml:space="preserve">Adminis
Varies </t>
        </r>
      </text>
    </comment>
    <comment ref="L95" authorId="0" shapeId="0" xr:uid="{00A93445-E22E-464B-96FF-6489F9BD4212}">
      <text>
        <r>
          <rPr>
            <b/>
            <sz val="9"/>
            <color indexed="81"/>
            <rFont val="Tahoma"/>
            <family val="2"/>
          </rPr>
          <t xml:space="preserve">Adminis
Varies </t>
        </r>
      </text>
    </comment>
    <comment ref="C149" authorId="0" shapeId="0" xr:uid="{1C7CE351-DF47-4260-B54B-AA231C8529FC}">
      <text>
        <r>
          <rPr>
            <b/>
            <sz val="9"/>
            <color indexed="81"/>
            <rFont val="Tahoma"/>
            <family val="2"/>
          </rPr>
          <t>Administrator:</t>
        </r>
        <r>
          <rPr>
            <sz val="9"/>
            <color indexed="81"/>
            <rFont val="Tahoma"/>
            <family val="2"/>
          </rPr>
          <t xml:space="preserve">
H takes as 600 mm
</t>
        </r>
      </text>
    </comment>
    <comment ref="C151" authorId="0" shapeId="0" xr:uid="{46993663-1FC9-4476-B64D-4E8D550A9B27}">
      <text>
        <r>
          <rPr>
            <b/>
            <sz val="9"/>
            <color indexed="81"/>
            <rFont val="Tahoma"/>
            <family val="2"/>
          </rPr>
          <t>Administrator:</t>
        </r>
        <r>
          <rPr>
            <sz val="9"/>
            <color indexed="81"/>
            <rFont val="Tahoma"/>
            <family val="2"/>
          </rPr>
          <t xml:space="preserve">
H takes as 600 mm
</t>
        </r>
      </text>
    </comment>
    <comment ref="J165" authorId="0" shapeId="0" xr:uid="{130607A2-4FDA-4752-A707-71E8E783BE0E}">
      <text>
        <r>
          <rPr>
            <b/>
            <sz val="9"/>
            <color indexed="81"/>
            <rFont val="Tahoma"/>
            <family val="2"/>
          </rPr>
          <t>Administrator:</t>
        </r>
        <r>
          <rPr>
            <sz val="9"/>
            <color indexed="81"/>
            <rFont val="Tahoma"/>
            <family val="2"/>
          </rPr>
          <t xml:space="preserve">
has added 60mm to height of base concrete
</t>
        </r>
      </text>
    </comment>
    <comment ref="J169" authorId="0" shapeId="0" xr:uid="{88BCA0A5-F7C4-4ECD-B3AD-20EE814D4959}">
      <text>
        <r>
          <rPr>
            <b/>
            <sz val="9"/>
            <color indexed="81"/>
            <rFont val="Tahoma"/>
            <family val="2"/>
          </rPr>
          <t>Administrator:</t>
        </r>
        <r>
          <rPr>
            <sz val="9"/>
            <color indexed="81"/>
            <rFont val="Tahoma"/>
            <family val="2"/>
          </rPr>
          <t xml:space="preserve">
has added 60mm to height of base concrete
</t>
        </r>
      </text>
    </comment>
    <comment ref="J173" authorId="0" shapeId="0" xr:uid="{4C6DF4C5-01E0-4910-A8FA-4D4E5F664FE6}">
      <text>
        <r>
          <rPr>
            <b/>
            <sz val="9"/>
            <color indexed="81"/>
            <rFont val="Tahoma"/>
            <family val="2"/>
          </rPr>
          <t>Administrator:</t>
        </r>
        <r>
          <rPr>
            <sz val="9"/>
            <color indexed="81"/>
            <rFont val="Tahoma"/>
            <family val="2"/>
          </rPr>
          <t xml:space="preserve">
has added 60mm to height of base concrete
</t>
        </r>
      </text>
    </comment>
    <comment ref="J177" authorId="0" shapeId="0" xr:uid="{08135953-E2A7-4D29-A4ED-A9C9654799CD}">
      <text>
        <r>
          <rPr>
            <b/>
            <sz val="9"/>
            <color indexed="81"/>
            <rFont val="Tahoma"/>
            <family val="2"/>
          </rPr>
          <t>Administrator:</t>
        </r>
        <r>
          <rPr>
            <sz val="9"/>
            <color indexed="81"/>
            <rFont val="Tahoma"/>
            <family val="2"/>
          </rPr>
          <t xml:space="preserve">
has added 60mm to height of base concrete
</t>
        </r>
      </text>
    </comment>
    <comment ref="J181" authorId="0" shapeId="0" xr:uid="{18DDB5FC-586A-43DC-915B-68064F4CED52}">
      <text>
        <r>
          <rPr>
            <b/>
            <sz val="9"/>
            <color indexed="81"/>
            <rFont val="Tahoma"/>
            <family val="2"/>
          </rPr>
          <t>Administrator:</t>
        </r>
        <r>
          <rPr>
            <sz val="9"/>
            <color indexed="81"/>
            <rFont val="Tahoma"/>
            <family val="2"/>
          </rPr>
          <t xml:space="preserve">
has added 60mm to height of base concrete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C7B58EC7-9F1E-40E7-9B75-2EE95AC4561A}">
      <text>
        <r>
          <rPr>
            <b/>
            <sz val="9"/>
            <color indexed="81"/>
            <rFont val="Tahoma"/>
            <family val="2"/>
          </rPr>
          <t xml:space="preserve">Adminis
Varies </t>
        </r>
      </text>
    </comment>
    <comment ref="L83" authorId="0" shapeId="0" xr:uid="{DFD2B1EA-8500-42E5-87AF-C45FCA7FA4A6}">
      <text>
        <r>
          <rPr>
            <b/>
            <sz val="9"/>
            <color indexed="81"/>
            <rFont val="Tahoma"/>
            <family val="2"/>
          </rPr>
          <t xml:space="preserve">Adminis
Varies </t>
        </r>
      </text>
    </comment>
    <comment ref="L87" authorId="0" shapeId="0" xr:uid="{53CEED11-73A1-417B-B623-256E2C50D2C4}">
      <text>
        <r>
          <rPr>
            <b/>
            <sz val="9"/>
            <color indexed="81"/>
            <rFont val="Tahoma"/>
            <family val="2"/>
          </rPr>
          <t xml:space="preserve">Adminis
Varies </t>
        </r>
      </text>
    </comment>
    <comment ref="L91" authorId="0" shapeId="0" xr:uid="{D7A057DF-A5C3-40CF-9EAB-B28080BB6CAE}">
      <text>
        <r>
          <rPr>
            <b/>
            <sz val="9"/>
            <color indexed="81"/>
            <rFont val="Tahoma"/>
            <family val="2"/>
          </rPr>
          <t xml:space="preserve">Adminis
Varies </t>
        </r>
      </text>
    </comment>
    <comment ref="L95" authorId="0" shapeId="0" xr:uid="{E5CB44DF-DF74-4BDF-9747-CE1DC23DE878}">
      <text>
        <r>
          <rPr>
            <b/>
            <sz val="9"/>
            <color indexed="81"/>
            <rFont val="Tahoma"/>
            <family val="2"/>
          </rPr>
          <t xml:space="preserve">Adminis
Varies </t>
        </r>
      </text>
    </comment>
    <comment ref="C148" authorId="0" shapeId="0" xr:uid="{18097D0A-0B8D-43DB-BF21-52EF5C4ED00A}">
      <text>
        <r>
          <rPr>
            <b/>
            <sz val="9"/>
            <color indexed="81"/>
            <rFont val="Tahoma"/>
            <family val="2"/>
          </rPr>
          <t>Administrator:</t>
        </r>
        <r>
          <rPr>
            <sz val="9"/>
            <color indexed="81"/>
            <rFont val="Tahoma"/>
            <family val="2"/>
          </rPr>
          <t xml:space="preserve">
H takes as 600 mm
</t>
        </r>
      </text>
    </comment>
    <comment ref="C150" authorId="0" shapeId="0" xr:uid="{92B111B5-A41C-4626-B198-353CBACBA2B7}">
      <text>
        <r>
          <rPr>
            <b/>
            <sz val="9"/>
            <color indexed="81"/>
            <rFont val="Tahoma"/>
            <family val="2"/>
          </rPr>
          <t>Administrator:</t>
        </r>
        <r>
          <rPr>
            <sz val="9"/>
            <color indexed="81"/>
            <rFont val="Tahoma"/>
            <family val="2"/>
          </rPr>
          <t xml:space="preserve">
H takes as 600 mm
</t>
        </r>
      </text>
    </comment>
    <comment ref="J164" authorId="0" shapeId="0" xr:uid="{0BE64F39-0EBA-4530-9A69-8B51E40074BA}">
      <text>
        <r>
          <rPr>
            <b/>
            <sz val="9"/>
            <color indexed="81"/>
            <rFont val="Tahoma"/>
            <family val="2"/>
          </rPr>
          <t>Administrator:</t>
        </r>
        <r>
          <rPr>
            <sz val="9"/>
            <color indexed="81"/>
            <rFont val="Tahoma"/>
            <family val="2"/>
          </rPr>
          <t xml:space="preserve">
has added 60mm to height of base concrete
</t>
        </r>
      </text>
    </comment>
    <comment ref="J168" authorId="0" shapeId="0" xr:uid="{D25E518E-03ED-40D5-A5A2-2BC4F748EDC7}">
      <text>
        <r>
          <rPr>
            <b/>
            <sz val="9"/>
            <color indexed="81"/>
            <rFont val="Tahoma"/>
            <family val="2"/>
          </rPr>
          <t>Administrator:</t>
        </r>
        <r>
          <rPr>
            <sz val="9"/>
            <color indexed="81"/>
            <rFont val="Tahoma"/>
            <family val="2"/>
          </rPr>
          <t xml:space="preserve">
has added 60mm to height of base concrete
</t>
        </r>
      </text>
    </comment>
    <comment ref="J172" authorId="0" shapeId="0" xr:uid="{B2F52A4C-923F-4972-BE7C-E322F8F2970E}">
      <text>
        <r>
          <rPr>
            <b/>
            <sz val="9"/>
            <color indexed="81"/>
            <rFont val="Tahoma"/>
            <family val="2"/>
          </rPr>
          <t>Administrator:</t>
        </r>
        <r>
          <rPr>
            <sz val="9"/>
            <color indexed="81"/>
            <rFont val="Tahoma"/>
            <family val="2"/>
          </rPr>
          <t xml:space="preserve">
has added 60mm to height of base concrete
</t>
        </r>
      </text>
    </comment>
    <comment ref="J176" authorId="0" shapeId="0" xr:uid="{1C451723-9F75-4EA0-B9A8-E31DC6375723}">
      <text>
        <r>
          <rPr>
            <b/>
            <sz val="9"/>
            <color indexed="81"/>
            <rFont val="Tahoma"/>
            <family val="2"/>
          </rPr>
          <t>Administrator:</t>
        </r>
        <r>
          <rPr>
            <sz val="9"/>
            <color indexed="81"/>
            <rFont val="Tahoma"/>
            <family val="2"/>
          </rPr>
          <t xml:space="preserve">
has added 60mm to height of base concrete
</t>
        </r>
      </text>
    </comment>
    <comment ref="J180" authorId="0" shapeId="0" xr:uid="{68B85654-7134-48A0-BC0C-06BC5BBDB380}">
      <text>
        <r>
          <rPr>
            <b/>
            <sz val="9"/>
            <color indexed="81"/>
            <rFont val="Tahoma"/>
            <family val="2"/>
          </rPr>
          <t>Administrator:</t>
        </r>
        <r>
          <rPr>
            <sz val="9"/>
            <color indexed="81"/>
            <rFont val="Tahoma"/>
            <family val="2"/>
          </rPr>
          <t xml:space="preserve">
has added 60mm to height of base concrete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90817BE2-A2E3-4525-ADCC-21DCC1512AE5}">
      <text>
        <r>
          <rPr>
            <b/>
            <sz val="9"/>
            <color indexed="81"/>
            <rFont val="Tahoma"/>
            <family val="2"/>
          </rPr>
          <t xml:space="preserve">Adminis
Varies </t>
        </r>
      </text>
    </comment>
    <comment ref="L83" authorId="0" shapeId="0" xr:uid="{C4AD0E6C-67C8-4E88-962C-E016950D52F1}">
      <text>
        <r>
          <rPr>
            <b/>
            <sz val="9"/>
            <color indexed="81"/>
            <rFont val="Tahoma"/>
            <family val="2"/>
          </rPr>
          <t xml:space="preserve">Adminis
Varies </t>
        </r>
      </text>
    </comment>
    <comment ref="L87" authorId="0" shapeId="0" xr:uid="{BBEE8D32-3E57-401C-A342-66A0CB7965D2}">
      <text>
        <r>
          <rPr>
            <b/>
            <sz val="9"/>
            <color indexed="81"/>
            <rFont val="Tahoma"/>
            <family val="2"/>
          </rPr>
          <t xml:space="preserve">Adminis
Varies </t>
        </r>
      </text>
    </comment>
    <comment ref="L91" authorId="0" shapeId="0" xr:uid="{4AB24807-0607-4909-952F-B11C9CFCD63E}">
      <text>
        <r>
          <rPr>
            <b/>
            <sz val="9"/>
            <color indexed="81"/>
            <rFont val="Tahoma"/>
            <family val="2"/>
          </rPr>
          <t xml:space="preserve">Adminis
Varies </t>
        </r>
      </text>
    </comment>
    <comment ref="L95" authorId="0" shapeId="0" xr:uid="{B060A788-A9A1-4353-981A-3AE6A1553B82}">
      <text>
        <r>
          <rPr>
            <b/>
            <sz val="9"/>
            <color indexed="81"/>
            <rFont val="Tahoma"/>
            <family val="2"/>
          </rPr>
          <t xml:space="preserve">Adminis
Varies </t>
        </r>
      </text>
    </comment>
    <comment ref="C149" authorId="0" shapeId="0" xr:uid="{E64E7B68-F6DA-47F6-A5D1-AC0881D68C2B}">
      <text>
        <r>
          <rPr>
            <b/>
            <sz val="9"/>
            <color indexed="81"/>
            <rFont val="Tahoma"/>
            <family val="2"/>
          </rPr>
          <t>Administrator:</t>
        </r>
        <r>
          <rPr>
            <sz val="9"/>
            <color indexed="81"/>
            <rFont val="Tahoma"/>
            <family val="2"/>
          </rPr>
          <t xml:space="preserve">
H takes as 600 mm
</t>
        </r>
      </text>
    </comment>
    <comment ref="C151" authorId="0" shapeId="0" xr:uid="{98E0F89B-3D21-4C6F-97A7-DE3725E3CCA7}">
      <text>
        <r>
          <rPr>
            <b/>
            <sz val="9"/>
            <color indexed="81"/>
            <rFont val="Tahoma"/>
            <family val="2"/>
          </rPr>
          <t>Administrator:</t>
        </r>
        <r>
          <rPr>
            <sz val="9"/>
            <color indexed="81"/>
            <rFont val="Tahoma"/>
            <family val="2"/>
          </rPr>
          <t xml:space="preserve">
H takes as 600 mm
</t>
        </r>
      </text>
    </comment>
    <comment ref="J165" authorId="0" shapeId="0" xr:uid="{7A48583B-0F0F-4C2D-8F9D-254CF3C55EDB}">
      <text>
        <r>
          <rPr>
            <b/>
            <sz val="9"/>
            <color indexed="81"/>
            <rFont val="Tahoma"/>
            <family val="2"/>
          </rPr>
          <t>Administrator:</t>
        </r>
        <r>
          <rPr>
            <sz val="9"/>
            <color indexed="81"/>
            <rFont val="Tahoma"/>
            <family val="2"/>
          </rPr>
          <t xml:space="preserve">
has added 60mm to height of base concrete
</t>
        </r>
      </text>
    </comment>
    <comment ref="J169" authorId="0" shapeId="0" xr:uid="{8AFE2E7C-024A-43FD-9A4F-AA03606A3451}">
      <text>
        <r>
          <rPr>
            <b/>
            <sz val="9"/>
            <color indexed="81"/>
            <rFont val="Tahoma"/>
            <family val="2"/>
          </rPr>
          <t>Administrator:</t>
        </r>
        <r>
          <rPr>
            <sz val="9"/>
            <color indexed="81"/>
            <rFont val="Tahoma"/>
            <family val="2"/>
          </rPr>
          <t xml:space="preserve">
has added 60mm to height of base concrete
</t>
        </r>
      </text>
    </comment>
    <comment ref="J173" authorId="0" shapeId="0" xr:uid="{890BAB89-CAAB-4776-93BA-D1A45991D024}">
      <text>
        <r>
          <rPr>
            <b/>
            <sz val="9"/>
            <color indexed="81"/>
            <rFont val="Tahoma"/>
            <family val="2"/>
          </rPr>
          <t>Administrator:</t>
        </r>
        <r>
          <rPr>
            <sz val="9"/>
            <color indexed="81"/>
            <rFont val="Tahoma"/>
            <family val="2"/>
          </rPr>
          <t xml:space="preserve">
has added 60mm to height of base concrete
</t>
        </r>
      </text>
    </comment>
    <comment ref="J177" authorId="0" shapeId="0" xr:uid="{43B5C384-E50B-43E7-B154-76CC1CFC104E}">
      <text>
        <r>
          <rPr>
            <b/>
            <sz val="9"/>
            <color indexed="81"/>
            <rFont val="Tahoma"/>
            <family val="2"/>
          </rPr>
          <t>Administrator:</t>
        </r>
        <r>
          <rPr>
            <sz val="9"/>
            <color indexed="81"/>
            <rFont val="Tahoma"/>
            <family val="2"/>
          </rPr>
          <t xml:space="preserve">
has added 60mm to height of base concrete
</t>
        </r>
      </text>
    </comment>
    <comment ref="J181" authorId="0" shapeId="0" xr:uid="{8E43081A-D74D-431A-AC1D-79B55DDDD1D9}">
      <text>
        <r>
          <rPr>
            <b/>
            <sz val="9"/>
            <color indexed="81"/>
            <rFont val="Tahoma"/>
            <family val="2"/>
          </rPr>
          <t>Administrator:</t>
        </r>
        <r>
          <rPr>
            <sz val="9"/>
            <color indexed="81"/>
            <rFont val="Tahoma"/>
            <family val="2"/>
          </rPr>
          <t xml:space="preserve">
has added 60mm to height of base concrete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5A1328BC-0605-4B1A-A809-C5D8A219276C}">
      <text>
        <r>
          <rPr>
            <b/>
            <sz val="9"/>
            <color indexed="81"/>
            <rFont val="Tahoma"/>
            <family val="2"/>
          </rPr>
          <t xml:space="preserve">Adminis
Varies </t>
        </r>
      </text>
    </comment>
    <comment ref="L83" authorId="0" shapeId="0" xr:uid="{47C0AEA5-A2F0-4472-8583-52CB38F67E1B}">
      <text>
        <r>
          <rPr>
            <b/>
            <sz val="9"/>
            <color indexed="81"/>
            <rFont val="Tahoma"/>
            <family val="2"/>
          </rPr>
          <t xml:space="preserve">Adminis
Varies </t>
        </r>
      </text>
    </comment>
    <comment ref="L87" authorId="0" shapeId="0" xr:uid="{E59030BB-962F-4C82-82FB-E8680B2F7305}">
      <text>
        <r>
          <rPr>
            <b/>
            <sz val="9"/>
            <color indexed="81"/>
            <rFont val="Tahoma"/>
            <family val="2"/>
          </rPr>
          <t xml:space="preserve">Adminis
Varies </t>
        </r>
      </text>
    </comment>
    <comment ref="L91" authorId="0" shapeId="0" xr:uid="{4D38B186-0838-4405-BDC2-129A97661865}">
      <text>
        <r>
          <rPr>
            <b/>
            <sz val="9"/>
            <color indexed="81"/>
            <rFont val="Tahoma"/>
            <family val="2"/>
          </rPr>
          <t xml:space="preserve">Adminis
Varies </t>
        </r>
      </text>
    </comment>
    <comment ref="L95" authorId="0" shapeId="0" xr:uid="{FF39C6C5-F018-4800-B064-F783DC1FFF01}">
      <text>
        <r>
          <rPr>
            <b/>
            <sz val="9"/>
            <color indexed="81"/>
            <rFont val="Tahoma"/>
            <family val="2"/>
          </rPr>
          <t xml:space="preserve">Adminis
Varies </t>
        </r>
      </text>
    </comment>
    <comment ref="C148" authorId="0" shapeId="0" xr:uid="{97A47E56-C96D-4D1D-9FFA-C3CE111E1D24}">
      <text>
        <r>
          <rPr>
            <b/>
            <sz val="9"/>
            <color indexed="81"/>
            <rFont val="Tahoma"/>
            <family val="2"/>
          </rPr>
          <t>Administrator:</t>
        </r>
        <r>
          <rPr>
            <sz val="9"/>
            <color indexed="81"/>
            <rFont val="Tahoma"/>
            <family val="2"/>
          </rPr>
          <t xml:space="preserve">
H takes as 600 mm
</t>
        </r>
      </text>
    </comment>
    <comment ref="C150" authorId="0" shapeId="0" xr:uid="{3DEA8FC6-079A-46B8-8573-177EFEAB354B}">
      <text>
        <r>
          <rPr>
            <b/>
            <sz val="9"/>
            <color indexed="81"/>
            <rFont val="Tahoma"/>
            <family val="2"/>
          </rPr>
          <t>Administrator:</t>
        </r>
        <r>
          <rPr>
            <sz val="9"/>
            <color indexed="81"/>
            <rFont val="Tahoma"/>
            <family val="2"/>
          </rPr>
          <t xml:space="preserve">
H takes as 600 mm
</t>
        </r>
      </text>
    </comment>
    <comment ref="J164" authorId="0" shapeId="0" xr:uid="{5BDDC68D-21E3-4ACB-AF0A-4D0902FC6C91}">
      <text>
        <r>
          <rPr>
            <b/>
            <sz val="9"/>
            <color indexed="81"/>
            <rFont val="Tahoma"/>
            <family val="2"/>
          </rPr>
          <t>Administrator:</t>
        </r>
        <r>
          <rPr>
            <sz val="9"/>
            <color indexed="81"/>
            <rFont val="Tahoma"/>
            <family val="2"/>
          </rPr>
          <t xml:space="preserve">
has added 60mm to height of base concrete
</t>
        </r>
      </text>
    </comment>
    <comment ref="J168" authorId="0" shapeId="0" xr:uid="{48EEA09D-7BE4-469C-9DEE-F338262E24FF}">
      <text>
        <r>
          <rPr>
            <b/>
            <sz val="9"/>
            <color indexed="81"/>
            <rFont val="Tahoma"/>
            <family val="2"/>
          </rPr>
          <t>Administrator:</t>
        </r>
        <r>
          <rPr>
            <sz val="9"/>
            <color indexed="81"/>
            <rFont val="Tahoma"/>
            <family val="2"/>
          </rPr>
          <t xml:space="preserve">
has added 60mm to height of base concrete
</t>
        </r>
      </text>
    </comment>
    <comment ref="J172" authorId="0" shapeId="0" xr:uid="{781EFB94-D2D7-48BD-B50E-DB313D04D7D6}">
      <text>
        <r>
          <rPr>
            <b/>
            <sz val="9"/>
            <color indexed="81"/>
            <rFont val="Tahoma"/>
            <family val="2"/>
          </rPr>
          <t>Administrator:</t>
        </r>
        <r>
          <rPr>
            <sz val="9"/>
            <color indexed="81"/>
            <rFont val="Tahoma"/>
            <family val="2"/>
          </rPr>
          <t xml:space="preserve">
has added 60mm to height of base concrete
</t>
        </r>
      </text>
    </comment>
    <comment ref="J176" authorId="0" shapeId="0" xr:uid="{254D470D-54F5-4C2C-B1CC-A3B393C92BD5}">
      <text>
        <r>
          <rPr>
            <b/>
            <sz val="9"/>
            <color indexed="81"/>
            <rFont val="Tahoma"/>
            <family val="2"/>
          </rPr>
          <t>Administrator:</t>
        </r>
        <r>
          <rPr>
            <sz val="9"/>
            <color indexed="81"/>
            <rFont val="Tahoma"/>
            <family val="2"/>
          </rPr>
          <t xml:space="preserve">
has added 60mm to height of base concrete
</t>
        </r>
      </text>
    </comment>
    <comment ref="J180" authorId="0" shapeId="0" xr:uid="{DCECD2FE-6E74-4511-832E-26C8BE1E063E}">
      <text>
        <r>
          <rPr>
            <b/>
            <sz val="9"/>
            <color indexed="81"/>
            <rFont val="Tahoma"/>
            <family val="2"/>
          </rPr>
          <t>Administrator:</t>
        </r>
        <r>
          <rPr>
            <sz val="9"/>
            <color indexed="81"/>
            <rFont val="Tahoma"/>
            <family val="2"/>
          </rPr>
          <t xml:space="preserve">
has added 60mm to height of base concrete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1F3FEE27-E912-422A-83C9-06ACB2343BA7}">
      <text>
        <r>
          <rPr>
            <b/>
            <sz val="9"/>
            <color indexed="81"/>
            <rFont val="Tahoma"/>
            <family val="2"/>
          </rPr>
          <t xml:space="preserve">Adminis
Varies </t>
        </r>
      </text>
    </comment>
    <comment ref="L83" authorId="0" shapeId="0" xr:uid="{8B8EEA95-694D-49F0-AE77-7AC3837551E0}">
      <text>
        <r>
          <rPr>
            <b/>
            <sz val="9"/>
            <color indexed="81"/>
            <rFont val="Tahoma"/>
            <family val="2"/>
          </rPr>
          <t xml:space="preserve">Adminis
Varies </t>
        </r>
      </text>
    </comment>
    <comment ref="L87" authorId="0" shapeId="0" xr:uid="{AEF7C984-FF78-48F4-B37B-994F3684A9D2}">
      <text>
        <r>
          <rPr>
            <b/>
            <sz val="9"/>
            <color indexed="81"/>
            <rFont val="Tahoma"/>
            <family val="2"/>
          </rPr>
          <t xml:space="preserve">Adminis
Varies </t>
        </r>
      </text>
    </comment>
    <comment ref="L91" authorId="0" shapeId="0" xr:uid="{12E817D0-AD88-45BB-A12B-89CA180AD19E}">
      <text>
        <r>
          <rPr>
            <b/>
            <sz val="9"/>
            <color indexed="81"/>
            <rFont val="Tahoma"/>
            <family val="2"/>
          </rPr>
          <t xml:space="preserve">Adminis
Varies </t>
        </r>
      </text>
    </comment>
    <comment ref="L95" authorId="0" shapeId="0" xr:uid="{C9811B7D-47FC-4031-826A-2542A57C9843}">
      <text>
        <r>
          <rPr>
            <b/>
            <sz val="9"/>
            <color indexed="81"/>
            <rFont val="Tahoma"/>
            <family val="2"/>
          </rPr>
          <t xml:space="preserve">Adminis
Varies </t>
        </r>
      </text>
    </comment>
    <comment ref="C148" authorId="0" shapeId="0" xr:uid="{5B225D6D-4EF7-4E2E-BE78-4DF6F2240422}">
      <text>
        <r>
          <rPr>
            <b/>
            <sz val="9"/>
            <color indexed="81"/>
            <rFont val="Tahoma"/>
            <family val="2"/>
          </rPr>
          <t>Administrator:</t>
        </r>
        <r>
          <rPr>
            <sz val="9"/>
            <color indexed="81"/>
            <rFont val="Tahoma"/>
            <family val="2"/>
          </rPr>
          <t xml:space="preserve">
H takes as 600 mm
</t>
        </r>
      </text>
    </comment>
    <comment ref="C150" authorId="0" shapeId="0" xr:uid="{0157EC95-9A58-4462-ACF8-D2EF228C88BF}">
      <text>
        <r>
          <rPr>
            <b/>
            <sz val="9"/>
            <color indexed="81"/>
            <rFont val="Tahoma"/>
            <family val="2"/>
          </rPr>
          <t>Administrator:</t>
        </r>
        <r>
          <rPr>
            <sz val="9"/>
            <color indexed="81"/>
            <rFont val="Tahoma"/>
            <family val="2"/>
          </rPr>
          <t xml:space="preserve">
H takes as 600 mm
</t>
        </r>
      </text>
    </comment>
    <comment ref="J164" authorId="0" shapeId="0" xr:uid="{0C71132C-45A0-4FDC-9A36-44AA3FF3FD45}">
      <text>
        <r>
          <rPr>
            <b/>
            <sz val="9"/>
            <color indexed="81"/>
            <rFont val="Tahoma"/>
            <family val="2"/>
          </rPr>
          <t>Administrator:</t>
        </r>
        <r>
          <rPr>
            <sz val="9"/>
            <color indexed="81"/>
            <rFont val="Tahoma"/>
            <family val="2"/>
          </rPr>
          <t xml:space="preserve">
has added 60mm to height of base concrete
</t>
        </r>
      </text>
    </comment>
    <comment ref="J168" authorId="0" shapeId="0" xr:uid="{F8091DC2-5034-4C29-B3E2-62D8FBB4A97B}">
      <text>
        <r>
          <rPr>
            <b/>
            <sz val="9"/>
            <color indexed="81"/>
            <rFont val="Tahoma"/>
            <family val="2"/>
          </rPr>
          <t>Administrator:</t>
        </r>
        <r>
          <rPr>
            <sz val="9"/>
            <color indexed="81"/>
            <rFont val="Tahoma"/>
            <family val="2"/>
          </rPr>
          <t xml:space="preserve">
has added 60mm to height of base concrete
</t>
        </r>
      </text>
    </comment>
    <comment ref="J172" authorId="0" shapeId="0" xr:uid="{5696CCE2-5135-489F-B631-DADE7887CF66}">
      <text>
        <r>
          <rPr>
            <b/>
            <sz val="9"/>
            <color indexed="81"/>
            <rFont val="Tahoma"/>
            <family val="2"/>
          </rPr>
          <t>Administrator:</t>
        </r>
        <r>
          <rPr>
            <sz val="9"/>
            <color indexed="81"/>
            <rFont val="Tahoma"/>
            <family val="2"/>
          </rPr>
          <t xml:space="preserve">
has added 60mm to height of base concrete
</t>
        </r>
      </text>
    </comment>
    <comment ref="J176" authorId="0" shapeId="0" xr:uid="{33AFE9D7-A571-4091-BDAF-2B79492E3FAF}">
      <text>
        <r>
          <rPr>
            <b/>
            <sz val="9"/>
            <color indexed="81"/>
            <rFont val="Tahoma"/>
            <family val="2"/>
          </rPr>
          <t>Administrator:</t>
        </r>
        <r>
          <rPr>
            <sz val="9"/>
            <color indexed="81"/>
            <rFont val="Tahoma"/>
            <family val="2"/>
          </rPr>
          <t xml:space="preserve">
has added 60mm to height of base concrete
</t>
        </r>
      </text>
    </comment>
    <comment ref="J180" authorId="0" shapeId="0" xr:uid="{391465AF-361F-4173-AD56-45D26C04F7E4}">
      <text>
        <r>
          <rPr>
            <b/>
            <sz val="9"/>
            <color indexed="81"/>
            <rFont val="Tahoma"/>
            <family val="2"/>
          </rPr>
          <t>Administrator:</t>
        </r>
        <r>
          <rPr>
            <sz val="9"/>
            <color indexed="81"/>
            <rFont val="Tahoma"/>
            <family val="2"/>
          </rPr>
          <t xml:space="preserve">
has added 60mm to height of base concrete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4B34E917-E5FC-4F54-A782-95FB59C5F3D8}">
      <text>
        <r>
          <rPr>
            <b/>
            <sz val="9"/>
            <color indexed="81"/>
            <rFont val="Tahoma"/>
            <family val="2"/>
          </rPr>
          <t xml:space="preserve">Adminis
Varies </t>
        </r>
      </text>
    </comment>
    <comment ref="L83" authorId="0" shapeId="0" xr:uid="{40970235-1C31-4AA1-AA81-2946ABA124D0}">
      <text>
        <r>
          <rPr>
            <b/>
            <sz val="9"/>
            <color indexed="81"/>
            <rFont val="Tahoma"/>
            <family val="2"/>
          </rPr>
          <t xml:space="preserve">Adminis
Varies </t>
        </r>
      </text>
    </comment>
    <comment ref="L87" authorId="0" shapeId="0" xr:uid="{E6CB90B3-7B68-40B1-9CF2-208C45B435B0}">
      <text>
        <r>
          <rPr>
            <b/>
            <sz val="9"/>
            <color indexed="81"/>
            <rFont val="Tahoma"/>
            <family val="2"/>
          </rPr>
          <t xml:space="preserve">Adminis
Varies </t>
        </r>
      </text>
    </comment>
    <comment ref="L91" authorId="0" shapeId="0" xr:uid="{96A09862-E4D3-4137-BE92-8F4BFEA986BF}">
      <text>
        <r>
          <rPr>
            <b/>
            <sz val="9"/>
            <color indexed="81"/>
            <rFont val="Tahoma"/>
            <family val="2"/>
          </rPr>
          <t xml:space="preserve">Adminis
Varies </t>
        </r>
      </text>
    </comment>
    <comment ref="L95" authorId="0" shapeId="0" xr:uid="{5E386A1F-DE59-4A17-A1B4-B4B772DBDDFB}">
      <text>
        <r>
          <rPr>
            <b/>
            <sz val="9"/>
            <color indexed="81"/>
            <rFont val="Tahoma"/>
            <family val="2"/>
          </rPr>
          <t xml:space="preserve">Adminis
Varies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E5364C4F-CB23-4797-B442-CC909DB5B6A8}">
      <text>
        <r>
          <rPr>
            <b/>
            <sz val="9"/>
            <color indexed="81"/>
            <rFont val="Tahoma"/>
            <family val="2"/>
          </rPr>
          <t xml:space="preserve">Adminis
Varies </t>
        </r>
      </text>
    </comment>
    <comment ref="L83" authorId="0" shapeId="0" xr:uid="{ABEE4C54-419A-4245-A399-5042C67975A4}">
      <text>
        <r>
          <rPr>
            <b/>
            <sz val="9"/>
            <color indexed="81"/>
            <rFont val="Tahoma"/>
            <family val="2"/>
          </rPr>
          <t xml:space="preserve">Adminis
Varies </t>
        </r>
      </text>
    </comment>
    <comment ref="L87" authorId="0" shapeId="0" xr:uid="{253673B7-35F8-4060-BD6B-CFC31BA687F8}">
      <text>
        <r>
          <rPr>
            <b/>
            <sz val="9"/>
            <color indexed="81"/>
            <rFont val="Tahoma"/>
            <family val="2"/>
          </rPr>
          <t xml:space="preserve">Adminis
Varies </t>
        </r>
      </text>
    </comment>
    <comment ref="L91" authorId="0" shapeId="0" xr:uid="{44AE7603-BB14-4626-8B5A-A2AD4E99DB60}">
      <text>
        <r>
          <rPr>
            <b/>
            <sz val="9"/>
            <color indexed="81"/>
            <rFont val="Tahoma"/>
            <family val="2"/>
          </rPr>
          <t xml:space="preserve">Adminis
Varies </t>
        </r>
      </text>
    </comment>
    <comment ref="L95" authorId="0" shapeId="0" xr:uid="{91C733BF-9E60-4823-9796-09BAE83BCAA5}">
      <text>
        <r>
          <rPr>
            <b/>
            <sz val="9"/>
            <color indexed="81"/>
            <rFont val="Tahoma"/>
            <family val="2"/>
          </rPr>
          <t xml:space="preserve">Adminis
Varies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3540BE5B-00A2-4D3A-8C36-0FC286DE495C}">
      <text>
        <r>
          <rPr>
            <b/>
            <sz val="9"/>
            <color indexed="81"/>
            <rFont val="Tahoma"/>
            <family val="2"/>
          </rPr>
          <t xml:space="preserve">Adminis
Varies </t>
        </r>
      </text>
    </comment>
    <comment ref="L83" authorId="0" shapeId="0" xr:uid="{94C80A36-F681-4A56-8AA6-81278FB0D878}">
      <text>
        <r>
          <rPr>
            <b/>
            <sz val="9"/>
            <color indexed="81"/>
            <rFont val="Tahoma"/>
            <family val="2"/>
          </rPr>
          <t xml:space="preserve">Adminis
Varies </t>
        </r>
      </text>
    </comment>
    <comment ref="L87" authorId="0" shapeId="0" xr:uid="{9E745418-0B11-49BC-87D6-00225049E176}">
      <text>
        <r>
          <rPr>
            <b/>
            <sz val="9"/>
            <color indexed="81"/>
            <rFont val="Tahoma"/>
            <family val="2"/>
          </rPr>
          <t xml:space="preserve">Adminis
Varies </t>
        </r>
      </text>
    </comment>
    <comment ref="L91" authorId="0" shapeId="0" xr:uid="{784CA125-A36C-4B42-ACAF-74DA52D54DF4}">
      <text>
        <r>
          <rPr>
            <b/>
            <sz val="9"/>
            <color indexed="81"/>
            <rFont val="Tahoma"/>
            <family val="2"/>
          </rPr>
          <t xml:space="preserve">Adminis
Varies </t>
        </r>
      </text>
    </comment>
    <comment ref="L95" authorId="0" shapeId="0" xr:uid="{0BE35B71-3F9B-443B-B681-0EF25B9FFDED}">
      <text>
        <r>
          <rPr>
            <b/>
            <sz val="9"/>
            <color indexed="81"/>
            <rFont val="Tahoma"/>
            <family val="2"/>
          </rPr>
          <t xml:space="preserve">Adminis
Varies </t>
        </r>
      </text>
    </comment>
    <comment ref="C145" authorId="0" shapeId="0" xr:uid="{549AE843-00F0-4917-AF64-D6971875E80A}">
      <text>
        <r>
          <rPr>
            <b/>
            <sz val="9"/>
            <color indexed="81"/>
            <rFont val="Tahoma"/>
            <family val="2"/>
          </rPr>
          <t>Administrator:</t>
        </r>
        <r>
          <rPr>
            <sz val="9"/>
            <color indexed="81"/>
            <rFont val="Tahoma"/>
            <family val="2"/>
          </rPr>
          <t xml:space="preserve">
H takes as 600 mm
</t>
        </r>
      </text>
    </comment>
    <comment ref="C147" authorId="0" shapeId="0" xr:uid="{9E2DD350-09FE-4D64-8C16-DE57F82CC79F}">
      <text>
        <r>
          <rPr>
            <b/>
            <sz val="9"/>
            <color indexed="81"/>
            <rFont val="Tahoma"/>
            <family val="2"/>
          </rPr>
          <t>Administrator:</t>
        </r>
        <r>
          <rPr>
            <sz val="9"/>
            <color indexed="81"/>
            <rFont val="Tahoma"/>
            <family val="2"/>
          </rPr>
          <t xml:space="preserve">
H takes as 600 mm
</t>
        </r>
      </text>
    </comment>
    <comment ref="J161" authorId="0" shapeId="0" xr:uid="{EF6732ED-C106-48D4-9C07-7463E5AC52B3}">
      <text>
        <r>
          <rPr>
            <b/>
            <sz val="9"/>
            <color indexed="81"/>
            <rFont val="Tahoma"/>
            <family val="2"/>
          </rPr>
          <t>Administrator:</t>
        </r>
        <r>
          <rPr>
            <sz val="9"/>
            <color indexed="81"/>
            <rFont val="Tahoma"/>
            <family val="2"/>
          </rPr>
          <t xml:space="preserve">
has added 60mm to height of base concrete
</t>
        </r>
      </text>
    </comment>
    <comment ref="J165" authorId="0" shapeId="0" xr:uid="{0823EA12-8CDF-4539-BB87-72142D6DC5C9}">
      <text>
        <r>
          <rPr>
            <b/>
            <sz val="9"/>
            <color indexed="81"/>
            <rFont val="Tahoma"/>
            <family val="2"/>
          </rPr>
          <t>Administrator:</t>
        </r>
        <r>
          <rPr>
            <sz val="9"/>
            <color indexed="81"/>
            <rFont val="Tahoma"/>
            <family val="2"/>
          </rPr>
          <t xml:space="preserve">
has added 60mm to height of base concrete
</t>
        </r>
      </text>
    </comment>
    <comment ref="J169" authorId="0" shapeId="0" xr:uid="{0F628B85-F674-429E-81FF-A6B026972409}">
      <text>
        <r>
          <rPr>
            <b/>
            <sz val="9"/>
            <color indexed="81"/>
            <rFont val="Tahoma"/>
            <family val="2"/>
          </rPr>
          <t>Administrator:</t>
        </r>
        <r>
          <rPr>
            <sz val="9"/>
            <color indexed="81"/>
            <rFont val="Tahoma"/>
            <family val="2"/>
          </rPr>
          <t xml:space="preserve">
has added 60mm to height of base concrete
</t>
        </r>
      </text>
    </comment>
    <comment ref="J173" authorId="0" shapeId="0" xr:uid="{979EA322-ED5D-470C-973D-439A170B756B}">
      <text>
        <r>
          <rPr>
            <b/>
            <sz val="9"/>
            <color indexed="81"/>
            <rFont val="Tahoma"/>
            <family val="2"/>
          </rPr>
          <t>Administrator:</t>
        </r>
        <r>
          <rPr>
            <sz val="9"/>
            <color indexed="81"/>
            <rFont val="Tahoma"/>
            <family val="2"/>
          </rPr>
          <t xml:space="preserve">
has added 60mm to height of base concrete
</t>
        </r>
      </text>
    </comment>
    <comment ref="J177" authorId="0" shapeId="0" xr:uid="{7A55FD97-E9EB-40F1-90FE-A7ED852F5AD3}">
      <text>
        <r>
          <rPr>
            <b/>
            <sz val="9"/>
            <color indexed="81"/>
            <rFont val="Tahoma"/>
            <family val="2"/>
          </rPr>
          <t>Administrator:</t>
        </r>
        <r>
          <rPr>
            <sz val="9"/>
            <color indexed="81"/>
            <rFont val="Tahoma"/>
            <family val="2"/>
          </rPr>
          <t xml:space="preserve">
has added 60mm to height of base concrete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13C8A200-6B93-4DDB-B6B1-0307C5E6C76B}">
      <text>
        <r>
          <rPr>
            <b/>
            <sz val="9"/>
            <color indexed="81"/>
            <rFont val="Tahoma"/>
            <family val="2"/>
          </rPr>
          <t xml:space="preserve">Adminis
Varies </t>
        </r>
      </text>
    </comment>
    <comment ref="L83" authorId="0" shapeId="0" xr:uid="{6749302E-4F71-42E4-A224-33E766D3E8CC}">
      <text>
        <r>
          <rPr>
            <b/>
            <sz val="9"/>
            <color indexed="81"/>
            <rFont val="Tahoma"/>
            <family val="2"/>
          </rPr>
          <t xml:space="preserve">Adminis
Varies </t>
        </r>
      </text>
    </comment>
    <comment ref="L87" authorId="0" shapeId="0" xr:uid="{E0A856C1-958C-444C-8BF4-EE02AB3ADE15}">
      <text>
        <r>
          <rPr>
            <b/>
            <sz val="9"/>
            <color indexed="81"/>
            <rFont val="Tahoma"/>
            <family val="2"/>
          </rPr>
          <t xml:space="preserve">Adminis
Varies </t>
        </r>
      </text>
    </comment>
    <comment ref="L91" authorId="0" shapeId="0" xr:uid="{473C1460-32C8-4EC4-858B-D6A3CBDE2313}">
      <text>
        <r>
          <rPr>
            <b/>
            <sz val="9"/>
            <color indexed="81"/>
            <rFont val="Tahoma"/>
            <family val="2"/>
          </rPr>
          <t xml:space="preserve">Adminis
Varies </t>
        </r>
      </text>
    </comment>
    <comment ref="L95" authorId="0" shapeId="0" xr:uid="{F4FB8425-8FD9-4992-8ED0-11E4A70EF406}">
      <text>
        <r>
          <rPr>
            <b/>
            <sz val="9"/>
            <color indexed="81"/>
            <rFont val="Tahoma"/>
            <family val="2"/>
          </rPr>
          <t xml:space="preserve">Adminis
Varies </t>
        </r>
      </text>
    </comment>
    <comment ref="C145" authorId="0" shapeId="0" xr:uid="{51BDE1EA-DC29-4F74-BD40-1DE269AA3637}">
      <text>
        <r>
          <rPr>
            <b/>
            <sz val="9"/>
            <color indexed="81"/>
            <rFont val="Tahoma"/>
            <family val="2"/>
          </rPr>
          <t>Administrator:</t>
        </r>
        <r>
          <rPr>
            <sz val="9"/>
            <color indexed="81"/>
            <rFont val="Tahoma"/>
            <family val="2"/>
          </rPr>
          <t xml:space="preserve">
H takes as 600 mm
</t>
        </r>
      </text>
    </comment>
    <comment ref="C147" authorId="0" shapeId="0" xr:uid="{E7375557-79C2-489F-A430-347496AACCF9}">
      <text>
        <r>
          <rPr>
            <b/>
            <sz val="9"/>
            <color indexed="81"/>
            <rFont val="Tahoma"/>
            <family val="2"/>
          </rPr>
          <t>Administrator:</t>
        </r>
        <r>
          <rPr>
            <sz val="9"/>
            <color indexed="81"/>
            <rFont val="Tahoma"/>
            <family val="2"/>
          </rPr>
          <t xml:space="preserve">
H takes as 600 mm
</t>
        </r>
      </text>
    </comment>
    <comment ref="J161" authorId="0" shapeId="0" xr:uid="{F5AF86E8-8896-4450-A720-45B5DF5B2496}">
      <text>
        <r>
          <rPr>
            <b/>
            <sz val="9"/>
            <color indexed="81"/>
            <rFont val="Tahoma"/>
            <family val="2"/>
          </rPr>
          <t>Administrator:</t>
        </r>
        <r>
          <rPr>
            <sz val="9"/>
            <color indexed="81"/>
            <rFont val="Tahoma"/>
            <family val="2"/>
          </rPr>
          <t xml:space="preserve">
has added 60mm to height of base concrete
</t>
        </r>
      </text>
    </comment>
    <comment ref="J165" authorId="0" shapeId="0" xr:uid="{EE2A6CB8-6E2F-4357-AAEE-1B93E5BD4600}">
      <text>
        <r>
          <rPr>
            <b/>
            <sz val="9"/>
            <color indexed="81"/>
            <rFont val="Tahoma"/>
            <family val="2"/>
          </rPr>
          <t>Administrator:</t>
        </r>
        <r>
          <rPr>
            <sz val="9"/>
            <color indexed="81"/>
            <rFont val="Tahoma"/>
            <family val="2"/>
          </rPr>
          <t xml:space="preserve">
has added 60mm to height of base concrete
</t>
        </r>
      </text>
    </comment>
    <comment ref="J169" authorId="0" shapeId="0" xr:uid="{01FB2782-E280-490D-A2A4-14F6CC7EE5A0}">
      <text>
        <r>
          <rPr>
            <b/>
            <sz val="9"/>
            <color indexed="81"/>
            <rFont val="Tahoma"/>
            <family val="2"/>
          </rPr>
          <t>Administrator:</t>
        </r>
        <r>
          <rPr>
            <sz val="9"/>
            <color indexed="81"/>
            <rFont val="Tahoma"/>
            <family val="2"/>
          </rPr>
          <t xml:space="preserve">
has added 60mm to height of base concrete
</t>
        </r>
      </text>
    </comment>
    <comment ref="J173" authorId="0" shapeId="0" xr:uid="{93073647-EE4D-4178-B41A-4657A17E244D}">
      <text>
        <r>
          <rPr>
            <b/>
            <sz val="9"/>
            <color indexed="81"/>
            <rFont val="Tahoma"/>
            <family val="2"/>
          </rPr>
          <t>Administrator:</t>
        </r>
        <r>
          <rPr>
            <sz val="9"/>
            <color indexed="81"/>
            <rFont val="Tahoma"/>
            <family val="2"/>
          </rPr>
          <t xml:space="preserve">
has added 60mm to height of base concrete
</t>
        </r>
      </text>
    </comment>
    <comment ref="J177" authorId="0" shapeId="0" xr:uid="{928F0278-6448-4FBD-942D-766EDFF7ED07}">
      <text>
        <r>
          <rPr>
            <b/>
            <sz val="9"/>
            <color indexed="81"/>
            <rFont val="Tahoma"/>
            <family val="2"/>
          </rPr>
          <t>Administrator:</t>
        </r>
        <r>
          <rPr>
            <sz val="9"/>
            <color indexed="81"/>
            <rFont val="Tahoma"/>
            <family val="2"/>
          </rPr>
          <t xml:space="preserve">
has added 60mm to height of base concrete
</t>
        </r>
      </text>
    </comment>
  </commentList>
</comments>
</file>

<file path=xl/sharedStrings.xml><?xml version="1.0" encoding="utf-8"?>
<sst xmlns="http://schemas.openxmlformats.org/spreadsheetml/2006/main" count="6059" uniqueCount="1528">
  <si>
    <t>Drain</t>
  </si>
  <si>
    <t>Length</t>
  </si>
  <si>
    <t>DS C B</t>
  </si>
  <si>
    <t>DS M B</t>
  </si>
  <si>
    <t>DS M C</t>
  </si>
  <si>
    <t>m</t>
  </si>
  <si>
    <t>H</t>
  </si>
  <si>
    <t>V</t>
  </si>
  <si>
    <t xml:space="preserve">DESCRIPTION </t>
  </si>
  <si>
    <t>AMOUNT (Rs.)</t>
  </si>
  <si>
    <t>SUB TOTAL CARRIED TO GRAND SUMMARY</t>
  </si>
  <si>
    <t>BOQ ITEM</t>
  </si>
  <si>
    <t>PAY ITEM</t>
  </si>
  <si>
    <t>UNIT</t>
  </si>
  <si>
    <t>QTY</t>
  </si>
  <si>
    <t>RATE</t>
  </si>
  <si>
    <t>AMOUNT (Rs)</t>
  </si>
  <si>
    <t>CLEARING AND GRUBBING</t>
  </si>
  <si>
    <t>201(1)</t>
  </si>
  <si>
    <t>Clearing and grubbing inclusive of backfilling holes and trenches caused by removal of stumps and boulders</t>
  </si>
  <si>
    <r>
      <t>m</t>
    </r>
    <r>
      <rPr>
        <vertAlign val="superscript"/>
        <sz val="10"/>
        <color theme="1"/>
        <rFont val="Times New Roman"/>
        <family val="1"/>
      </rPr>
      <t>2</t>
    </r>
  </si>
  <si>
    <t>201(2)</t>
  </si>
  <si>
    <t>Removal of trees: 300 ≤ Girth &lt; 600 mm</t>
  </si>
  <si>
    <t>nr</t>
  </si>
  <si>
    <t>201(3)</t>
  </si>
  <si>
    <t xml:space="preserve">Removal of trees: 600 ≤ Girth &lt; 1,200 mm </t>
  </si>
  <si>
    <t>201(6)</t>
  </si>
  <si>
    <r>
      <t>m</t>
    </r>
    <r>
      <rPr>
        <vertAlign val="superscript"/>
        <sz val="10"/>
        <color theme="1"/>
        <rFont val="Times New Roman"/>
        <family val="1"/>
      </rPr>
      <t>3</t>
    </r>
  </si>
  <si>
    <r>
      <t>m</t>
    </r>
    <r>
      <rPr>
        <vertAlign val="superscript"/>
        <sz val="10"/>
        <rFont val="Times New Roman"/>
        <family val="1"/>
      </rPr>
      <t>3</t>
    </r>
  </si>
  <si>
    <t>EXCAVATION AND BACKFILL FOR STRUCTURES</t>
  </si>
  <si>
    <t>302(1)</t>
  </si>
  <si>
    <r>
      <t xml:space="preserve">Excavation for  </t>
    </r>
    <r>
      <rPr>
        <b/>
        <sz val="10"/>
        <rFont val="Times New Roman"/>
        <family val="1"/>
      </rPr>
      <t xml:space="preserve">Drains and Catch pits, </t>
    </r>
    <r>
      <rPr>
        <sz val="10"/>
        <rFont val="Times New Roman"/>
        <family val="1"/>
      </rPr>
      <t>soil suitable for filling including soft rock for reuse(Rate shall include Excavation &amp; Backfill for the working space)</t>
    </r>
  </si>
  <si>
    <t>302(2)</t>
  </si>
  <si>
    <t>302(3)</t>
  </si>
  <si>
    <t>302(7)</t>
  </si>
  <si>
    <t>Disposal of excess soils away from site</t>
  </si>
  <si>
    <t>DS(M)-B DRAIN</t>
  </si>
  <si>
    <t>601(1)</t>
  </si>
  <si>
    <t>Concrete C15/20 for beds poured on or against earth or un-blinded hardcore</t>
  </si>
  <si>
    <t>601(3)</t>
  </si>
  <si>
    <t xml:space="preserve">Concrete C25/20 for walls and base of drains. Rate shall include expansion joints </t>
  </si>
  <si>
    <t>602(1)</t>
  </si>
  <si>
    <t>Tor – Steel reinforcement</t>
  </si>
  <si>
    <t>kg</t>
  </si>
  <si>
    <t>605(1)</t>
  </si>
  <si>
    <t>Formwork for concrete sides of drains plain smooth finish</t>
  </si>
  <si>
    <t>DS(M)-C DRAIN</t>
  </si>
  <si>
    <t>CASCADE DRAIN DS(C)-B</t>
  </si>
  <si>
    <t>HOT DIPPED GALVANIZED MILD STEEL STEEL DOWELS</t>
  </si>
  <si>
    <t>606(1)</t>
  </si>
  <si>
    <t>503(2)</t>
  </si>
  <si>
    <t>Filter fabric/Geotextile</t>
  </si>
  <si>
    <t>No</t>
  </si>
  <si>
    <t>L / Area</t>
  </si>
  <si>
    <t>W / Space</t>
  </si>
  <si>
    <t>Nr</t>
  </si>
  <si>
    <t>Qty</t>
  </si>
  <si>
    <t>Qty-Total</t>
  </si>
  <si>
    <t>Unit</t>
  </si>
  <si>
    <t>Add 10%</t>
  </si>
  <si>
    <t>Rounded</t>
  </si>
  <si>
    <t>BILL 02 :  SITE CLEARING</t>
  </si>
  <si>
    <t>Clearing and grubbing</t>
  </si>
  <si>
    <t>m3</t>
  </si>
  <si>
    <t>BILL 03 :  EARTHWORKS</t>
  </si>
  <si>
    <t>Excavation - suitable soil</t>
  </si>
  <si>
    <t>Excavation and disposal - unsuitable soil</t>
  </si>
  <si>
    <t xml:space="preserve">Side Slope Excavation </t>
  </si>
  <si>
    <t>Reshaping and Trimming</t>
  </si>
  <si>
    <t>Excavation for structures- suitable soil</t>
  </si>
  <si>
    <t>Excavation for structures and disposal - unsuitable soil</t>
  </si>
  <si>
    <t>Excavation for Structures</t>
  </si>
  <si>
    <t>Back Filling</t>
  </si>
  <si>
    <t>BILL 04 : DRAINAGE CONSTRUCTIONS</t>
  </si>
  <si>
    <t>Lean Concrete C15/20</t>
  </si>
  <si>
    <t xml:space="preserve">Concrete C25 / 20 </t>
  </si>
  <si>
    <t>GABION CONSTRUCTIONS</t>
  </si>
  <si>
    <t>Geo Textile</t>
  </si>
  <si>
    <t>Bar Dia.</t>
  </si>
  <si>
    <t>Unit Weight</t>
  </si>
  <si>
    <t>Weight</t>
  </si>
  <si>
    <t>Reinforcement</t>
  </si>
  <si>
    <t>Formwork</t>
  </si>
  <si>
    <t>Dowels</t>
  </si>
  <si>
    <t>BILL 04 : CATCH-PITS</t>
  </si>
  <si>
    <t>BILL 05 : SOIL NAILING &amp; HORIZONTAL DRAINS/ Turfing</t>
  </si>
  <si>
    <t>Mesh &amp; Hydroseeding or Shotcrete</t>
  </si>
  <si>
    <t>Metalic mesh</t>
  </si>
  <si>
    <t>Turfing</t>
  </si>
  <si>
    <t>Reshaping Area</t>
  </si>
  <si>
    <t>Soil nails</t>
  </si>
  <si>
    <t>Grid Beam</t>
  </si>
  <si>
    <t>Turfing Area</t>
  </si>
  <si>
    <t>Cantilever wall Construction</t>
  </si>
  <si>
    <t>V shape excavation</t>
  </si>
  <si>
    <t xml:space="preserve">Drain Type </t>
  </si>
  <si>
    <t>Width W(mm)</t>
  </si>
  <si>
    <t xml:space="preserve">Height H(mm) </t>
  </si>
  <si>
    <t xml:space="preserve">Thickness t(mm) </t>
  </si>
  <si>
    <t xml:space="preserve">Screed </t>
  </si>
  <si>
    <t>Reinforcement / Spacing</t>
  </si>
  <si>
    <t xml:space="preserve">Energy Breakers </t>
  </si>
  <si>
    <t xml:space="preserve">Cascade Steps </t>
  </si>
  <si>
    <t>T (mm)</t>
  </si>
  <si>
    <t>Vertical</t>
  </si>
  <si>
    <t xml:space="preserve">Horizontal </t>
  </si>
  <si>
    <t xml:space="preserve">Spacing (m) </t>
  </si>
  <si>
    <t>Width</t>
  </si>
  <si>
    <t xml:space="preserve">Height </t>
  </si>
  <si>
    <t>DS (M) - A</t>
  </si>
  <si>
    <t>w</t>
  </si>
  <si>
    <t>DS (M) - B</t>
  </si>
  <si>
    <t>DS (M) - C</t>
  </si>
  <si>
    <t>DS (M) - D</t>
  </si>
  <si>
    <t>DS (M) - E</t>
  </si>
  <si>
    <t>t</t>
  </si>
  <si>
    <t>DS (M) - F</t>
  </si>
  <si>
    <t>Screed</t>
  </si>
  <si>
    <t>DS (M) - P</t>
  </si>
  <si>
    <t>DS (M) - Q</t>
  </si>
  <si>
    <t>DS (B) - A (Type I)</t>
  </si>
  <si>
    <t xml:space="preserve">Berm </t>
  </si>
  <si>
    <t>DS (B) - B (Type I)</t>
  </si>
  <si>
    <t xml:space="preserve"> </t>
  </si>
  <si>
    <t>DS (B) - C (Type I)</t>
  </si>
  <si>
    <t>DS (K) - A</t>
  </si>
  <si>
    <t>DS (K) - B</t>
  </si>
  <si>
    <t>DS(M) - L  Type I</t>
  </si>
  <si>
    <t>DS(M) - L Type II</t>
  </si>
  <si>
    <t>DS(L) - A</t>
  </si>
  <si>
    <t>DS(L) - B</t>
  </si>
  <si>
    <t>DS(L) - C</t>
  </si>
  <si>
    <t>DS(L) - D</t>
  </si>
  <si>
    <t>DS(C) - A (Type I)</t>
  </si>
  <si>
    <t>DS(C) - B (Type I)</t>
  </si>
  <si>
    <t>DS(C) - C (Type I)</t>
  </si>
  <si>
    <t>DS(C) - D (Type I)</t>
  </si>
  <si>
    <t>DS(C) - E (Type I)</t>
  </si>
  <si>
    <t>DS(C) - A (Type II)</t>
  </si>
  <si>
    <t>DS(C) - B (Type II)</t>
  </si>
  <si>
    <t>DS(C) - C (Type II)</t>
  </si>
  <si>
    <t>DS(C) - D (Type II)</t>
  </si>
  <si>
    <t>DS(C) - E (Type II)</t>
  </si>
  <si>
    <t>Outer FW %</t>
  </si>
  <si>
    <t>Y10 RF</t>
  </si>
  <si>
    <t>Drains</t>
  </si>
  <si>
    <t>Total</t>
  </si>
  <si>
    <t xml:space="preserve">Nos </t>
  </si>
  <si>
    <t>SC</t>
  </si>
  <si>
    <t>Exc</t>
  </si>
  <si>
    <t>C15</t>
  </si>
  <si>
    <t>C25</t>
  </si>
  <si>
    <t>FW</t>
  </si>
  <si>
    <t>No's</t>
  </si>
  <si>
    <t>Cut off Drains</t>
  </si>
  <si>
    <t>DS-M-A</t>
  </si>
  <si>
    <t>T10</t>
  </si>
  <si>
    <t xml:space="preserve">DS-M-B </t>
  </si>
  <si>
    <t>DS-M-C</t>
  </si>
  <si>
    <t xml:space="preserve">DS-M-R </t>
  </si>
  <si>
    <t>DS-M-D</t>
  </si>
  <si>
    <t>Subsuface Drain</t>
  </si>
  <si>
    <t>PVC Pipe</t>
  </si>
  <si>
    <t>Aggrigate</t>
  </si>
  <si>
    <t>DS-M-E</t>
  </si>
  <si>
    <t>DS-M-F</t>
  </si>
  <si>
    <t>DS-M-P</t>
  </si>
  <si>
    <t>DS-M-Q</t>
  </si>
  <si>
    <t>DS-B-A</t>
  </si>
  <si>
    <t>DS-B-B</t>
  </si>
  <si>
    <t>DS-B-C</t>
  </si>
  <si>
    <t>DS-K-A</t>
  </si>
  <si>
    <t>DS-K-B</t>
  </si>
  <si>
    <t>DS-M-L (Type I)</t>
  </si>
  <si>
    <t>DS-M-L (Type II)</t>
  </si>
  <si>
    <t>DS-L-A</t>
  </si>
  <si>
    <t>DS-L-B</t>
  </si>
  <si>
    <t>DS-L-C</t>
  </si>
  <si>
    <t>DS-L-D</t>
  </si>
  <si>
    <t xml:space="preserve">Type I-Cascade Drains </t>
  </si>
  <si>
    <t>DS-C-A</t>
  </si>
  <si>
    <t xml:space="preserve">Steps </t>
  </si>
  <si>
    <t xml:space="preserve">Dowels </t>
  </si>
  <si>
    <t>DS-C-B</t>
  </si>
  <si>
    <t>DS-C-C</t>
  </si>
  <si>
    <t>DS-C-D</t>
  </si>
  <si>
    <t>DS-C-E</t>
  </si>
  <si>
    <t xml:space="preserve">Type II-Cascade Drains </t>
  </si>
  <si>
    <t>DS-C-F</t>
  </si>
  <si>
    <t>L</t>
  </si>
  <si>
    <t>W/Area</t>
  </si>
  <si>
    <t>Drain Length With Cover Slb area</t>
  </si>
  <si>
    <t>Cover Slab</t>
  </si>
  <si>
    <t>Letgth</t>
  </si>
  <si>
    <t>No. of C.Slabs</t>
  </si>
  <si>
    <t>G25</t>
  </si>
  <si>
    <t>159.75 Area</t>
  </si>
  <si>
    <t>Reinforcment</t>
  </si>
  <si>
    <t>Steel Grating</t>
  </si>
  <si>
    <t>Reshaping &amp; Gabion</t>
  </si>
  <si>
    <t>201(4)</t>
  </si>
  <si>
    <t>Removal of trees: 1,200 ≤ Girth &lt; 2,000 mm</t>
  </si>
  <si>
    <t>201(5)</t>
  </si>
  <si>
    <t>Removal of trees: 2,000 &lt; Girth mm</t>
  </si>
  <si>
    <t>Removal of stumps of previously fallan trees; 300≤ Girth&lt; 600mm</t>
  </si>
  <si>
    <t>201(10)</t>
  </si>
  <si>
    <t>Removal of overhanging branches: 300 ≤ Girth</t>
  </si>
  <si>
    <t>Site 78</t>
  </si>
  <si>
    <t>DS M A</t>
  </si>
  <si>
    <t>Bolder Pack wall</t>
  </si>
  <si>
    <t>DS(M)-A DRAIN</t>
  </si>
  <si>
    <t>Boulder Pack Wall</t>
  </si>
  <si>
    <t xml:space="preserve">Wall </t>
  </si>
  <si>
    <t>Boulder Pack wall</t>
  </si>
  <si>
    <t>B. wall</t>
  </si>
  <si>
    <t>Construction of  Boulder Pack wall</t>
  </si>
  <si>
    <t>BOULDER PACK WALL</t>
  </si>
  <si>
    <t>REDUCTION OF LANDSLIDE VULNERABILITY BY MITIGATION MEASURES 78Site - QUANTITY CALCULATION</t>
  </si>
  <si>
    <r>
      <t xml:space="preserve">Excavation for </t>
    </r>
    <r>
      <rPr>
        <b/>
        <sz val="10"/>
        <rFont val="Times New Roman"/>
        <family val="1"/>
      </rPr>
      <t xml:space="preserve">Boulder Pack Wall </t>
    </r>
    <r>
      <rPr>
        <sz val="10"/>
        <rFont val="Times New Roman"/>
        <family val="1"/>
      </rPr>
      <t>oil suitable for filling including soft rock for reuse (Rate shall include for the work space)</t>
    </r>
  </si>
  <si>
    <r>
      <t>Excavation of Boulders - 0.25 m</t>
    </r>
    <r>
      <rPr>
        <vertAlign val="superscript"/>
        <sz val="10"/>
        <rFont val="Times New Roman"/>
        <family val="1"/>
      </rPr>
      <t xml:space="preserve">3 </t>
    </r>
    <r>
      <rPr>
        <sz val="10"/>
        <rFont val="Times New Roman"/>
        <family val="1"/>
      </rPr>
      <t>- 1.0 m</t>
    </r>
    <r>
      <rPr>
        <vertAlign val="superscript"/>
        <sz val="10"/>
        <rFont val="Times New Roman"/>
        <family val="1"/>
      </rPr>
      <t>3</t>
    </r>
    <r>
      <rPr>
        <sz val="10"/>
        <rFont val="Times New Roman"/>
        <family val="1"/>
      </rPr>
      <t xml:space="preserve"> (Provisional Quantity, rate shall include for backfilling holes )</t>
    </r>
  </si>
  <si>
    <t>Excavation (chemical blasting) of Hard rock &gt; 1.0 m3(Provisional Quantity, rate shall include for backfilling holes )</t>
  </si>
  <si>
    <t>Supply and install (16 mm dia.) hot dipped galvanized mild steel grouted dowels</t>
  </si>
  <si>
    <t>301(1)</t>
  </si>
  <si>
    <t>Excavation of slope up to required angle (soil suitable for filling and unsuitable for filling including soft rock)</t>
  </si>
  <si>
    <t>301(2)</t>
  </si>
  <si>
    <r>
      <t>Excavation and disposal of Boulders - 0.25 m</t>
    </r>
    <r>
      <rPr>
        <vertAlign val="superscript"/>
        <sz val="10"/>
        <rFont val="Times New Roman"/>
        <family val="1"/>
      </rPr>
      <t xml:space="preserve">3 </t>
    </r>
    <r>
      <rPr>
        <sz val="10"/>
        <rFont val="Times New Roman"/>
        <family val="1"/>
      </rPr>
      <t>- 1.0 m</t>
    </r>
    <r>
      <rPr>
        <vertAlign val="superscript"/>
        <sz val="10"/>
        <rFont val="Times New Roman"/>
        <family val="1"/>
      </rPr>
      <t>3</t>
    </r>
    <r>
      <rPr>
        <sz val="10"/>
        <rFont val="Times New Roman"/>
        <family val="1"/>
      </rPr>
      <t xml:space="preserve"> (Provisional Quantity, rate shall include for backfilling holes )</t>
    </r>
  </si>
  <si>
    <t>301(3)</t>
  </si>
  <si>
    <t>Excavation (chemical blasting) and disposal of Hard rock &gt; 1.0 m3 (Provisional Quantity , rate shall include for backfilling holes )</t>
  </si>
  <si>
    <t>301(5)</t>
  </si>
  <si>
    <t xml:space="preserve">SIDE SLOPE EXCAVATION OR TRIMMING </t>
  </si>
  <si>
    <t>BILL No. 2.1 - SITE CLEARING</t>
  </si>
  <si>
    <t>2.1.1</t>
  </si>
  <si>
    <t>2.1.1.1</t>
  </si>
  <si>
    <t>2.1.1.2</t>
  </si>
  <si>
    <t>2.1.1.3</t>
  </si>
  <si>
    <t>2.1.1.4</t>
  </si>
  <si>
    <t>2.1.1.5</t>
  </si>
  <si>
    <t>2.1.1.6</t>
  </si>
  <si>
    <t>2.1.1.7</t>
  </si>
  <si>
    <t>Total of Bill No 2.1 - Site Clearing (Transfer to Summary of Bills of Quantities)</t>
  </si>
  <si>
    <t>BILL No. 2.2 - EARTHWORKS</t>
  </si>
  <si>
    <t>2.2.1</t>
  </si>
  <si>
    <t>2.2.1.1</t>
  </si>
  <si>
    <t>2.2.1.2</t>
  </si>
  <si>
    <t>2.2.1.3</t>
  </si>
  <si>
    <t>2.2.1.4</t>
  </si>
  <si>
    <t>2.2.2</t>
  </si>
  <si>
    <t>2.2.2.1</t>
  </si>
  <si>
    <t>2.2.2.2</t>
  </si>
  <si>
    <t>2.2.2.3</t>
  </si>
  <si>
    <t>2.2.2.4</t>
  </si>
  <si>
    <t>2.2.2.5</t>
  </si>
  <si>
    <t>Total of Bill No 2.2 - Earthworks (Transfer to Summary of Bills of Quantities)</t>
  </si>
  <si>
    <t>BILL No. 2.3 - STRUCTURE CONSTRUCTION</t>
  </si>
  <si>
    <t>2.3.1</t>
  </si>
  <si>
    <t>2.3.1.1</t>
  </si>
  <si>
    <t>2.3.1.2</t>
  </si>
  <si>
    <t>2.3.1.3</t>
  </si>
  <si>
    <t>2.3.1.4</t>
  </si>
  <si>
    <t>2.3.2</t>
  </si>
  <si>
    <t>2.3.2.1</t>
  </si>
  <si>
    <t>2.3.2.2</t>
  </si>
  <si>
    <t>2.3.2.3</t>
  </si>
  <si>
    <t>2.3.2.4</t>
  </si>
  <si>
    <t>2.3.3</t>
  </si>
  <si>
    <t>2.3.3.1</t>
  </si>
  <si>
    <t>2.3.3.2</t>
  </si>
  <si>
    <t>2.3.3.4</t>
  </si>
  <si>
    <t>2.3.4</t>
  </si>
  <si>
    <t>2.3.4.1</t>
  </si>
  <si>
    <t>2.3.4.2</t>
  </si>
  <si>
    <t>2.3.4.3</t>
  </si>
  <si>
    <t>2.3.4.4</t>
  </si>
  <si>
    <t>2.3.5</t>
  </si>
  <si>
    <t>2.3.5.1</t>
  </si>
  <si>
    <t>Total of Bill No 2.3 - Structure Construction (Transfer to Summary of Bills of Quantities)</t>
  </si>
  <si>
    <t>PROJECT : REDUCTION OF LANDSLIDE VULNERABILITY BY MITIGATION MEASURES</t>
  </si>
  <si>
    <t xml:space="preserve">
</t>
  </si>
  <si>
    <t>GRAND SUMMARY</t>
  </si>
  <si>
    <t>BILL No. 01 - GENERAL PRELIMINARIES EXCEPT PROVISIONAL SUM</t>
  </si>
  <si>
    <t>ADD 10%  PHYSICAL CONTINGENCIES TO SUB TOTAL</t>
  </si>
  <si>
    <t>ADD 10%  PRICE CONTINGENCIES TO SUB TOTAL</t>
  </si>
  <si>
    <t>PROVISIONAL SUMS</t>
  </si>
  <si>
    <t>Rs.</t>
  </si>
  <si>
    <t>ADD 08% VAT</t>
  </si>
  <si>
    <t>ITEM</t>
  </si>
  <si>
    <t>QTY.</t>
  </si>
  <si>
    <t>AMOUNT</t>
  </si>
  <si>
    <t>LABOUR</t>
  </si>
  <si>
    <t>Skilled Labour</t>
  </si>
  <si>
    <t>hr</t>
  </si>
  <si>
    <t>Unskilled Labour</t>
  </si>
  <si>
    <t>Mason</t>
  </si>
  <si>
    <t>Carpenter</t>
  </si>
  <si>
    <t>Steel fixer</t>
  </si>
  <si>
    <t>Mechanic</t>
  </si>
  <si>
    <t>Plumber, Electrician</t>
  </si>
  <si>
    <t>Welder, Fitter</t>
  </si>
  <si>
    <t>Driver</t>
  </si>
  <si>
    <t>MATERIAL</t>
  </si>
  <si>
    <t>Cement</t>
  </si>
  <si>
    <t>50 kg bag</t>
  </si>
  <si>
    <t>Sand</t>
  </si>
  <si>
    <t>20 mm agregate</t>
  </si>
  <si>
    <t>Gravel(20-200mm)</t>
  </si>
  <si>
    <t>Mild Steel reinforcement</t>
  </si>
  <si>
    <t>Tor Steel reinforcement</t>
  </si>
  <si>
    <t>PVC Pipes 90 mm</t>
  </si>
  <si>
    <t>PVC Pipes 75 mm</t>
  </si>
  <si>
    <t>Random Rubble (100mm)</t>
  </si>
  <si>
    <t>Random Rubble (225mm)</t>
  </si>
  <si>
    <t>Timber Plywood Sheet 12mm</t>
  </si>
  <si>
    <r>
      <t>m</t>
    </r>
    <r>
      <rPr>
        <vertAlign val="superscript"/>
        <sz val="10"/>
        <rFont val="Times New Roman"/>
        <family val="1"/>
      </rPr>
      <t>2</t>
    </r>
  </si>
  <si>
    <t>Asphalt concrete: binder course material</t>
  </si>
  <si>
    <t>Mt</t>
  </si>
  <si>
    <t>Asphalt concrete: wearing course material</t>
  </si>
  <si>
    <t>Bituminous Emulsion CSS-1</t>
  </si>
  <si>
    <t>liter</t>
  </si>
  <si>
    <t>Bituminous Emulsion (CRS-1)</t>
  </si>
  <si>
    <t>Bituminous Emulsion (CRS-2)</t>
  </si>
  <si>
    <t>Aggregate Base Course</t>
  </si>
  <si>
    <t>Grade 25 Readymix Concrete</t>
  </si>
  <si>
    <t>PLANT</t>
  </si>
  <si>
    <t>Hydraulic Excavator 130HP</t>
  </si>
  <si>
    <t>Dump Truck/Tipper 20T</t>
  </si>
  <si>
    <t>Km</t>
  </si>
  <si>
    <t>feb</t>
  </si>
  <si>
    <t>Tractor/Trailer 100HP</t>
  </si>
  <si>
    <t xml:space="preserve">Air Compressor 450 cfm </t>
  </si>
  <si>
    <t>Soil nailing machine with accessories</t>
  </si>
  <si>
    <t>Backhoe Loader (JCB)</t>
  </si>
  <si>
    <t>Shotcrete Gunning machine</t>
  </si>
  <si>
    <t>Concrete Mixer</t>
  </si>
  <si>
    <t>Generator (420 KW )</t>
  </si>
  <si>
    <t>Long reach Excavator</t>
  </si>
  <si>
    <t>Vibrating Rammer</t>
  </si>
  <si>
    <t>Day</t>
  </si>
  <si>
    <t>Plate Compactor</t>
  </si>
  <si>
    <t xml:space="preserve">1 Tonn Roller </t>
  </si>
  <si>
    <t>5 Tonn Roller</t>
  </si>
  <si>
    <t>Jack hammer</t>
  </si>
  <si>
    <t xml:space="preserve">  Total of Bill No 10 - DayWorks (Transfer to Summary of Bills of Quantities)</t>
  </si>
  <si>
    <t>BILL NO. 10- DAYWORKS</t>
  </si>
  <si>
    <t>10.1.1</t>
  </si>
  <si>
    <t>10.1.2</t>
  </si>
  <si>
    <t>10.1.3</t>
  </si>
  <si>
    <t>10.1.4</t>
  </si>
  <si>
    <t>10.1.5</t>
  </si>
  <si>
    <t>10.1.6</t>
  </si>
  <si>
    <t>10.1.7</t>
  </si>
  <si>
    <t>10.1.8</t>
  </si>
  <si>
    <t>10.1.9</t>
  </si>
  <si>
    <t>10.2.1</t>
  </si>
  <si>
    <t>10.2.2</t>
  </si>
  <si>
    <t>10.2.3</t>
  </si>
  <si>
    <t>10.2.4</t>
  </si>
  <si>
    <t>10.2.5</t>
  </si>
  <si>
    <t>10.2.6</t>
  </si>
  <si>
    <t>10.2.7</t>
  </si>
  <si>
    <t>10.2.8</t>
  </si>
  <si>
    <t>10.2.9</t>
  </si>
  <si>
    <t>10.2.10</t>
  </si>
  <si>
    <t>10.2.11</t>
  </si>
  <si>
    <t>10.2.12</t>
  </si>
  <si>
    <t>10.2.13</t>
  </si>
  <si>
    <t>10.2.14</t>
  </si>
  <si>
    <t>10.2.15</t>
  </si>
  <si>
    <t>10.2.16</t>
  </si>
  <si>
    <t>10.2.17</t>
  </si>
  <si>
    <t>10.2.18</t>
  </si>
  <si>
    <t>10.3.1</t>
  </si>
  <si>
    <t>10.3.2</t>
  </si>
  <si>
    <t>10.3.3</t>
  </si>
  <si>
    <t>10.3.4</t>
  </si>
  <si>
    <t>10.3.5</t>
  </si>
  <si>
    <t>10.3.6</t>
  </si>
  <si>
    <t>10.3.7</t>
  </si>
  <si>
    <t>10.3.8</t>
  </si>
  <si>
    <t>10.3.9</t>
  </si>
  <si>
    <t>10.3.10</t>
  </si>
  <si>
    <t>10.3.11</t>
  </si>
  <si>
    <t>10.3.12</t>
  </si>
  <si>
    <t>10.3.13</t>
  </si>
  <si>
    <t>10.3.14</t>
  </si>
  <si>
    <t>10.3.15</t>
  </si>
  <si>
    <t>LANDSLIDE MITIGATION WORKS AT 08 LOCATIONS IN  KALUTARA  DISTRICT (SITE NO.78,81,83,85,86,88,112,115)</t>
  </si>
  <si>
    <t>BILL No. 3.1 - SITE CLEARING</t>
  </si>
  <si>
    <t>BILL No. 3.2- EARTH WORKS</t>
  </si>
  <si>
    <t>BILL No. 3.3 - STRUCTURE CONSTRUCTION</t>
  </si>
  <si>
    <t>3.1.1</t>
  </si>
  <si>
    <t>Reshaping Gabion</t>
  </si>
  <si>
    <t>3.1.1.1</t>
  </si>
  <si>
    <t>3.1.1.2</t>
  </si>
  <si>
    <t>3.1.1.3</t>
  </si>
  <si>
    <t>3.1.1.4</t>
  </si>
  <si>
    <t>3.1.1.5</t>
  </si>
  <si>
    <t>3.1.1.6</t>
  </si>
  <si>
    <t>3.1.1.7</t>
  </si>
  <si>
    <t>3.1.2</t>
  </si>
  <si>
    <t>REMOVAL OF EXISTING STRUCTURES</t>
  </si>
  <si>
    <t>3.1.2.1</t>
  </si>
  <si>
    <t>202(1)</t>
  </si>
  <si>
    <t>Dismantle and remove rubble / brick masonry structures</t>
  </si>
  <si>
    <t>3.1.2.2</t>
  </si>
  <si>
    <t>202(3)</t>
  </si>
  <si>
    <t>Dismantle and remove concrete (R/F or mass) structures</t>
  </si>
  <si>
    <t>Total of Bill No 3.1 - Site Clearing (Transfer to Summary of Bills of Quantities)</t>
  </si>
  <si>
    <t>BILL No. 3.2 - EARTHWORKS</t>
  </si>
  <si>
    <t>3.2.1</t>
  </si>
  <si>
    <t>3.2.1.1</t>
  </si>
  <si>
    <t>3.2.1.2</t>
  </si>
  <si>
    <t>3.2.1.3</t>
  </si>
  <si>
    <t>3.2.1.4</t>
  </si>
  <si>
    <t>3.2.2</t>
  </si>
  <si>
    <t>3.2.2.1</t>
  </si>
  <si>
    <t>3.2.2.2</t>
  </si>
  <si>
    <r>
      <t xml:space="preserve">Excavation for  </t>
    </r>
    <r>
      <rPr>
        <b/>
        <sz val="10"/>
        <rFont val="Times New Roman"/>
        <family val="1"/>
      </rPr>
      <t xml:space="preserve">Gabian Wall, </t>
    </r>
    <r>
      <rPr>
        <sz val="10"/>
        <rFont val="Times New Roman"/>
        <family val="1"/>
      </rPr>
      <t>soil suitable for filling including soft rock for reuse(Rate shall include Excavation &amp; Backfill for the working space)</t>
    </r>
  </si>
  <si>
    <t>3.2.2.3</t>
  </si>
  <si>
    <t>302(6)</t>
  </si>
  <si>
    <r>
      <t xml:space="preserve">Backfill behind the </t>
    </r>
    <r>
      <rPr>
        <b/>
        <sz val="10"/>
        <rFont val="Times New Roman"/>
        <family val="1"/>
      </rPr>
      <t>Gabian Wall</t>
    </r>
    <r>
      <rPr>
        <sz val="10"/>
        <rFont val="Times New Roman"/>
        <family val="1"/>
      </rPr>
      <t xml:space="preserve"> with suitable existing soil for structures.(Rate shall include for necessary compaction.)</t>
    </r>
  </si>
  <si>
    <t>3.2.2.4</t>
  </si>
  <si>
    <t>3.2.2.5</t>
  </si>
  <si>
    <t>3.2.2.6</t>
  </si>
  <si>
    <t>Total of Bill No 3.2 - Earthworks (Transfer to Summary of Bills of Quantities)</t>
  </si>
  <si>
    <t>3.3.1</t>
  </si>
  <si>
    <t>3.3.1.1</t>
  </si>
  <si>
    <t>3.3.1.2</t>
  </si>
  <si>
    <t>3.3.1.3</t>
  </si>
  <si>
    <t>3.3.1.4</t>
  </si>
  <si>
    <t>3.3.2</t>
  </si>
  <si>
    <t>3.3.2.1</t>
  </si>
  <si>
    <t>3.3.2.2</t>
  </si>
  <si>
    <t>3.3.2.3</t>
  </si>
  <si>
    <t>3.3.2.4</t>
  </si>
  <si>
    <t>3.3.3</t>
  </si>
  <si>
    <t>DS(B)-A DRAIN</t>
  </si>
  <si>
    <t>3.3.3.1</t>
  </si>
  <si>
    <t>3.3.3.2</t>
  </si>
  <si>
    <t>3.3.3.3</t>
  </si>
  <si>
    <t>3.3.3.4</t>
  </si>
  <si>
    <t>3.3.4</t>
  </si>
  <si>
    <t>CASCADE DRAIN DS(C)-A</t>
  </si>
  <si>
    <t>3.3.4.1</t>
  </si>
  <si>
    <t>3.3.4.2</t>
  </si>
  <si>
    <t>3.3.4.3</t>
  </si>
  <si>
    <t>3.3.4.4</t>
  </si>
  <si>
    <t>3.3.5</t>
  </si>
  <si>
    <t>3.3.5.1</t>
  </si>
  <si>
    <t>Supply and install (16 mm dia. ) hot dipped galvanized mild steel grouted dowels</t>
  </si>
  <si>
    <t>3.3.6</t>
  </si>
  <si>
    <t>GABION WALL</t>
  </si>
  <si>
    <t>3.3.6.1</t>
  </si>
  <si>
    <t>503(1)</t>
  </si>
  <si>
    <t>Gabion wall (PVC coated galvanized wire)</t>
  </si>
  <si>
    <t>3.3.6.2</t>
  </si>
  <si>
    <t>3.3.6.3</t>
  </si>
  <si>
    <t>503 (3)</t>
  </si>
  <si>
    <t>Base preperation for gabion wall with 6" x 9" Rubble</t>
  </si>
  <si>
    <t>Total of Bill No 3.3 - Structure Construction (Transfer to Summary of Bills of Quantities)</t>
  </si>
  <si>
    <t>BILL No. 3.4 - HORIZONTAL DRAINS &amp; VEGETATION</t>
  </si>
  <si>
    <t>3.4.1</t>
  </si>
  <si>
    <t>SLOPE PROTECTION BY VEGETATION</t>
  </si>
  <si>
    <t>3.4.1.1</t>
  </si>
  <si>
    <t>Turfing as directed by the Engineer, and regular maintanance for 3 months</t>
  </si>
  <si>
    <t>3.4.2</t>
  </si>
  <si>
    <t>HORIZONTAL DRAINS</t>
  </si>
  <si>
    <t>3.4.2.1</t>
  </si>
  <si>
    <t>702(1)</t>
  </si>
  <si>
    <r>
      <t xml:space="preserve">90mm dia </t>
    </r>
    <r>
      <rPr>
        <b/>
        <sz val="10"/>
        <rFont val="Times New Roman"/>
        <family val="1"/>
      </rPr>
      <t>Long Drain</t>
    </r>
    <r>
      <rPr>
        <sz val="10"/>
        <rFont val="Times New Roman"/>
        <family val="1"/>
      </rPr>
      <t xml:space="preserve"> with perforated type 1000 PVC pipes .  Rate shall include for drilling and associated work and disposal of driled material away from the site as directed by the Engineer.</t>
    </r>
  </si>
  <si>
    <t>Total of Bill No 3.4 - Horizontal Drainins &amp; Vegetation (Transfer to Summary of Bills of Quantities)</t>
  </si>
  <si>
    <t>REDUCTION OF LANDSLIDE VULNERABILITY BY MITIGATION MEASURES SITE 81 - QUANTITY CALCULATION</t>
  </si>
  <si>
    <t>Area</t>
  </si>
  <si>
    <t>~CS04A</t>
  </si>
  <si>
    <t>CS04A-CS05</t>
  </si>
  <si>
    <t>CS05~</t>
  </si>
  <si>
    <t>Gabion Wall</t>
  </si>
  <si>
    <t>Wall</t>
  </si>
  <si>
    <t xml:space="preserve">Base </t>
  </si>
  <si>
    <t>32mm dia                      16m</t>
  </si>
  <si>
    <t>32mm dia                      12m</t>
  </si>
  <si>
    <t>10m</t>
  </si>
  <si>
    <t>8m</t>
  </si>
  <si>
    <t>6m</t>
  </si>
  <si>
    <t>Horizontal drain</t>
  </si>
  <si>
    <t>90mm</t>
  </si>
  <si>
    <t>Boundery Beams</t>
  </si>
  <si>
    <t>W</t>
  </si>
  <si>
    <t>m2</t>
  </si>
  <si>
    <t>DS(M)A</t>
  </si>
  <si>
    <t>Site 81</t>
  </si>
  <si>
    <t xml:space="preserve">Section </t>
  </si>
  <si>
    <t>CS Length</t>
  </si>
  <si>
    <t>Backfill (Gabion)</t>
  </si>
  <si>
    <t>Excavation (Gabion)</t>
  </si>
  <si>
    <t>Clearing</t>
  </si>
  <si>
    <t>CS04A - CS05</t>
  </si>
  <si>
    <t>DS B A</t>
  </si>
  <si>
    <t>DS C A</t>
  </si>
  <si>
    <t>Reshaping</t>
  </si>
  <si>
    <t>Gabion Wall T3</t>
  </si>
  <si>
    <t>Gabion</t>
  </si>
  <si>
    <t>Base</t>
  </si>
  <si>
    <t>BILL No. 4.1.1 - SITE CLEARING</t>
  </si>
  <si>
    <t>4.1.1.1</t>
  </si>
  <si>
    <t>4.1.1.1.1</t>
  </si>
  <si>
    <t>Clearing and grubbing inclusive of backfilling holes and trenches caused by removal of stumps and boulders (Average depth 150mm)</t>
  </si>
  <si>
    <t>4.1.1.1.2</t>
  </si>
  <si>
    <t>4.1.1.1.3</t>
  </si>
  <si>
    <t>4.1.1.1.4</t>
  </si>
  <si>
    <t>4.1.1.1.5</t>
  </si>
  <si>
    <t>4.1.1.1.6</t>
  </si>
  <si>
    <t>4.1.1.1.7</t>
  </si>
  <si>
    <t>4.1.1.2</t>
  </si>
  <si>
    <t>4.1.1.2.1</t>
  </si>
  <si>
    <t>4.1.1.2.2</t>
  </si>
  <si>
    <t>Total of Bill No 4.1.1 - Site Clearing (Transfer to Summary of Bills of Quantities)</t>
  </si>
  <si>
    <t>BILL No. 4.1.2 - EARTHWORKS</t>
  </si>
  <si>
    <t>4.1.2.1</t>
  </si>
  <si>
    <t>4.1.2.1.1</t>
  </si>
  <si>
    <t>Rough QTY</t>
  </si>
  <si>
    <t>4.1.2.1.2</t>
  </si>
  <si>
    <t>4.1.2.1.3</t>
  </si>
  <si>
    <t>4.1.2.1.4</t>
  </si>
  <si>
    <t>4.1.2.2</t>
  </si>
  <si>
    <t>4.1.2.2.1</t>
  </si>
  <si>
    <t>4.1.2.2.2</t>
  </si>
  <si>
    <r>
      <t xml:space="preserve">Excavation for  </t>
    </r>
    <r>
      <rPr>
        <b/>
        <sz val="10"/>
        <rFont val="Times New Roman"/>
        <family val="1"/>
      </rPr>
      <t xml:space="preserve">Counterfort retaining wall </t>
    </r>
    <r>
      <rPr>
        <sz val="10"/>
        <rFont val="Times New Roman"/>
        <family val="1"/>
      </rPr>
      <t>soil suitable for filling including soft rock for reuse(Rate shall include Excavation &amp; Backfill for the working space)</t>
    </r>
  </si>
  <si>
    <t>4.1.2.2.3</t>
  </si>
  <si>
    <r>
      <t xml:space="preserve">Backfill behind the </t>
    </r>
    <r>
      <rPr>
        <b/>
        <sz val="10"/>
        <rFont val="Times New Roman"/>
        <family val="1"/>
      </rPr>
      <t xml:space="preserve">Counterfort retaining wall </t>
    </r>
    <r>
      <rPr>
        <sz val="10"/>
        <rFont val="Times New Roman"/>
        <family val="1"/>
      </rPr>
      <t>with suitable existing soil for structures.(Rate shall include for necessary compaction.)</t>
    </r>
  </si>
  <si>
    <t>4.1.2.2.4</t>
  </si>
  <si>
    <t>4.1.2.2.5</t>
  </si>
  <si>
    <t>4.1.2.2.6</t>
  </si>
  <si>
    <t>Total of Bill No 4.1.2 - Earthworks (Transfer to Summary of Bills of Quantities)</t>
  </si>
  <si>
    <t>BILL No. 4.1.3 - STRUCTURE CONSTRUCTION AND VEGETATION</t>
  </si>
  <si>
    <t>4.1.3.1</t>
  </si>
  <si>
    <t>4.1.3.1.1</t>
  </si>
  <si>
    <t>4.1.3.1.2</t>
  </si>
  <si>
    <t>4.1.3.1.3</t>
  </si>
  <si>
    <t>4.1.3.1.4</t>
  </si>
  <si>
    <t>4.1.3.2</t>
  </si>
  <si>
    <t>4.1.3.2.1</t>
  </si>
  <si>
    <t>4.1.3.2.2</t>
  </si>
  <si>
    <t>4.1.3.2.3</t>
  </si>
  <si>
    <t>4.1.3.2.4</t>
  </si>
  <si>
    <t>4.1.3.3</t>
  </si>
  <si>
    <t>4.1.3.3.1</t>
  </si>
  <si>
    <t>4.1.3.3.2</t>
  </si>
  <si>
    <t>4.1.3.4.1.3</t>
  </si>
  <si>
    <t>4.1.3.3.4</t>
  </si>
  <si>
    <t>4.1.3.4</t>
  </si>
  <si>
    <t>4.1.3.4.1</t>
  </si>
  <si>
    <t>4.1.3.4.2</t>
  </si>
  <si>
    <t>4.1.3.4.4</t>
  </si>
  <si>
    <t>4.1.3.5</t>
  </si>
  <si>
    <t>4.1.3.5.1</t>
  </si>
  <si>
    <t>4.1.3.5.2</t>
  </si>
  <si>
    <t>4.1.3.5.3</t>
  </si>
  <si>
    <t>4.1.3.5.4</t>
  </si>
  <si>
    <t>4.1.3.6</t>
  </si>
  <si>
    <t>4.1.3.6.1</t>
  </si>
  <si>
    <t>4.1.3.7</t>
  </si>
  <si>
    <t>COUNTERFORT RETAINING WALL</t>
  </si>
  <si>
    <t>4.1.3.7.1</t>
  </si>
  <si>
    <t>4.1.3.7.2</t>
  </si>
  <si>
    <t>Concrete C25/20 for walls</t>
  </si>
  <si>
    <t>4.1.3.7.3</t>
  </si>
  <si>
    <t>4.1.3.7.4</t>
  </si>
  <si>
    <t>Formwork for concrete sides of wall plain smooth finish</t>
  </si>
  <si>
    <t>4.1.3.7.5</t>
  </si>
  <si>
    <t>406(1)</t>
  </si>
  <si>
    <t>90mm dia. Type 600 uPVC weep holes</t>
  </si>
  <si>
    <t>4.1.3.8</t>
  </si>
  <si>
    <t>RRM RETAINING WALL - TYPE I</t>
  </si>
  <si>
    <t>4.1.3.8.1</t>
  </si>
  <si>
    <t>4.1.3.8.2</t>
  </si>
  <si>
    <t>Concrete C25/20 for and base of wall</t>
  </si>
  <si>
    <t>4.1.3.8.3</t>
  </si>
  <si>
    <t>4.1.3.8.4</t>
  </si>
  <si>
    <t>Formwork for concrete sides of wall</t>
  </si>
  <si>
    <t>4.1.3.8.5</t>
  </si>
  <si>
    <t>4.1.3.8.6</t>
  </si>
  <si>
    <t>603(1)</t>
  </si>
  <si>
    <t xml:space="preserve">RR masonry using cement sand 1:5 mortar </t>
  </si>
  <si>
    <t>4.1.3.8.7</t>
  </si>
  <si>
    <t>405(1)</t>
  </si>
  <si>
    <t>Aggregate backfill (20mm- 200mm)</t>
  </si>
  <si>
    <t>4.1.3.8.8</t>
  </si>
  <si>
    <t>603(3)</t>
  </si>
  <si>
    <t>20mm thick Cement: Sand, 1:3 Plastering</t>
  </si>
  <si>
    <t>4.1.3.8.9</t>
  </si>
  <si>
    <t>4.1.3.9</t>
  </si>
  <si>
    <t>4.1.3.9.1</t>
  </si>
  <si>
    <t>502(2)</t>
  </si>
  <si>
    <t>Turfing as directed by the Engineer, and regular maintanance for three months</t>
  </si>
  <si>
    <t>Total of Bill No 4.1.3 - Structure Construction (Transfer to Summary of Bills of Quantities)</t>
  </si>
  <si>
    <t>REDUCTION OF LANDSLIDE VULNERABILITY BY MITIGATION MEASURES NIVITHIGALA TOWN - QUANTITY CALCULATION</t>
  </si>
  <si>
    <t>~CS02</t>
  </si>
  <si>
    <t>CS02-CS03</t>
  </si>
  <si>
    <t>CS03~</t>
  </si>
  <si>
    <t>CFR wall</t>
  </si>
  <si>
    <t>CONTERFORT WALL CONSTRUCTIONS</t>
  </si>
  <si>
    <t>G15 Screed</t>
  </si>
  <si>
    <t>G25 Concrete</t>
  </si>
  <si>
    <t>triangle shape wall</t>
  </si>
  <si>
    <t>Formworks</t>
  </si>
  <si>
    <t>ddt</t>
  </si>
  <si>
    <t>3T25</t>
  </si>
  <si>
    <t>Lap</t>
  </si>
  <si>
    <t>T12</t>
  </si>
  <si>
    <t>T16</t>
  </si>
  <si>
    <t>2T10</t>
  </si>
  <si>
    <t>RRM wall type I</t>
  </si>
  <si>
    <t>20-200mm Aggregate filling</t>
  </si>
  <si>
    <t>lap</t>
  </si>
  <si>
    <t>uPVC weep hole</t>
  </si>
  <si>
    <t>~CS03</t>
  </si>
  <si>
    <t>CS03 - CS01</t>
  </si>
  <si>
    <t>CS01~</t>
  </si>
  <si>
    <t>BILL No. 4.2.1 - SITE CLEARING</t>
  </si>
  <si>
    <t>4.2.1.1</t>
  </si>
  <si>
    <t>Reshaping RRM wall &amp;</t>
  </si>
  <si>
    <t>Nailing</t>
  </si>
  <si>
    <t>4.2.1.1.1</t>
  </si>
  <si>
    <t>4.2.1.1.2</t>
  </si>
  <si>
    <t>4.2.1.1.3</t>
  </si>
  <si>
    <t>4.2.1.1.4</t>
  </si>
  <si>
    <t>4.2.1.1.5</t>
  </si>
  <si>
    <t>4.2.1.1.6</t>
  </si>
  <si>
    <t>4.2.1.1.7</t>
  </si>
  <si>
    <t>4.2.1.2</t>
  </si>
  <si>
    <t>4.2.1.2.1</t>
  </si>
  <si>
    <t>4.2.1.2.2</t>
  </si>
  <si>
    <t>Total of Bill No 4.2.1 - Site Clearing (Transfer to Summary of Bills of Quantities)</t>
  </si>
  <si>
    <t>BILL No. 4.2.2 - EARTHWORKS</t>
  </si>
  <si>
    <t>4.2.2.1</t>
  </si>
  <si>
    <t>4.2.2.1.1</t>
  </si>
  <si>
    <t>Excavation of slope up to required angle (suitable &amp; unsuitable soils including soft rock)</t>
  </si>
  <si>
    <t>4.2.2.1.2</t>
  </si>
  <si>
    <t>Excavation– Boulders (0.25 m3-1.0 m3) - Provisional Quantity</t>
  </si>
  <si>
    <t>4.2.2.1.3</t>
  </si>
  <si>
    <t>Excavation (chemical blasting) of Hard rock &gt; 1.0 m3 (Provisional Quantity)</t>
  </si>
  <si>
    <t>4.2.2.1.4</t>
  </si>
  <si>
    <t>Disposal of excess soils away from site( provisional Qty.)</t>
  </si>
  <si>
    <t>4.2.2.2</t>
  </si>
  <si>
    <t>4.2.2.2.1</t>
  </si>
  <si>
    <t>4.2.2.2.2</t>
  </si>
  <si>
    <r>
      <t xml:space="preserve">Excavation for  </t>
    </r>
    <r>
      <rPr>
        <b/>
        <sz val="10"/>
        <rFont val="Times New Roman"/>
        <family val="1"/>
      </rPr>
      <t xml:space="preserve">RRM Retaining Wall, </t>
    </r>
    <r>
      <rPr>
        <sz val="10"/>
        <rFont val="Times New Roman"/>
        <family val="1"/>
      </rPr>
      <t>soil suitable for filling including soft rock for reuse(Rate shall include Excavation &amp; Backfill for the working space)</t>
    </r>
  </si>
  <si>
    <t>4.2.2.2.3</t>
  </si>
  <si>
    <r>
      <t xml:space="preserve">Backfill behind the </t>
    </r>
    <r>
      <rPr>
        <b/>
        <sz val="10"/>
        <rFont val="Times New Roman"/>
        <family val="1"/>
      </rPr>
      <t>RRM Retaining Wall,</t>
    </r>
    <r>
      <rPr>
        <sz val="10"/>
        <rFont val="Times New Roman"/>
        <family val="1"/>
      </rPr>
      <t xml:space="preserve"> with suitable existing soil for structures.(Rate shall include for necessary compaction.)</t>
    </r>
  </si>
  <si>
    <t>4.2.2.2.4</t>
  </si>
  <si>
    <r>
      <t>Excavation of Boulders - 0.25 m</t>
    </r>
    <r>
      <rPr>
        <vertAlign val="superscript"/>
        <sz val="10"/>
        <rFont val="Times New Roman"/>
        <family val="1"/>
      </rPr>
      <t xml:space="preserve">3 </t>
    </r>
    <r>
      <rPr>
        <sz val="10"/>
        <rFont val="Times New Roman"/>
        <family val="1"/>
      </rPr>
      <t>- 1.0 m</t>
    </r>
    <r>
      <rPr>
        <vertAlign val="superscript"/>
        <sz val="10"/>
        <rFont val="Times New Roman"/>
        <family val="1"/>
      </rPr>
      <t>3</t>
    </r>
    <r>
      <rPr>
        <sz val="10"/>
        <rFont val="Times New Roman"/>
        <family val="1"/>
      </rPr>
      <t xml:space="preserve"> (Provisional Quantity)</t>
    </r>
  </si>
  <si>
    <t>4.2.2.2.5</t>
  </si>
  <si>
    <t>4.2.2.2.6</t>
  </si>
  <si>
    <t>Total of Bill No 4.2.2 - Earthworks (Transfer to Summary of Bills of Quantities)</t>
  </si>
  <si>
    <t>BILL No. 4.2.3 - STRUCTURE CONSTRUCTION</t>
  </si>
  <si>
    <t>4.2.3.1</t>
  </si>
  <si>
    <t>4.2.3.1.1</t>
  </si>
  <si>
    <t>4.2.3.1.2</t>
  </si>
  <si>
    <t>4.2.3.1.3</t>
  </si>
  <si>
    <t>4.2.3.1.4</t>
  </si>
  <si>
    <t>4.2.3.2</t>
  </si>
  <si>
    <t>4.2.3.2.1</t>
  </si>
  <si>
    <t>4.2.3.2.2</t>
  </si>
  <si>
    <t>4.2.3.2.3</t>
  </si>
  <si>
    <t>4.2.3.2.4</t>
  </si>
  <si>
    <t>4.2.3.3</t>
  </si>
  <si>
    <t>4.2.3.3.1</t>
  </si>
  <si>
    <t>4.2.3.3.2</t>
  </si>
  <si>
    <t>4.2.3.4.2.3</t>
  </si>
  <si>
    <t>4.2.3.3.4</t>
  </si>
  <si>
    <t>4.2.3.4</t>
  </si>
  <si>
    <t>DS(M)-D DRAIN</t>
  </si>
  <si>
    <t>4.2.3.4.1</t>
  </si>
  <si>
    <t>4.2.3.4.2</t>
  </si>
  <si>
    <t>4.2.3.4.3</t>
  </si>
  <si>
    <t>4.2.3.4.4</t>
  </si>
  <si>
    <t>4.2.3.5</t>
  </si>
  <si>
    <t>DS(B) TYPE II DRAIN</t>
  </si>
  <si>
    <t>4.2.3.5.1</t>
  </si>
  <si>
    <t>4.2.3.5.2</t>
  </si>
  <si>
    <t>4.2.3.5.3</t>
  </si>
  <si>
    <t>4.2.3.6</t>
  </si>
  <si>
    <t>CASCADE DRAIN DS(C)-C</t>
  </si>
  <si>
    <t>4.2.3.6.1</t>
  </si>
  <si>
    <t>4.2.3.6.2</t>
  </si>
  <si>
    <t>4.2.3.6.3</t>
  </si>
  <si>
    <t>4.2.3.6.4</t>
  </si>
  <si>
    <t>4.2.3.7</t>
  </si>
  <si>
    <t>4.2.3.7.1</t>
  </si>
  <si>
    <t>4.2.3.8</t>
  </si>
  <si>
    <t>RRM RETAINING WALL - TYPE III</t>
  </si>
  <si>
    <t>4.2.3.8.1</t>
  </si>
  <si>
    <t>4.2.3.8.2</t>
  </si>
  <si>
    <t>4.2.3.8.3</t>
  </si>
  <si>
    <t>4.2.3.8.4</t>
  </si>
  <si>
    <t>4.2.3.8.5</t>
  </si>
  <si>
    <t>4.2.3.8.6</t>
  </si>
  <si>
    <t>4.2.3.8.7</t>
  </si>
  <si>
    <t>4.2.3.8.8</t>
  </si>
  <si>
    <t>4.2.3.8.9</t>
  </si>
  <si>
    <t>Total of Bill No 4.2.3 - Structure Construction (Transfer to Summary of Bills of Quantities)</t>
  </si>
  <si>
    <t>BILL No. 4.2.4 - SOIL NAILING AND HORIZONTAL DRAINS</t>
  </si>
  <si>
    <t xml:space="preserve">Note : Dowels will be used for fixing wire mesh and boundary beams whenever necessary and will be paid seperately </t>
  </si>
  <si>
    <t>4.2.4.1</t>
  </si>
  <si>
    <t>SOIL NAILING</t>
  </si>
  <si>
    <t>4.2.4.1.1</t>
  </si>
  <si>
    <t>701(1)</t>
  </si>
  <si>
    <t>Temporary working platform for soil nailing works</t>
  </si>
  <si>
    <t>LS</t>
  </si>
  <si>
    <t>4.2.4.1.3</t>
  </si>
  <si>
    <t>701(2)b</t>
  </si>
  <si>
    <t>32mm dia. soil nails (less than or equal to 12m length) inserted into 125mm dia. bore hole with grouting</t>
  </si>
  <si>
    <t>4.2.4.1.4</t>
  </si>
  <si>
    <t>701(4)c</t>
  </si>
  <si>
    <t>Coated metallic mesh  Method including connecting clips and other necessary accessories as per detailed drawings of soil nailing</t>
  </si>
  <si>
    <t>4.2.4.1.5</t>
  </si>
  <si>
    <t>701(9)</t>
  </si>
  <si>
    <t>Grid beam (250x250)-concrete C 30/20 grid beams with nail heads including slope preparation, excavation, formwork, RF and dowels.</t>
  </si>
  <si>
    <t>4.2.4.1.6</t>
  </si>
  <si>
    <t>701(6)</t>
  </si>
  <si>
    <t>Concrete C30/20 boundary beams including slope preparation, excavation, formwork and reinforcement</t>
  </si>
  <si>
    <t>4.2.4.1.7</t>
  </si>
  <si>
    <t>701(10)</t>
  </si>
  <si>
    <t>Pull-Out test for test nails</t>
  </si>
  <si>
    <t>4.2.4.2</t>
  </si>
  <si>
    <t>Total of Bill No 4.2.4 - Soil Nailing and Horizontal Draining (Transfer to Summary of Bills of Quantities)</t>
  </si>
  <si>
    <t>BILL No. 4.2.5 - SLOPE PROTECTION BY VEGETATION</t>
  </si>
  <si>
    <t>4.2.5.1</t>
  </si>
  <si>
    <t>4.2.5.1.1</t>
  </si>
  <si>
    <t>701(5)</t>
  </si>
  <si>
    <t>Coir mesh</t>
  </si>
  <si>
    <t>4.2.5.1.2</t>
  </si>
  <si>
    <t>502(1)</t>
  </si>
  <si>
    <t>Turfing/Planting/Seeding on slope stabilized surface and regular maintenane for three months</t>
  </si>
  <si>
    <t>4.2.5.1.3</t>
  </si>
  <si>
    <t>ROUGH QTY</t>
  </si>
  <si>
    <t>Total of Bill No 4.2.5 - Incidential Construction (Transfer to Summary of Bills of Quantities)</t>
  </si>
  <si>
    <t>~CS01</t>
  </si>
  <si>
    <t>CS01 - CS02</t>
  </si>
  <si>
    <t>CS02 - CS03</t>
  </si>
  <si>
    <t>RRM Wall</t>
  </si>
  <si>
    <t>RRM CONSTRUCTIONS</t>
  </si>
  <si>
    <t>uPVC weep holes</t>
  </si>
  <si>
    <t>90mm dia</t>
  </si>
  <si>
    <t>Soil Nailing</t>
  </si>
  <si>
    <t>32mm dia                      10m</t>
  </si>
  <si>
    <t>32mm dia                        8m</t>
  </si>
  <si>
    <t>DS-B Type 2</t>
  </si>
  <si>
    <t>Site 60</t>
  </si>
  <si>
    <t xml:space="preserve">Backfilling </t>
  </si>
  <si>
    <t>Backfill (RRM wall)</t>
  </si>
  <si>
    <t>Excavation (RRM wall)</t>
  </si>
  <si>
    <t>DS M D</t>
  </si>
  <si>
    <t>DS B Type 2</t>
  </si>
  <si>
    <t>RRM Retaining wall</t>
  </si>
  <si>
    <t>Boundary Beam</t>
  </si>
  <si>
    <t>Grid Beams</t>
  </si>
  <si>
    <t>Geo Textile Length</t>
  </si>
  <si>
    <t>Nail 32 dia</t>
  </si>
  <si>
    <t>H Drain</t>
  </si>
  <si>
    <t>Site 84 Lo:01</t>
  </si>
  <si>
    <t>R-wall</t>
  </si>
  <si>
    <t>CS</t>
  </si>
  <si>
    <t xml:space="preserve">Excavation </t>
  </si>
  <si>
    <t>Backfill</t>
  </si>
  <si>
    <t>Counterfort RW</t>
  </si>
  <si>
    <t>CS03</t>
  </si>
  <si>
    <t>RRM Ret. Wall</t>
  </si>
  <si>
    <t>BILL No. 5.1 - SITE CLEARING</t>
  </si>
  <si>
    <t>5.1.1</t>
  </si>
  <si>
    <t xml:space="preserve">Leaning Retaining </t>
  </si>
  <si>
    <t>5.1.1.1</t>
  </si>
  <si>
    <t>5.1.1.2</t>
  </si>
  <si>
    <t>5.1.1.3</t>
  </si>
  <si>
    <t>5.1.1.4</t>
  </si>
  <si>
    <t>5.1.1.5</t>
  </si>
  <si>
    <t>5.1.1.6</t>
  </si>
  <si>
    <t>5.1.1.7</t>
  </si>
  <si>
    <t>5.1.2</t>
  </si>
  <si>
    <t>5.1.2.1</t>
  </si>
  <si>
    <t>5.1.2.2</t>
  </si>
  <si>
    <t>Total of Bill No 5.1 - Site Clearing (Transfer to Summary of Bills of Quantities)</t>
  </si>
  <si>
    <t>BILL No. 5.2 - EARTHWORKS</t>
  </si>
  <si>
    <t>5.2.1</t>
  </si>
  <si>
    <t>5.2.1.1</t>
  </si>
  <si>
    <t>Rough Quantity</t>
  </si>
  <si>
    <t>5.2.1.2</t>
  </si>
  <si>
    <t>5.2.1.3</t>
  </si>
  <si>
    <t>5.2.1.4</t>
  </si>
  <si>
    <t>5.2.2</t>
  </si>
  <si>
    <t>5.2.2.1</t>
  </si>
  <si>
    <t>5.2.2.2</t>
  </si>
  <si>
    <r>
      <t xml:space="preserve">Excavation for </t>
    </r>
    <r>
      <rPr>
        <b/>
        <sz val="10"/>
        <rFont val="Times New Roman"/>
        <family val="1"/>
      </rPr>
      <t xml:space="preserve">Retaining wall, </t>
    </r>
    <r>
      <rPr>
        <sz val="10"/>
        <rFont val="Times New Roman"/>
        <family val="1"/>
      </rPr>
      <t>soil suitable for filling including soft rock for reuse(Rate shall include Excavation &amp; Backfill for the working space)</t>
    </r>
  </si>
  <si>
    <t>5.2.2.3</t>
  </si>
  <si>
    <r>
      <t xml:space="preserve">Backfill behind the </t>
    </r>
    <r>
      <rPr>
        <b/>
        <sz val="10"/>
        <rFont val="Times New Roman"/>
        <family val="1"/>
      </rPr>
      <t>Retaining wall</t>
    </r>
    <r>
      <rPr>
        <sz val="10"/>
        <rFont val="Times New Roman"/>
        <family val="1"/>
      </rPr>
      <t xml:space="preserve"> with suitable existing soil for structures.(Rate shall include for necessary compaction.)</t>
    </r>
  </si>
  <si>
    <t>5.2.2.4</t>
  </si>
  <si>
    <t>5.2.2.5</t>
  </si>
  <si>
    <t>5.2.2.6</t>
  </si>
  <si>
    <t>Total of Bill No 5.2 - Earthworks (Transfer to Summary of Bills of Quantities)</t>
  </si>
  <si>
    <t>BILL No. 5.3 - STRUCTURE CONSTRUCTION &amp; VEGETATION</t>
  </si>
  <si>
    <t>5.3.1</t>
  </si>
  <si>
    <t>5.3.1.1</t>
  </si>
  <si>
    <t>5.3.1.2</t>
  </si>
  <si>
    <t>5.3.1.3</t>
  </si>
  <si>
    <t>5.3.1.4</t>
  </si>
  <si>
    <t>5.3.3</t>
  </si>
  <si>
    <t>5.3.3.1</t>
  </si>
  <si>
    <t>5.3.5</t>
  </si>
  <si>
    <t>5.3.5.1</t>
  </si>
  <si>
    <t>LEANING RETAINING WALL</t>
  </si>
  <si>
    <t>Concrete C25/20 for Retaining Wall and Base</t>
  </si>
  <si>
    <t>Formwork for concrete sides of retaining wall plain smooth finish</t>
  </si>
  <si>
    <t>Weep hole using  PVC pipe (type 600) - 50mm dia</t>
  </si>
  <si>
    <t>405(2)</t>
  </si>
  <si>
    <t>Geotextile/ Filter fabric</t>
  </si>
  <si>
    <t>Total of Bill No 5.3 - Structure Construction (Transfer to Summary of Bills of Quantities)</t>
  </si>
  <si>
    <t>REDUCTION OF LANDSLIDE VULNERABILITY BY MITIGATION MEASURES SITE 86 - QUANTITY CALCULATION</t>
  </si>
  <si>
    <t>~CS 03</t>
  </si>
  <si>
    <t>CS03 - CS05</t>
  </si>
  <si>
    <t>CS05 - CS06</t>
  </si>
  <si>
    <t>CS06~</t>
  </si>
  <si>
    <t>Retaining Wall</t>
  </si>
  <si>
    <t>m4</t>
  </si>
  <si>
    <t>RRM work</t>
  </si>
  <si>
    <t>Aggrigate filling</t>
  </si>
  <si>
    <t>weep hole</t>
  </si>
  <si>
    <t>~CS 01</t>
  </si>
  <si>
    <t>CS02~</t>
  </si>
  <si>
    <t>Site 86</t>
  </si>
  <si>
    <t>Excavation (Re.Ret.wall)</t>
  </si>
  <si>
    <t>Backfill (Re.Ret.wall)</t>
  </si>
  <si>
    <t>G15</t>
  </si>
  <si>
    <t>Geo textile</t>
  </si>
  <si>
    <t>Dowel</t>
  </si>
  <si>
    <t xml:space="preserve">Retaining Wall </t>
  </si>
  <si>
    <t>Resting Type</t>
  </si>
  <si>
    <t>BILL No. 6.1 - SITE CLEARING</t>
  </si>
  <si>
    <t>6.1.1</t>
  </si>
  <si>
    <t>CLEARING &amp; GRUBBING</t>
  </si>
  <si>
    <t>6.1.1.1</t>
  </si>
  <si>
    <t xml:space="preserve">Clearing in turfing area has to be taken after receiving CS 10 </t>
  </si>
  <si>
    <t>6.1.1.2</t>
  </si>
  <si>
    <t>6.1.1.3</t>
  </si>
  <si>
    <t>Removal of trees: 600 ≤ Girth &lt; 1,200 mm</t>
  </si>
  <si>
    <t>6.1.1.4</t>
  </si>
  <si>
    <t>6.1.1.5</t>
  </si>
  <si>
    <t>6.1.1.6</t>
  </si>
  <si>
    <t>6.1.1.7</t>
  </si>
  <si>
    <t>6.1.2</t>
  </si>
  <si>
    <t>6.1.2.1</t>
  </si>
  <si>
    <t>6.1.2.2</t>
  </si>
  <si>
    <t>Removal of existing srtuctures and related work</t>
  </si>
  <si>
    <t>PS</t>
  </si>
  <si>
    <t>Allow for overhead and profit by the contractor for Removal of existing srtuctures and related work</t>
  </si>
  <si>
    <t>item</t>
  </si>
  <si>
    <t>%</t>
  </si>
  <si>
    <t>Total of Bill No 6.1 - Site Clearing (Transfer to Summary of Bills of Quantities)</t>
  </si>
  <si>
    <t>BILL No. 6.2 - EARTHWORKS</t>
  </si>
  <si>
    <t>6.2.1</t>
  </si>
  <si>
    <t>6.2.1.1</t>
  </si>
  <si>
    <t xml:space="preserve">Excavation volume has to be taken after receiving CS 10 </t>
  </si>
  <si>
    <t>6.2.1.2</t>
  </si>
  <si>
    <t>6.2.1.3</t>
  </si>
  <si>
    <t>6.2.1.4</t>
  </si>
  <si>
    <t xml:space="preserve">Disposal volume has to be taken after receiving CS 10 </t>
  </si>
  <si>
    <t>6.2.2</t>
  </si>
  <si>
    <t>6.2.2.1</t>
  </si>
  <si>
    <t>6.2.2.2</t>
  </si>
  <si>
    <r>
      <t xml:space="preserve">Excavation for </t>
    </r>
    <r>
      <rPr>
        <b/>
        <sz val="10"/>
        <rFont val="Times New Roman"/>
        <family val="1"/>
      </rPr>
      <t xml:space="preserve"> Cantilever Retaining walls and RRM Retaining Wall, </t>
    </r>
    <r>
      <rPr>
        <sz val="10"/>
        <rFont val="Times New Roman"/>
        <family val="1"/>
      </rPr>
      <t>soil suitable for filling including soft rock for reuse(Rate shall include Excavation &amp; Backfill for the working space)</t>
    </r>
  </si>
  <si>
    <t>6.2.2.3</t>
  </si>
  <si>
    <r>
      <t xml:space="preserve">Backfill behind the </t>
    </r>
    <r>
      <rPr>
        <b/>
        <sz val="10"/>
        <rFont val="Times New Roman"/>
        <family val="1"/>
      </rPr>
      <t>Cantilever Retaining walls and RRM Retaining Wall</t>
    </r>
    <r>
      <rPr>
        <sz val="10"/>
        <rFont val="Times New Roman"/>
        <family val="1"/>
      </rPr>
      <t xml:space="preserve"> with suitable existing soil.(Rate shall include for necessary compaction.)</t>
    </r>
  </si>
  <si>
    <r>
      <t xml:space="preserve">Backfill behind the </t>
    </r>
    <r>
      <rPr>
        <b/>
        <sz val="10"/>
        <rFont val="Times New Roman"/>
        <family val="1"/>
      </rPr>
      <t>Cantilever Retaining walls and RRM Retaining Wall</t>
    </r>
    <r>
      <rPr>
        <sz val="10"/>
        <rFont val="Times New Roman"/>
        <family val="1"/>
      </rPr>
      <t xml:space="preserve"> with imported soil..(Rate shall include for necessary compaction.)</t>
    </r>
  </si>
  <si>
    <t>6.2.2.4</t>
  </si>
  <si>
    <t>6.2.2.5</t>
  </si>
  <si>
    <t>6.2.2.6</t>
  </si>
  <si>
    <t>Total of Bill No 6.2 - Earthworks (Transfer to Summary of Bills of Quantities)</t>
  </si>
  <si>
    <t>BILL No. 6.3 - STRUCTURE CONSTRUCTION</t>
  </si>
  <si>
    <t>6.3.1</t>
  </si>
  <si>
    <t>6.3.1.1</t>
  </si>
  <si>
    <t>6.3.1.2</t>
  </si>
  <si>
    <t>6.3.1.3</t>
  </si>
  <si>
    <t>6.3.1.4</t>
  </si>
  <si>
    <t>6.3.2</t>
  </si>
  <si>
    <t>6.3.2.1</t>
  </si>
  <si>
    <t>6.3.2.2</t>
  </si>
  <si>
    <t>6.3.2.3</t>
  </si>
  <si>
    <t>6.3.2.4</t>
  </si>
  <si>
    <t>6.3.3</t>
  </si>
  <si>
    <t xml:space="preserve">DS(C)-B CASCADE DRAIN </t>
  </si>
  <si>
    <t>6.3.3.1</t>
  </si>
  <si>
    <t>6.3.3.2</t>
  </si>
  <si>
    <t>6.3.3.3</t>
  </si>
  <si>
    <t>6.3.3.4</t>
  </si>
  <si>
    <t>6.3.4</t>
  </si>
  <si>
    <t xml:space="preserve">CANTILEVER RETAING WALL - TYPE I </t>
  </si>
  <si>
    <t>6.3.4.1</t>
  </si>
  <si>
    <t xml:space="preserve">Concrete C20/20 for beds poured on or against earth or un-blinded hardcore for levelling purpose </t>
  </si>
  <si>
    <t>6.3.4.2</t>
  </si>
  <si>
    <t xml:space="preserve">Concrete C25/20 for walls and base. Rate shall include expansion joints </t>
  </si>
  <si>
    <t>6.3.4.3</t>
  </si>
  <si>
    <t>6.3.4.4</t>
  </si>
  <si>
    <t>Formwork for concrete sides of walls plain smooth finish</t>
  </si>
  <si>
    <t>6.3.4.5</t>
  </si>
  <si>
    <t>6.3.4.6</t>
  </si>
  <si>
    <t>302(5)</t>
  </si>
  <si>
    <t>Backfill with crush stone aggregate (20-200mm)</t>
  </si>
  <si>
    <t>6.3.4.7</t>
  </si>
  <si>
    <t>90mm dia. PVC Weep holes (type 600) for walls</t>
  </si>
  <si>
    <t>6.3.5</t>
  </si>
  <si>
    <t>CANTILEVER RETAING WALL - TYPE II</t>
  </si>
  <si>
    <t>6.3.5.1</t>
  </si>
  <si>
    <t>6.3.5.2</t>
  </si>
  <si>
    <t>6.3.5.3</t>
  </si>
  <si>
    <t>6.3.5.4</t>
  </si>
  <si>
    <t>6.3.5.5</t>
  </si>
  <si>
    <t>6.3.5.6</t>
  </si>
  <si>
    <t>6.3.5.7</t>
  </si>
  <si>
    <t>6.3.6</t>
  </si>
  <si>
    <t>6.3.6.1</t>
  </si>
  <si>
    <t>6.3.7</t>
  </si>
  <si>
    <t>RRM RETAINING WALL - TYPE II</t>
  </si>
  <si>
    <t>6.3.7.1</t>
  </si>
  <si>
    <t>6.3.7.2</t>
  </si>
  <si>
    <t xml:space="preserve">Concrete C25/20 for base. Rate shall include expansion joints </t>
  </si>
  <si>
    <t>6.3.7.3</t>
  </si>
  <si>
    <t>6.3.7.4</t>
  </si>
  <si>
    <t>6.3.7.5</t>
  </si>
  <si>
    <t>RR Masonry using cement mortar</t>
  </si>
  <si>
    <t>6.3.7.6</t>
  </si>
  <si>
    <t>6.3.7.7</t>
  </si>
  <si>
    <t>6.3.7.8</t>
  </si>
  <si>
    <t>6.3.7.9</t>
  </si>
  <si>
    <t>6.3.8</t>
  </si>
  <si>
    <t xml:space="preserve">COVER SLABS </t>
  </si>
  <si>
    <t>6.3.8.1</t>
  </si>
  <si>
    <t>6.3.8.2</t>
  </si>
  <si>
    <t>6.3.8.3</t>
  </si>
  <si>
    <t>Total of Bill No 6.3 - Structure Construction (Transfer to Summary of Bills of Quantities)</t>
  </si>
  <si>
    <t>BILL No. 6.4 - INCIDENTAL CONSTRUCTION</t>
  </si>
  <si>
    <t>6.4.1</t>
  </si>
  <si>
    <t>6.4.1.1</t>
  </si>
  <si>
    <t xml:space="preserve">Turfing Qty has to be taken after receiving CS 10 </t>
  </si>
  <si>
    <t>6.4.2</t>
  </si>
  <si>
    <t>SAFETY FENCE (CHAIN LINK FENCE)</t>
  </si>
  <si>
    <t>6.4.2.1</t>
  </si>
  <si>
    <t>504(1)</t>
  </si>
  <si>
    <t>Chain link wire fence, core wire diameter 3.0 mm with 50mm x 50mm openings, fence height 1.5 m, including GI pipes / posts(in 2m intervals), Excavation, Concrete works and all as per thedetailed  drawing</t>
  </si>
  <si>
    <t>Total of Bill No 6.4 - Soil Nailing and Horizontal Draining (Transfer to Summary of Bills of Quantities)</t>
  </si>
  <si>
    <t>LOCATION 114-1 QUANTITY CALCULATION</t>
  </si>
  <si>
    <t xml:space="preserve">Turfing area </t>
  </si>
  <si>
    <t>CS 10?</t>
  </si>
  <si>
    <t>Cantilever Type I or III?</t>
  </si>
  <si>
    <t xml:space="preserve">Cantilever wall - Type I &amp; Type II </t>
  </si>
  <si>
    <t xml:space="preserve">Drains </t>
  </si>
  <si>
    <t xml:space="preserve">RRM Wall </t>
  </si>
  <si>
    <t>~CS 10</t>
  </si>
  <si>
    <t xml:space="preserve">Disposal of Excavated soil </t>
  </si>
  <si>
    <t xml:space="preserve">Cantilever Wall - Type I </t>
  </si>
  <si>
    <t>~CS08</t>
  </si>
  <si>
    <t>CS 07</t>
  </si>
  <si>
    <t>CS 04</t>
  </si>
  <si>
    <t>CS 19</t>
  </si>
  <si>
    <t>CS 11</t>
  </si>
  <si>
    <t>Cantilever Wall - Type II</t>
  </si>
  <si>
    <t>RRM retaining Wall - Type II</t>
  </si>
  <si>
    <t xml:space="preserve">Disposal of excavated soil </t>
  </si>
  <si>
    <t xml:space="preserve">C20 Conc </t>
  </si>
  <si>
    <t xml:space="preserve">C25 Conc </t>
  </si>
  <si>
    <t xml:space="preserve">Formwork </t>
  </si>
  <si>
    <t>Geotextile</t>
  </si>
  <si>
    <t>20-200mm agregate fill</t>
  </si>
  <si>
    <t>Weep holes</t>
  </si>
  <si>
    <t xml:space="preserve">polythene </t>
  </si>
  <si>
    <t xml:space="preserve">16mm dowels </t>
  </si>
  <si>
    <t xml:space="preserve">Reinforcement </t>
  </si>
  <si>
    <t xml:space="preserve">Cantilever Wall - Type II </t>
  </si>
  <si>
    <t xml:space="preserve">RRM Retaining Wall </t>
  </si>
  <si>
    <t xml:space="preserve">C15 Screed Conc </t>
  </si>
  <si>
    <t xml:space="preserve">cover slabs </t>
  </si>
  <si>
    <t>20-200mm aggregate backfill</t>
  </si>
  <si>
    <t>90mm weep holes</t>
  </si>
  <si>
    <t xml:space="preserve">Geotextile </t>
  </si>
  <si>
    <t xml:space="preserve">Cement;Sand plaster </t>
  </si>
  <si>
    <t xml:space="preserve">Reinforcemnt </t>
  </si>
  <si>
    <t xml:space="preserve">Vertical </t>
  </si>
  <si>
    <t xml:space="preserve">Cover Slabs </t>
  </si>
  <si>
    <t>Horizontal</t>
  </si>
  <si>
    <t xml:space="preserve">Chain Link Fence </t>
  </si>
  <si>
    <t xml:space="preserve">Turfing </t>
  </si>
  <si>
    <t>Turfing.</t>
  </si>
  <si>
    <t xml:space="preserve">Wall Type </t>
  </si>
  <si>
    <t>T1</t>
  </si>
  <si>
    <t>T2</t>
  </si>
  <si>
    <t>t3</t>
  </si>
  <si>
    <t>Ln</t>
  </si>
  <si>
    <t>C20 thicness</t>
  </si>
  <si>
    <t>Bar 1(Dia)</t>
  </si>
  <si>
    <t>Spacing</t>
  </si>
  <si>
    <t>Bar 2(Dia)</t>
  </si>
  <si>
    <t xml:space="preserve">Type I </t>
  </si>
  <si>
    <t xml:space="preserve">Type II </t>
  </si>
  <si>
    <t>Type III</t>
  </si>
  <si>
    <t xml:space="preserve">Qty </t>
  </si>
  <si>
    <t xml:space="preserve">Length </t>
  </si>
  <si>
    <t>Conc. C20</t>
  </si>
  <si>
    <t>Conc. C25</t>
  </si>
  <si>
    <t>Geotex</t>
  </si>
  <si>
    <t>Aggre fill</t>
  </si>
  <si>
    <t>Weep hole</t>
  </si>
  <si>
    <t xml:space="preserve">Polythene </t>
  </si>
  <si>
    <t>16mm dowel(1m)</t>
  </si>
  <si>
    <t>Add Lap</t>
  </si>
  <si>
    <t>Bar 1</t>
  </si>
  <si>
    <t>Bar 2</t>
  </si>
  <si>
    <t>Type II</t>
  </si>
  <si>
    <t>T12 / T10</t>
  </si>
  <si>
    <t>BILL No. 7.1 - SITE CLEARING</t>
  </si>
  <si>
    <t>7.1.1</t>
  </si>
  <si>
    <t>7.1.1.1</t>
  </si>
  <si>
    <t>7.1.1.2</t>
  </si>
  <si>
    <t>7.1.1.3</t>
  </si>
  <si>
    <t>7.1.1.4</t>
  </si>
  <si>
    <t>7.1.1.5</t>
  </si>
  <si>
    <t>7.1.1.6</t>
  </si>
  <si>
    <t>7.1.1.7</t>
  </si>
  <si>
    <t>7.1.2</t>
  </si>
  <si>
    <t>7.1.2.1</t>
  </si>
  <si>
    <t>7.1.2.2</t>
  </si>
  <si>
    <t>Total of Bill No 7.1 - Site Clearing (Transfer to Summary of Bills of Quantities)</t>
  </si>
  <si>
    <t>BILL No. 7.2 - EARTHWORKS</t>
  </si>
  <si>
    <t>7.2.1</t>
  </si>
  <si>
    <t>7.2.1.1</t>
  </si>
  <si>
    <t>7.2.1.2</t>
  </si>
  <si>
    <t>7.2.1.3</t>
  </si>
  <si>
    <t>7.2.1.4</t>
  </si>
  <si>
    <t>7.2.2</t>
  </si>
  <si>
    <t>7.2.2.1</t>
  </si>
  <si>
    <t>7.2.2.2</t>
  </si>
  <si>
    <r>
      <t xml:space="preserve">Excavation for </t>
    </r>
    <r>
      <rPr>
        <b/>
        <sz val="10"/>
        <rFont val="Times New Roman"/>
        <family val="1"/>
      </rPr>
      <t xml:space="preserve"> Rip Rap Protection Wall, </t>
    </r>
    <r>
      <rPr>
        <sz val="10"/>
        <rFont val="Times New Roman"/>
        <family val="1"/>
      </rPr>
      <t>soil suitable for filling including soft rock for reuse(Rate shall include Excavation &amp; Backfill for the working space)</t>
    </r>
  </si>
  <si>
    <t>7.2.2.3</t>
  </si>
  <si>
    <r>
      <t xml:space="preserve">Backfill behind the </t>
    </r>
    <r>
      <rPr>
        <b/>
        <sz val="10"/>
        <rFont val="Times New Roman"/>
        <family val="1"/>
      </rPr>
      <t>Rip Rap Protection Wall</t>
    </r>
    <r>
      <rPr>
        <sz val="10"/>
        <rFont val="Times New Roman"/>
        <family val="1"/>
      </rPr>
      <t xml:space="preserve"> with suitable existing soil for structures.(Rate shall include for necessary compaction.)</t>
    </r>
  </si>
  <si>
    <t>7.2.2.4</t>
  </si>
  <si>
    <t>7.2.2.5</t>
  </si>
  <si>
    <t>7.2.2.6</t>
  </si>
  <si>
    <t>7.2.3</t>
  </si>
  <si>
    <t>TENSION CRACK SEALING</t>
  </si>
  <si>
    <t>7.2.3.1</t>
  </si>
  <si>
    <t>306(2)</t>
  </si>
  <si>
    <t>Tension crack sealing by Filling Type I Soil</t>
  </si>
  <si>
    <t>Total of Bill No 7.2 - Earthworks (Transfer to Summary of Bills of Quantities)</t>
  </si>
  <si>
    <t>BILL No. 7.3 - STRUCTURE CONSTRUCTION</t>
  </si>
  <si>
    <t>7.3.1</t>
  </si>
  <si>
    <t>7.3.1.1</t>
  </si>
  <si>
    <t>7.3.1.2</t>
  </si>
  <si>
    <t>7.3.1.3</t>
  </si>
  <si>
    <t>7.3.1.4</t>
  </si>
  <si>
    <t>7.3.2</t>
  </si>
  <si>
    <t>7.3.2.1</t>
  </si>
  <si>
    <t>7.3.2.2</t>
  </si>
  <si>
    <t>7.3.2.3</t>
  </si>
  <si>
    <t>7.3.2.4</t>
  </si>
  <si>
    <t>7.3.3</t>
  </si>
  <si>
    <t xml:space="preserve">BERM SEALING </t>
  </si>
  <si>
    <t>7.3.3.1</t>
  </si>
  <si>
    <t xml:space="preserve">Concrete C25/20 for berm sealing. Rate shall include expansion joints </t>
  </si>
  <si>
    <t>7.3.3.2</t>
  </si>
  <si>
    <t>7.3.4</t>
  </si>
  <si>
    <t>7.3.4.1</t>
  </si>
  <si>
    <t>7.3.4.2</t>
  </si>
  <si>
    <t>7.3.7.3</t>
  </si>
  <si>
    <t>7.3.4.4</t>
  </si>
  <si>
    <t>7.3.5</t>
  </si>
  <si>
    <t>7.3.5.1</t>
  </si>
  <si>
    <t>7.3.5.2</t>
  </si>
  <si>
    <t>7.3.5.3</t>
  </si>
  <si>
    <t>7.3.5.4</t>
  </si>
  <si>
    <t>7.3.6</t>
  </si>
  <si>
    <t xml:space="preserve">DS(C)-C CASCADE DRAIN </t>
  </si>
  <si>
    <t>7.3.6.1</t>
  </si>
  <si>
    <t>7.3.6.2</t>
  </si>
  <si>
    <t>7.3.6.3</t>
  </si>
  <si>
    <t>7.3.6.4</t>
  </si>
  <si>
    <t>7.3.7</t>
  </si>
  <si>
    <t xml:space="preserve">DS(C)-E CASCADE DRAIN </t>
  </si>
  <si>
    <t>7.3.7.1</t>
  </si>
  <si>
    <t>7.3.7.2</t>
  </si>
  <si>
    <t>7.3.7.4</t>
  </si>
  <si>
    <t>7.3.8</t>
  </si>
  <si>
    <t xml:space="preserve">EROSION PROTECTION DRAIN </t>
  </si>
  <si>
    <t>7.3.8.1</t>
  </si>
  <si>
    <t>Walls with Gabion and Reno Mattresses (PVC coated galvanized wire)</t>
  </si>
  <si>
    <t>7.3.9</t>
  </si>
  <si>
    <t>7.3.9.1</t>
  </si>
  <si>
    <t>7.3.10</t>
  </si>
  <si>
    <t xml:space="preserve">RIP-RAP PROTECTION WALL </t>
  </si>
  <si>
    <t>7.3.10.1</t>
  </si>
  <si>
    <t>7.3.10.2</t>
  </si>
  <si>
    <t>7.3.10.3</t>
  </si>
  <si>
    <t>Weep hole using  PVC pipe (type 600) - 90mm dia</t>
  </si>
  <si>
    <t>Total of Bill No 7.3 - Structure Construction (Transfer to Summary of Bills of Quantities)</t>
  </si>
  <si>
    <t>BILL No. 7.4 - HORIZONTAL DRAINS AND  VEGETATION</t>
  </si>
  <si>
    <t>7.4.1</t>
  </si>
  <si>
    <t>7.4.1.1</t>
  </si>
  <si>
    <t>7.4.2</t>
  </si>
  <si>
    <t>7.4.2.1</t>
  </si>
  <si>
    <t>Total of Bill No 7.4 - Horizontal Drains and Vegetation (Transfer to Summary of Bills of Quantities)</t>
  </si>
  <si>
    <t xml:space="preserve">Long drain areas </t>
  </si>
  <si>
    <t>CS 06</t>
  </si>
  <si>
    <t>~CS 07</t>
  </si>
  <si>
    <t>~CS 08</t>
  </si>
  <si>
    <t xml:space="preserve">Clarify with Designer </t>
  </si>
  <si>
    <t>Crack Sealing</t>
  </si>
  <si>
    <t xml:space="preserve">Canal Area </t>
  </si>
  <si>
    <t>~CS 06</t>
  </si>
  <si>
    <t>~CS 11</t>
  </si>
  <si>
    <t>~CS 15</t>
  </si>
  <si>
    <t xml:space="preserve">Rip Rap Protection Wall </t>
  </si>
  <si>
    <t>~CS06</t>
  </si>
  <si>
    <t xml:space="preserve">Berm Sealing </t>
  </si>
  <si>
    <t>~CS15</t>
  </si>
  <si>
    <t xml:space="preserve">Erosion Protection Drain </t>
  </si>
  <si>
    <t>CS 15</t>
  </si>
  <si>
    <t xml:space="preserve">RIP RAP PROTECTION WALL </t>
  </si>
  <si>
    <t>RRM wall</t>
  </si>
  <si>
    <t>20-40mm Aggregate filling</t>
  </si>
  <si>
    <t>50mm weep holes</t>
  </si>
  <si>
    <t>Drain Gabion Wall</t>
  </si>
  <si>
    <t xml:space="preserve">C25 concrete </t>
  </si>
  <si>
    <t>Crack sealing Area</t>
  </si>
  <si>
    <t>BILL No.8.1.1 - SITE CLEARING</t>
  </si>
  <si>
    <t>8.1.1.1</t>
  </si>
  <si>
    <t>Darin</t>
  </si>
  <si>
    <t>8.1.1.1.1</t>
  </si>
  <si>
    <t>8.1.1.1.2</t>
  </si>
  <si>
    <t>8.1.1.1.3</t>
  </si>
  <si>
    <t>8.1.1.1.4</t>
  </si>
  <si>
    <t>8.1.1.1.5</t>
  </si>
  <si>
    <t>8.1.1.1.6</t>
  </si>
  <si>
    <t>Removal of stumps of previously fallen trees; 300≤ Girth&lt; 600mm</t>
  </si>
  <si>
    <t>8.1.1.1.7</t>
  </si>
  <si>
    <t>8.1.1.2</t>
  </si>
  <si>
    <t>8.1.1.2.1</t>
  </si>
  <si>
    <t>8.1.1.2.2</t>
  </si>
  <si>
    <t>Total of Bill No 8.1.1 - Site Clearing (Transfer to Summary of Bills of Quantities)</t>
  </si>
  <si>
    <t>BILL No. 8.1.2- EARTH WORKS</t>
  </si>
  <si>
    <t>8.1.2.1</t>
  </si>
  <si>
    <t>SLOPE EXCAVATION</t>
  </si>
  <si>
    <t>8.1.2.1.1</t>
  </si>
  <si>
    <t>301 (1)</t>
  </si>
  <si>
    <t>8.1.2.1.2</t>
  </si>
  <si>
    <t>8.1.2.1.3</t>
  </si>
  <si>
    <t>Excavation (chemical blasting) and disposal of Hard rock &gt; 1.0 m3 ( rate shall include for backfilling holes )</t>
  </si>
  <si>
    <t>8.1.2.1.4</t>
  </si>
  <si>
    <t>8.1.2.2</t>
  </si>
  <si>
    <t>8.1.2.2.1</t>
  </si>
  <si>
    <r>
      <t xml:space="preserve">Excavation for  </t>
    </r>
    <r>
      <rPr>
        <b/>
        <sz val="10"/>
        <rFont val="Times New Roman"/>
        <family val="1"/>
      </rPr>
      <t>Drains,Catchpits</t>
    </r>
    <r>
      <rPr>
        <sz val="10"/>
        <rFont val="Times New Roman"/>
        <family val="1"/>
      </rPr>
      <t xml:space="preserve"> and disposal of excavated soil away from site (Rate shall include Backfill for the working space)</t>
    </r>
  </si>
  <si>
    <t>8.1.2.2.2</t>
  </si>
  <si>
    <t>302(4)</t>
  </si>
  <si>
    <r>
      <t xml:space="preserve">Excavation for </t>
    </r>
    <r>
      <rPr>
        <b/>
        <sz val="10"/>
        <rFont val="Times New Roman"/>
        <family val="1"/>
      </rPr>
      <t>Gabion Walls</t>
    </r>
    <r>
      <rPr>
        <sz val="10"/>
        <rFont val="Times New Roman"/>
        <family val="1"/>
      </rPr>
      <t>, soil suitable for filling including soft rock for reuse</t>
    </r>
  </si>
  <si>
    <t>8.1.2.2.3</t>
  </si>
  <si>
    <t>8.1.2.2.4</t>
  </si>
  <si>
    <t>8.1.2.2.5</t>
  </si>
  <si>
    <t>Backfill with suitable soil for gabion wall</t>
  </si>
  <si>
    <t>8.1.2.2.6</t>
  </si>
  <si>
    <t xml:space="preserve">Disposal of excess soil away from site </t>
  </si>
  <si>
    <t>Total of Bill No 8.1.2 - Earthworks (Transfer to Summary of Bills of Quantities)</t>
  </si>
  <si>
    <t>BILL No. 8.1.3 - STRUCTURE CONSTRUCTION</t>
  </si>
  <si>
    <t>8.1.3.1</t>
  </si>
  <si>
    <t>DS(M)B DRAIN</t>
  </si>
  <si>
    <t>8.1.3.1.1</t>
  </si>
  <si>
    <t>Lean Concrete C15/20 for beds poured on or against earth or unblinded hardcore</t>
  </si>
  <si>
    <t>8.1.3.1.2</t>
  </si>
  <si>
    <t xml:space="preserve">Concrete C25/20 for walls and base of drains .Rate shall include expansion joints </t>
  </si>
  <si>
    <t>8.1.3.1.3</t>
  </si>
  <si>
    <t>8.1.3.1.4</t>
  </si>
  <si>
    <t>8.1.3.2</t>
  </si>
  <si>
    <t>DS(M)C DRAIN</t>
  </si>
  <si>
    <t>8.1.3.2.1</t>
  </si>
  <si>
    <t>8.1.3.2.2</t>
  </si>
  <si>
    <t>8.1.3.2.3</t>
  </si>
  <si>
    <t>8.1.3.2.4</t>
  </si>
  <si>
    <t>8.1.3.3</t>
  </si>
  <si>
    <t>DS(C) B  DRAIN</t>
  </si>
  <si>
    <t>8.1.3.3.1</t>
  </si>
  <si>
    <t>8.1.3.3.2</t>
  </si>
  <si>
    <t>8.1.3.3.3</t>
  </si>
  <si>
    <t>8.1.3.3.4</t>
  </si>
  <si>
    <t>8.1.3.4</t>
  </si>
  <si>
    <t>HOT DIPPED GALVANIZED MILD STEEL DOWELS</t>
  </si>
  <si>
    <t>8.1.3.4.1</t>
  </si>
  <si>
    <t>8.1.3.5</t>
  </si>
  <si>
    <t>8.1.3.5.1</t>
  </si>
  <si>
    <t xml:space="preserve">Construction of  Gabion wall (PVC coated galvanized wire) </t>
  </si>
  <si>
    <t>8.1.3.5.2</t>
  </si>
  <si>
    <t>503(3)</t>
  </si>
  <si>
    <t>8.1.3.5.3</t>
  </si>
  <si>
    <t>Total of Bill No 8.1.3 - Structure Construction (Transfer to Summary of Bills of Quantities)</t>
  </si>
  <si>
    <t>BILL No. 8.1.4-  HORIZONTAL DRAINS VEGETATION</t>
  </si>
  <si>
    <t>8.1.4.2</t>
  </si>
  <si>
    <t>8.1.4.2.1</t>
  </si>
  <si>
    <t>90mm dia long drains with perforated type 1000 PVC pipes .  Rate shall include for drilling through any type of soil , associated work and disposal of drilled material as directed by the Engineer.</t>
  </si>
  <si>
    <t>8.1.4.3</t>
  </si>
  <si>
    <t>8.1.4.3.3</t>
  </si>
  <si>
    <t>Turfing as directed by the Engineer, and regular maintanance for 03 months</t>
  </si>
  <si>
    <t>Total of Bill No. 8.1.4- Soil Nailing &amp; Horizontal Drains (Transfer to Summary of Bills of Quantities)</t>
  </si>
  <si>
    <t>Reshaping Area with Nailing</t>
  </si>
  <si>
    <t>Over Hanging Area</t>
  </si>
  <si>
    <t>~ Cs02</t>
  </si>
  <si>
    <t>CS03-CS04</t>
  </si>
  <si>
    <t>CS04~</t>
  </si>
  <si>
    <t>Trimming and vegitation</t>
  </si>
  <si>
    <t>Back filling and vegitation</t>
  </si>
  <si>
    <t>Gabion Construction</t>
  </si>
  <si>
    <t>Hydroseeding</t>
  </si>
  <si>
    <t>BILL No. 8.2.1 - SITE CLEARING</t>
  </si>
  <si>
    <t>BILL No. 8.2.2- EARTH WORKS</t>
  </si>
  <si>
    <t>8.2.1.1</t>
  </si>
  <si>
    <t>8.2.1.1.1</t>
  </si>
  <si>
    <t>8.2.1.1.2</t>
  </si>
  <si>
    <t>8.2.1.1.3</t>
  </si>
  <si>
    <t>8.2.1.1.4</t>
  </si>
  <si>
    <t>8.2.1.1.5</t>
  </si>
  <si>
    <t>8.2.1.1.6</t>
  </si>
  <si>
    <t>8.2.1.1.7</t>
  </si>
  <si>
    <t>8.2.1.2</t>
  </si>
  <si>
    <t>8.2.2.1</t>
  </si>
  <si>
    <t>8.2.2.1.1</t>
  </si>
  <si>
    <t>8.2.2.1.2</t>
  </si>
  <si>
    <t>8.2.2.1.3</t>
  </si>
  <si>
    <t>8.2.2.1.4</t>
  </si>
  <si>
    <t>8.2.2.2</t>
  </si>
  <si>
    <t>8.2.2.2.1</t>
  </si>
  <si>
    <r>
      <t xml:space="preserve">Excavation for  </t>
    </r>
    <r>
      <rPr>
        <b/>
        <sz val="10"/>
        <rFont val="Times New Roman"/>
        <family val="1"/>
      </rPr>
      <t xml:space="preserve">Drains,Catchpits </t>
    </r>
    <r>
      <rPr>
        <sz val="10"/>
        <rFont val="Times New Roman"/>
        <family val="1"/>
      </rPr>
      <t>and disposal of excavated soil away from site (Rate shall include Backfill for the working space)</t>
    </r>
  </si>
  <si>
    <t>8.2.2.2.2</t>
  </si>
  <si>
    <t>8.2.2.2.3</t>
  </si>
  <si>
    <t>8.2.2.2.4</t>
  </si>
  <si>
    <t>8.2.2.2.5</t>
  </si>
  <si>
    <t>Backfill with suitable soil for structures</t>
  </si>
  <si>
    <t>8.2.2.2.6</t>
  </si>
  <si>
    <t>Total of Bill No 8.2.2 - Earthworks (Transfer to Summary of Bills of Quantities)</t>
  </si>
  <si>
    <t>BILL No. 8.2.3 - STRUCTURE CONSTRUCTION &amp; VEGETATION</t>
  </si>
  <si>
    <t>8.2.3.1</t>
  </si>
  <si>
    <t>DS(M)A DRAIN</t>
  </si>
  <si>
    <t>8.2.3.1.1</t>
  </si>
  <si>
    <t>8.2.3.1.2</t>
  </si>
  <si>
    <t>8.2.3.1.3</t>
  </si>
  <si>
    <t>8.2.3.1.4</t>
  </si>
  <si>
    <t>8.2.3.2</t>
  </si>
  <si>
    <t>8.2.3.2.1</t>
  </si>
  <si>
    <t>8.2.3.2.2</t>
  </si>
  <si>
    <t>8.2.3.2.3</t>
  </si>
  <si>
    <t>8.2.3.2.4</t>
  </si>
  <si>
    <t>8.2.3.3</t>
  </si>
  <si>
    <t>DS(C )A CASCADE DRAIN</t>
  </si>
  <si>
    <t>8.2.3.3.1</t>
  </si>
  <si>
    <t>8.2.3.3.2</t>
  </si>
  <si>
    <t>8.2.3.3.3</t>
  </si>
  <si>
    <t>8.2.3.3.4</t>
  </si>
  <si>
    <t>8.2.3.4</t>
  </si>
  <si>
    <t>DS(B) TYPE II BERM DRAIN</t>
  </si>
  <si>
    <t>8.2.3.4.1</t>
  </si>
  <si>
    <t>8.2.3.4.2</t>
  </si>
  <si>
    <t>8.2.3.4.3</t>
  </si>
  <si>
    <t>8.2.3.5</t>
  </si>
  <si>
    <t>8.2.3.5.1</t>
  </si>
  <si>
    <t>8.2.3.6</t>
  </si>
  <si>
    <t>8.2.3.6.1</t>
  </si>
  <si>
    <t>8.2.3.6.2</t>
  </si>
  <si>
    <t>8.2.3.6.3</t>
  </si>
  <si>
    <t>8.2.3.7</t>
  </si>
  <si>
    <t>8.2.3.7.1</t>
  </si>
  <si>
    <t>Total of Bill No 8.2.3 - Structure Construction (Transfer to Summary of Bills of Quantities)</t>
  </si>
  <si>
    <t>~ CS 01</t>
  </si>
  <si>
    <t>CS 01 - CS 02</t>
  </si>
  <si>
    <t>CS 02 ~</t>
  </si>
  <si>
    <t>Removal Overhang</t>
  </si>
  <si>
    <t>CS 01</t>
  </si>
  <si>
    <t>CS 02</t>
  </si>
  <si>
    <t>Gabion Excavation</t>
  </si>
  <si>
    <t>`</t>
  </si>
  <si>
    <t>Gabion Backfill</t>
  </si>
  <si>
    <t>DS B A Type II</t>
  </si>
  <si>
    <t>L. Length</t>
  </si>
  <si>
    <t>Total Lengt.</t>
  </si>
  <si>
    <t>Final Qty</t>
  </si>
  <si>
    <t>Site 114</t>
  </si>
  <si>
    <t>Removing</t>
  </si>
  <si>
    <t xml:space="preserve">CS </t>
  </si>
  <si>
    <t>Vegitation</t>
  </si>
  <si>
    <t>Trimming</t>
  </si>
  <si>
    <t>Over hang</t>
  </si>
  <si>
    <t>Back filling</t>
  </si>
  <si>
    <t>DS B Type II</t>
  </si>
  <si>
    <t>Gabion Type 1</t>
  </si>
  <si>
    <t>BILL No. 9.1 - SITE CLEARING</t>
  </si>
  <si>
    <t>9.1.1</t>
  </si>
  <si>
    <t>9.1.1.1</t>
  </si>
  <si>
    <t>9.1.1.2</t>
  </si>
  <si>
    <t>9.1.1.3</t>
  </si>
  <si>
    <t>9.1.1.4</t>
  </si>
  <si>
    <t>9.1.1.5</t>
  </si>
  <si>
    <t>9.1.1.6</t>
  </si>
  <si>
    <t>9.1.1.7</t>
  </si>
  <si>
    <t>9.1.2</t>
  </si>
  <si>
    <t>9.1.2.1</t>
  </si>
  <si>
    <t>9.1.2.2</t>
  </si>
  <si>
    <t>Total of Bill No 9.1 - Site Clearing (Transfer to Summary of Bills of Quantities)</t>
  </si>
  <si>
    <t>BILL No. 9.2 - EARTHWORKS</t>
  </si>
  <si>
    <t>9.2.1</t>
  </si>
  <si>
    <t>SIDE SLOPE EXCAVATION</t>
  </si>
  <si>
    <t>9.2.1.1</t>
  </si>
  <si>
    <t>9.2.1.2</t>
  </si>
  <si>
    <t>Excavation and disposal of Boulders - 0.25 m3 - 1.0 m3 (Provisional Quantity, rate shall include for backfilling holes )</t>
  </si>
  <si>
    <t>9.2.1.3</t>
  </si>
  <si>
    <t>9.2.1.4</t>
  </si>
  <si>
    <t>9.2.2</t>
  </si>
  <si>
    <t>9.2.2.1</t>
  </si>
  <si>
    <t>9.2.2.2</t>
  </si>
  <si>
    <t>9.2.2.3</t>
  </si>
  <si>
    <t>Excavation (chemical blasting) of Hard rock &gt; 1.0 m3 (Provisional Quantity, rate shall include for backfilling holes )</t>
  </si>
  <si>
    <t>9.2.2.4</t>
  </si>
  <si>
    <t>9.2.3</t>
  </si>
  <si>
    <t>9.2.3.1</t>
  </si>
  <si>
    <t>Tension crack sealing by Filling Type 1 Soil</t>
  </si>
  <si>
    <t>Type Not Specified</t>
  </si>
  <si>
    <t>Total of Bill No 9.2 - Earthworks (Transfer to Summary of Bills of Quantities)</t>
  </si>
  <si>
    <t>BILL No. 9.3 - STRUCTURE CONSTRUCTION</t>
  </si>
  <si>
    <t>9.3.1</t>
  </si>
  <si>
    <t>9.3.1.1</t>
  </si>
  <si>
    <t>9.3.1.2</t>
  </si>
  <si>
    <t>9.3.1.3</t>
  </si>
  <si>
    <t>9.3.1.4</t>
  </si>
  <si>
    <t>9.3.2</t>
  </si>
  <si>
    <t>9.3.2.1</t>
  </si>
  <si>
    <t>9.3.2.2</t>
  </si>
  <si>
    <t>9.3.2.3</t>
  </si>
  <si>
    <t>9.3.2.4</t>
  </si>
  <si>
    <t>9.3.3</t>
  </si>
  <si>
    <t>9.3.3.1</t>
  </si>
  <si>
    <t>9.3.3.2</t>
  </si>
  <si>
    <t>9.3.9.3</t>
  </si>
  <si>
    <t>9.3.3.4</t>
  </si>
  <si>
    <t>9.3.4</t>
  </si>
  <si>
    <t>9.3.4.1</t>
  </si>
  <si>
    <t>9.3.4.2</t>
  </si>
  <si>
    <t>9.3.4.3</t>
  </si>
  <si>
    <t>9.3.4.4</t>
  </si>
  <si>
    <t>9.3.5</t>
  </si>
  <si>
    <t>9.3.5.1</t>
  </si>
  <si>
    <t>9.3.6</t>
  </si>
  <si>
    <t>9.3.6.1</t>
  </si>
  <si>
    <t>Type 02 Long drains with perforated type 1000 PVC pipes (90mm dia) with geotextile wrapping.  Rate shall include for drilling through any type of soil  associated work and disposal of driled material away from the site as directed by the Engineer.</t>
  </si>
  <si>
    <t>Total of Bill No 9.3 - Structure Construction (Transfer to Summary of Bills of Quantities)</t>
  </si>
  <si>
    <t>REDUCTION OF LANDSLIDE VULNERABILITY BY MITIGATION MEASURES Site 115- QUANTITY CALCULATION</t>
  </si>
  <si>
    <t>30m</t>
  </si>
  <si>
    <t>40m</t>
  </si>
  <si>
    <t>SUB TOTAL (Bill No. 01- 10)</t>
  </si>
  <si>
    <t>BILL No. 01 - GENERAL PRELIMINARIES</t>
  </si>
  <si>
    <t>CONTRACTOR'S SITE ESTABLISHMENT</t>
  </si>
  <si>
    <t>1.1.1</t>
  </si>
  <si>
    <t>106.4(1)</t>
  </si>
  <si>
    <t xml:space="preserve">Mobilization of Contractor's Facilities and Plant/ Equipment </t>
  </si>
  <si>
    <t>1.1.2</t>
  </si>
  <si>
    <t>106.4(2)</t>
  </si>
  <si>
    <t xml:space="preserve">De-mobilization of Contractor's Facilities and Plant/Equipment </t>
  </si>
  <si>
    <t>1.1.3</t>
  </si>
  <si>
    <t>106.4(3)</t>
  </si>
  <si>
    <t>Maintenance of Site establishment for the Contractor</t>
  </si>
  <si>
    <t>mth</t>
  </si>
  <si>
    <t>QUALITY STANDARD &amp; PROGRESS</t>
  </si>
  <si>
    <t>1.2.1</t>
  </si>
  <si>
    <t>106.5(1)</t>
  </si>
  <si>
    <t>Progress Reports</t>
  </si>
  <si>
    <t>1.2.2</t>
  </si>
  <si>
    <t>108(1)</t>
  </si>
  <si>
    <t>Provision of standards/ technical literatures as required by the Engineer</t>
  </si>
  <si>
    <t>1.2.3</t>
  </si>
  <si>
    <t>Allow for overhead and profit by the contractor for providing  standards/ technical literatures as required by the Engineer</t>
  </si>
  <si>
    <t>PROJECT NAME BOARDS/ PLAQUES</t>
  </si>
  <si>
    <t>1.3.1</t>
  </si>
  <si>
    <t>106.6(1)</t>
  </si>
  <si>
    <t>Provide and Maintain project Name Boards</t>
  </si>
  <si>
    <t>1.3.2</t>
  </si>
  <si>
    <t>106.6(2)</t>
  </si>
  <si>
    <t>Project Inauguration Plaque and related services</t>
  </si>
  <si>
    <t>1.3.3</t>
  </si>
  <si>
    <t>Allow for overhead and profit by the contractor for providing Project Inauguration Plaque and related services</t>
  </si>
  <si>
    <t>SERVICES</t>
  </si>
  <si>
    <t>1.4.1</t>
  </si>
  <si>
    <t>110(1)</t>
  </si>
  <si>
    <t>Temporary supporting and protecting public utility services during execution of works</t>
  </si>
  <si>
    <t>1.4.2</t>
  </si>
  <si>
    <t>Allow for overhead and profit by the contractor for temporary supporting and protecting public utility services during execution of works</t>
  </si>
  <si>
    <t>SETTING-OUT, CROSS SECTION SURVEY &amp; DRAWINGS</t>
  </si>
  <si>
    <t>1.5.1</t>
  </si>
  <si>
    <t>115(1)</t>
  </si>
  <si>
    <t>Allow for setting out work, working drawings, as build drawings and cross sections</t>
  </si>
  <si>
    <t>ENVIRONMENTAL MANAGEMENT</t>
  </si>
  <si>
    <t>1.6.1</t>
  </si>
  <si>
    <t>2000(1)</t>
  </si>
  <si>
    <t>Allow for submission of satisfactory Environmental Management ActionPlan (EMAP) and on-site arrangement before commencing the project actions</t>
  </si>
  <si>
    <t>1.6.2</t>
  </si>
  <si>
    <t>2000(2)</t>
  </si>
  <si>
    <t>Allow for Baseline Environmental Monitoring and submission of the report</t>
  </si>
  <si>
    <t>1.6.3</t>
  </si>
  <si>
    <t>2000(4)</t>
  </si>
  <si>
    <t>1.6.4</t>
  </si>
  <si>
    <t>TRAFFIC CONTROL</t>
  </si>
  <si>
    <t>1.7.1</t>
  </si>
  <si>
    <t>101(1)</t>
  </si>
  <si>
    <t>Management, Safety &amp; Control &amp; Temporary Diversion of
Traffic, including provision of a general traffic management plan</t>
  </si>
  <si>
    <t>HEALTH &amp; SAFETY</t>
  </si>
  <si>
    <t>1.8.1</t>
  </si>
  <si>
    <t>2003(1)</t>
  </si>
  <si>
    <t>Health and safety meassures during construction confirming to the latest industrial standards</t>
  </si>
  <si>
    <t>1.8.2</t>
  </si>
  <si>
    <t>2003(2)</t>
  </si>
  <si>
    <t>Awareness Programme for STDs</t>
  </si>
  <si>
    <t>1.8.3</t>
  </si>
  <si>
    <t>Allow for overhead and profit by the contractor for the awareness Programme for STDs</t>
  </si>
  <si>
    <t>UTILITY RELOCATION</t>
  </si>
  <si>
    <t>Proj manager</t>
  </si>
  <si>
    <t>full</t>
  </si>
  <si>
    <t>1.9.1</t>
  </si>
  <si>
    <t>203(1)</t>
  </si>
  <si>
    <t>Relocation of utility services as per requirements of the utility service agency</t>
  </si>
  <si>
    <t>Geo technical Engineer</t>
  </si>
  <si>
    <t>1.9.2</t>
  </si>
  <si>
    <t>Allow for overhead and profit by the contractor for work involved except payment to relevant authorities for relocation of utility services.</t>
  </si>
  <si>
    <t>Surveyor</t>
  </si>
  <si>
    <t>1.10</t>
  </si>
  <si>
    <t>CONSTRUCTION MANAGEMENT &amp; STAFF</t>
  </si>
  <si>
    <t>site engineer</t>
  </si>
  <si>
    <t>1.10.1</t>
  </si>
  <si>
    <t>120(1)</t>
  </si>
  <si>
    <t>Employing all necessary construction management staff &amp; technical supervisory staff</t>
  </si>
  <si>
    <t>QA/QC</t>
  </si>
  <si>
    <t>1.11</t>
  </si>
  <si>
    <t>MONITORING</t>
  </si>
  <si>
    <t xml:space="preserve">Safety officer </t>
  </si>
  <si>
    <t>1.11.1</t>
  </si>
  <si>
    <t>703(1)</t>
  </si>
  <si>
    <t>Instrument supply and installation as Instructed by the Engineer</t>
  </si>
  <si>
    <t>Technical officer</t>
  </si>
  <si>
    <t>1.11.2</t>
  </si>
  <si>
    <t>Allow for overhead and profit by the contractor for work related to Instrument supply and installation as Instructed by the Engineer</t>
  </si>
  <si>
    <t>Item</t>
  </si>
  <si>
    <t>1.11.3</t>
  </si>
  <si>
    <t>703(2)</t>
  </si>
  <si>
    <t>Instrument monitoring &amp; testing as Instructed by the Engineer</t>
  </si>
  <si>
    <t>QS</t>
  </si>
  <si>
    <t>1.12</t>
  </si>
  <si>
    <t>1.12.1</t>
  </si>
  <si>
    <t>1.12.2</t>
  </si>
  <si>
    <t>1.13</t>
  </si>
  <si>
    <t>1.13.1</t>
  </si>
  <si>
    <t>1.13.2</t>
  </si>
  <si>
    <t>Total of Bill No 1 - Preliminaries without PS (Transfer to Summary of Bills of Quantities)</t>
  </si>
  <si>
    <t>2.3.6</t>
  </si>
  <si>
    <t>2.3.6.1</t>
  </si>
  <si>
    <t>2.3.6.2</t>
  </si>
  <si>
    <t>4.2.4.1.2</t>
  </si>
  <si>
    <t>4.2.4.2.1</t>
  </si>
  <si>
    <t>5.3.2</t>
  </si>
  <si>
    <t>5.3.2.1</t>
  </si>
  <si>
    <t>5.3.2.2</t>
  </si>
  <si>
    <t>5.3.2.3</t>
  </si>
  <si>
    <t>5.3.2.4</t>
  </si>
  <si>
    <t>5.3.4</t>
  </si>
  <si>
    <t>5.3.4.1</t>
  </si>
  <si>
    <t>5.3.4.2</t>
  </si>
  <si>
    <t>5.3.4.3</t>
  </si>
  <si>
    <t>5.3.4.4</t>
  </si>
  <si>
    <t>5.3.4.5</t>
  </si>
  <si>
    <t>5.3.4.6</t>
  </si>
  <si>
    <t>5.3.4.7</t>
  </si>
  <si>
    <t>5.3.4.8</t>
  </si>
  <si>
    <t>BILL No. 8.1.1 - SITE CLEARING</t>
  </si>
  <si>
    <t xml:space="preserve">Landslide Mitigation Works in 32 sites of phase-II in Kalutara, Rathnapura and Matara Districts. </t>
  </si>
  <si>
    <t>Contract No: RLVMMP/WORKS/ 07</t>
  </si>
  <si>
    <t>LOT -06 - BILLS OF QUANTITIES</t>
  </si>
  <si>
    <t>1.6.5</t>
  </si>
  <si>
    <t>2000(3)</t>
  </si>
  <si>
    <t xml:space="preserve">Allow for overhead and profit by the contractor for Monitoring Environmental Quality Parameters </t>
  </si>
  <si>
    <t xml:space="preserve">Monitoring Environmental Quality Parameters </t>
  </si>
  <si>
    <t xml:space="preserve">REDUCTION OF LANDSLIDE VULNERABILITY BY MITIGATION MEASURES MAWATHAWATTA  DELKIETH  ESTATE (Site No.78)
</t>
  </si>
  <si>
    <t xml:space="preserve">REDUCTION OF LANDSLIDE 
VULNERABILITY  BY MITIGATION MEASURES
KOBAWAKA KANADA (SITE NO. 81)
</t>
  </si>
  <si>
    <t xml:space="preserve">REDUCTION OF LANDSLIDE VULNERABILITY BY MITIGATION MEASURES PALATHOTA GANGARAMAYA, KALUTHARA
(Site No.85-LOCATION 01) 
</t>
  </si>
  <si>
    <t xml:space="preserve"> REDUCTION OF LANDSLIDE VULNERABILITY BY MITIGATION MEASURES AT RUBBER RESEARCH INSTITUTE DARTONFIELD ESTATE - AGALAWATTA (Site No.88)</t>
  </si>
  <si>
    <t>REDUCTION OF LANDSLIDE VULNERABILITY BY MITIGATION MEASURES  PUNCHIMIRISKANDA- Site No. 83 -LOCATION 02</t>
  </si>
  <si>
    <t>BILL NO. 02 -REDUCTION OF LANDSLIDE VULNERABILITY BY MITIGATION MEASURES ,MAWATHAWATTA  DELKIETH  ESTATE (SITE NO. 78)</t>
  </si>
  <si>
    <t>BILL NO. 05- REDUCTION OF LANDSLIDE VULNERABILITY  BY MITIGATION MEASURES,ANANDA SASTHRALAYA VIDYALAYA,MATHUGAMA (SITE NO. 86)</t>
  </si>
  <si>
    <t>BILL NO .06 - REDUCTION OF LANDSLIDE VULNERABILITY BY MITIGATION MEASURES ,AT SRI NAGAHANANDA VIHARAYA - PANADURA (SITE NO. 88)</t>
  </si>
  <si>
    <t>BILL NO. 07 - REDUCTION OF LANDSLIDE VULNERABILITY BY MITIGATION MEASURES ,AT RUBBER RESEARCH INSTITUTE DARTONFIELD ESTATE - AGALAWATTA(SITE NO. 112)</t>
  </si>
  <si>
    <t>BILL NO. 08 -REDUCTION OF LANDSLIDE VULNERABILITY BY MITIGATION MEASURES ,PUNCHIMIRISKANDA (SITE NO. 83)</t>
  </si>
  <si>
    <t xml:space="preserve">BILL NO. 09- REDUCTION OF LANDSLIDE VULNERABILITY BY MITIGATION MEASURES,AKKARA 50, GIKIYANAKANDA, IHALAKUDALIGAMA (Site No. 115) </t>
  </si>
  <si>
    <t>Bill No. 03-REDUCTION OF LANDSLIDE VULNERABILITY  BY MITIGATION MEASURES,KOBAWAKA KANADA(SITE NO. 81)</t>
  </si>
  <si>
    <t>BILL NO. 04 -REDUCTION OF LANDSLIDE VULNERABILITY BY MITIGATION MEASURES  ,AT  PALATHOTA GANGARAMAYA, KALUTHARA(SITE NO.85-LOCATION 01) AND   ISIPATHANA MAHAMEWNA ASAPUWA (SITE NO.85-LOCATION 02)</t>
  </si>
  <si>
    <t>BILL NO . 4.1 - REDUCTION OF LANDSLIDE VULNERABILITY BY MITIGATION MEASURES, 
PALATHOTA GANGARAMAYA, KALUTHARA (SITE NO. 85-LOCATION 1)</t>
  </si>
  <si>
    <t>BILL NO. 4.2 - REDUCTION OF LANDSLIDE VULNERABILITY BY MITIGATION MEASURES 
ISIPATHANA MAHAMEWNA ASAPUWA (SITE NO. 85-LOCATION 2)</t>
  </si>
  <si>
    <t>BILL NO. 8.1  -REDUCTION OF LANDSLIDE VULNERABILITY BY MITIGATION MEASURES ,PUNCHIMIRISKANDA- LOCATION 01 (SITE NO. 83 LOCATION 1)</t>
  </si>
  <si>
    <t>BILL NO. 8.2 - REDUCTION OF LANDSLIDE VULNERABILITY BY MITIGATION MEASURES  ,PUNCHIMIRISKANDA (SITE NO. 83 LOCATION 2)</t>
  </si>
  <si>
    <t>Total of Bill No 8.2.1 - Site Clearing (Transfer to Summary of Bills of Quantities)</t>
  </si>
  <si>
    <t>BILL NO. 05-REDUCTION OF LANDSLIDE VULNERABILITY  BY MITIGATION MEASURES
 ANANDA SASTHRALAYA VIDYALAYA,MATHUGAMA (SITE NO. 86)</t>
  </si>
  <si>
    <t>BILL NO .06 - REDUCTION OF LANDSLIDE VULNERABILITY BY MITIGATION MEASURES 
AT SRI NAGAHANANDA VIHARAYA - PANADURA (SITE NO. 88)</t>
  </si>
  <si>
    <t>BILL NO. 07 - REDUCTION OF LANDSLIDE VULNERABILITY BY MITIGATION MEASURES 
AT RUBBER RESEARCH INSTITUTE DARTONFIELD ESTATE - AGALAWATTA(SITE NO. 112)</t>
  </si>
  <si>
    <t>BILL NO. 08 - REDUCTION OF LANDSLIDE VULNERABILITY BY MITIGATION MEASURES 
 PUNCHIMIRISKANDA (SITE NO. 83)</t>
  </si>
  <si>
    <t>BILL NO. 8.1  - REDUCTION OF LANDSLIDE VULNERABILITY BY MITIGATION MEASURES 
 PUNCHIMIRISKANDA- LOCATION 01 (SITE NO. 83 LOCATION 1)</t>
  </si>
  <si>
    <t>BILL NO. 8.2 - REDUCTION OF LANDSLIDE VULNERABILITY BY MITIGATION MEASURES  
PUNCHIMIRISKANDA (SITE NO. 83 LOCATION 2)</t>
  </si>
  <si>
    <t xml:space="preserve">BILL NO. 09- REDUCTION OF LANDSLIDE VULNERABILITY BY MITIGATION MEASURES
 AKKARA 50, GIKIYANAKANDA, IHALAKUDALIGAMA (Site No. 115) </t>
  </si>
  <si>
    <t>BILL NO. 02 - REDUCTION OF LANDSLIDE VULNERABILITY BY MITIGATION MEASURES 
MAWATHAWATTA  DELKIETH  ESTATE (SITE NO. 78)</t>
  </si>
  <si>
    <t xml:space="preserve">Bill No. 03- REDUCTION OF LANDSLIDE VULNERABILITY  BY MITIGATION MEASURES
 KOBAWAKA KANADA(SITE NO. 81)
</t>
  </si>
  <si>
    <t xml:space="preserve">BILL NO. 04 - REDUCTION OF LANDSLIDE VULNERABILITY BY MITIGATION MEASURES  
AT  PALATHOTA GANGARAMAYA, KALUTHARA(SITE NO.85-LOCATION 01) AND   ISIPATHANA MAHAMEWNA ASAPUWA (SITE NO.85-LOCATION 02)
</t>
  </si>
  <si>
    <t>BILL NO . 4.1 - REDUCTION OF LANDSLIDE VULNERABILITY BY MITIGATION MEASURES 
PALATHOTA GANGARAMAYA, KALUTHARA (SITE NO. 85-LOCATION 1)</t>
  </si>
  <si>
    <t>TENDER PRICE EXCLUDING VAT</t>
  </si>
  <si>
    <t>TENDER PRICE INCLUDING VAT</t>
  </si>
  <si>
    <t>UNCONDITIONAL DISCOUNT</t>
  </si>
  <si>
    <t>DISCOUNTED TENDER PRICE</t>
  </si>
  <si>
    <t>BILL NO. 01 - GENERAL PRELIMINARIES</t>
  </si>
  <si>
    <t>BILL No. 1 - GENERAL PRELIMINARIES EXCEPT PROVISIONAL SUM</t>
  </si>
  <si>
    <t>ESMP Monthly Progress Reports</t>
  </si>
  <si>
    <t>1.6.6</t>
  </si>
  <si>
    <t>2000(5)</t>
  </si>
  <si>
    <t>Final payment upon submission of letter of satisfaction of the work by the Employer</t>
  </si>
  <si>
    <t>REHABILITATION OF ROAD &amp; EXISTING DRAINAGE</t>
  </si>
  <si>
    <t>Rehabilitation of Road Pavement ,drainage and relevant work (items under this work shall comply with CIDA publication SCA - 05 - Second edition [STANDARD SPECIFICATION FOR CONSTRUCTION AND MAINTENANCE OF ROADS AND BRIDGES]</t>
  </si>
  <si>
    <t>Allow for overhead and profit by the contractor for the Rehabilitation of Road Pavement,drainage and relavant work</t>
  </si>
  <si>
    <t>HOT DIPPED GALVANIZED MILD STEEL  DOWELS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</si>
</sst>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0_);_(* \(#,##0.000\);_(* &quot;-&quot;??_);_(@_)"/>
    <numFmt numFmtId="165" formatCode="0.0"/>
    <numFmt numFmtId="166" formatCode="0.000"/>
    <numFmt numFmtId="167" formatCode="_(* #,##0_);_(* \(#,##0\);_(* &quot;-&quot;??_);_(@_)"/>
    <numFmt numFmtId="168" formatCode="0.0%"/>
    <numFmt numFmtId="169" formatCode="0.000%"/>
    <numFmt numFmtId="170" formatCode="_(* #,##0.000_);_(* \(#,##0.000\);_(* &quot;-&quot;???_);_(@_)"/>
  </numFmts>
  <fonts count="6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2"/>
      <name val="Times New Roman"/>
      <family val="1"/>
    </font>
    <font>
      <b/>
      <sz val="10"/>
      <name val="Times New Roman"/>
      <family val="1"/>
    </font>
    <font>
      <sz val="10"/>
      <name val="Arial"/>
      <family val="2"/>
    </font>
    <font>
      <sz val="10"/>
      <name val="Times New Roman"/>
      <family val="1"/>
    </font>
    <font>
      <b/>
      <i/>
      <sz val="10"/>
      <name val="Times New Roman"/>
      <family val="1"/>
    </font>
    <font>
      <sz val="11"/>
      <name val="Arial"/>
      <family val="2"/>
    </font>
    <font>
      <sz val="10"/>
      <color theme="1"/>
      <name val="Times New Roman"/>
      <family val="1"/>
    </font>
    <font>
      <b/>
      <sz val="10"/>
      <color theme="1"/>
      <name val="Times New Roman"/>
      <family val="1"/>
    </font>
    <font>
      <vertAlign val="superscript"/>
      <sz val="10"/>
      <color theme="1"/>
      <name val="Times New Roman"/>
      <family val="1"/>
    </font>
    <font>
      <sz val="11"/>
      <name val="Times New Roman"/>
      <family val="1"/>
    </font>
    <font>
      <vertAlign val="superscript"/>
      <sz val="10"/>
      <name val="Times New Roman"/>
      <family val="1"/>
    </font>
    <font>
      <sz val="11"/>
      <color rgb="FFFF0000"/>
      <name val="Arial"/>
      <family val="2"/>
    </font>
    <font>
      <b/>
      <sz val="11"/>
      <name val="Arial Unicode MS"/>
      <family val="2"/>
    </font>
    <font>
      <sz val="10"/>
      <name val="Arial Unicode MS"/>
      <family val="2"/>
    </font>
    <font>
      <b/>
      <sz val="10"/>
      <name val="Arial Unicode MS"/>
      <family val="2"/>
    </font>
    <font>
      <b/>
      <u/>
      <sz val="10"/>
      <name val="Arial Unicode MS"/>
      <family val="2"/>
    </font>
    <font>
      <b/>
      <sz val="10"/>
      <color rgb="FFFF0000"/>
      <name val="Arial Unicode MS"/>
      <family val="2"/>
    </font>
    <font>
      <sz val="10"/>
      <name val="Arial Unicode MS"/>
      <family val="2"/>
    </font>
    <font>
      <b/>
      <sz val="10"/>
      <name val="Arial Unicode MS"/>
      <family val="2"/>
    </font>
    <font>
      <sz val="10"/>
      <color rgb="FFC00000"/>
      <name val="Arial"/>
      <family val="2"/>
    </font>
    <font>
      <sz val="10"/>
      <color rgb="FFFF0000"/>
      <name val="Arial Unicode MS"/>
      <family val="2"/>
    </font>
    <font>
      <b/>
      <sz val="14"/>
      <color theme="1"/>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sz val="8"/>
      <name val="Calibri"/>
      <family val="2"/>
      <scheme val="minor"/>
    </font>
    <font>
      <sz val="10"/>
      <color rgb="FFFF0000"/>
      <name val="Times New Roman"/>
      <family val="1"/>
    </font>
    <font>
      <sz val="12"/>
      <color rgb="FFFF0000"/>
      <name val="Times New Roman"/>
      <family val="1"/>
    </font>
    <font>
      <b/>
      <sz val="16"/>
      <name val="Times New Roman"/>
      <family val="1"/>
    </font>
    <font>
      <sz val="11"/>
      <name val="Calibri"/>
      <family val="2"/>
    </font>
    <font>
      <sz val="10"/>
      <color rgb="FF000000"/>
      <name val="Times New Roman"/>
      <family val="1"/>
    </font>
    <font>
      <b/>
      <u/>
      <sz val="10"/>
      <name val="Times New Roman"/>
      <family val="1"/>
    </font>
    <font>
      <sz val="11"/>
      <color theme="1"/>
      <name val="Times New Roman"/>
      <family val="1"/>
    </font>
    <font>
      <sz val="9"/>
      <color theme="1"/>
      <name val="Times New Roman"/>
      <family val="1"/>
    </font>
    <font>
      <b/>
      <i/>
      <u/>
      <sz val="10"/>
      <name val="Times New Roman"/>
      <family val="1"/>
    </font>
    <font>
      <sz val="9"/>
      <name val="Arial"/>
      <family val="2"/>
    </font>
    <font>
      <sz val="18"/>
      <color theme="1"/>
      <name val="Times New Roman"/>
      <family val="1"/>
    </font>
    <font>
      <sz val="12"/>
      <name val="Plot"/>
    </font>
    <font>
      <sz val="12"/>
      <color theme="1"/>
      <name val="Plot"/>
    </font>
    <font>
      <sz val="11"/>
      <color theme="1"/>
      <name val="Plot"/>
    </font>
    <font>
      <sz val="10"/>
      <color rgb="FFFF0000"/>
      <name val="Arial"/>
      <family val="2"/>
    </font>
    <font>
      <b/>
      <sz val="11"/>
      <name val="Times New Roman"/>
      <family val="1"/>
    </font>
    <font>
      <b/>
      <i/>
      <sz val="11"/>
      <name val="Times New Roman"/>
      <family val="1"/>
    </font>
    <font>
      <b/>
      <sz val="9"/>
      <name val="Times New Roman"/>
      <family val="1"/>
    </font>
    <font>
      <sz val="9"/>
      <name val="Times New Roman"/>
      <family val="1"/>
    </font>
    <font>
      <sz val="10"/>
      <color theme="1"/>
      <name val="Arial Unicode MS"/>
      <family val="2"/>
    </font>
    <font>
      <b/>
      <sz val="14"/>
      <color theme="1"/>
      <name val="Times New Roman"/>
      <family val="1"/>
    </font>
    <font>
      <b/>
      <i/>
      <sz val="9"/>
      <name val="Times New Roman"/>
      <family val="1"/>
    </font>
    <font>
      <b/>
      <i/>
      <sz val="8"/>
      <name val="Times New Roman"/>
      <family val="1"/>
    </font>
    <font>
      <b/>
      <sz val="12"/>
      <color rgb="FF000000"/>
      <name val="Times New Roman"/>
      <family val="1"/>
    </font>
    <font>
      <sz val="12"/>
      <color rgb="FF000000"/>
      <name val="Times New Roman"/>
      <family val="1"/>
    </font>
    <font>
      <b/>
      <sz val="12"/>
      <color rgb="FFFF0000"/>
      <name val="Times New Roman"/>
      <family val="1"/>
    </font>
    <font>
      <b/>
      <sz val="14"/>
      <name val="Times New Roman"/>
      <family val="1"/>
    </font>
    <font>
      <b/>
      <sz val="22"/>
      <name val="Times New Roman"/>
      <family val="1"/>
    </font>
    <font>
      <b/>
      <sz val="11"/>
      <color rgb="FFFF0000"/>
      <name val="Times New Roman"/>
      <family val="1"/>
    </font>
  </fonts>
  <fills count="23">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B0F0"/>
        <bgColor indexed="64"/>
      </patternFill>
    </fill>
    <fill>
      <patternFill patternType="solid">
        <fgColor rgb="FF92D050"/>
        <bgColor indexed="64"/>
      </patternFill>
    </fill>
    <fill>
      <patternFill patternType="solid">
        <fgColor rgb="FF99FF66"/>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FF"/>
        <bgColor rgb="FF000000"/>
      </patternFill>
    </fill>
    <fill>
      <patternFill patternType="solid">
        <fgColor theme="7" tint="0.39997558519241921"/>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14">
    <xf numFmtId="0" fontId="0" fillId="0" borderId="0"/>
    <xf numFmtId="43" fontId="1"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0" fontId="7" fillId="0" borderId="0"/>
    <xf numFmtId="0" fontId="1" fillId="0" borderId="0"/>
    <xf numFmtId="0" fontId="1" fillId="0" borderId="0"/>
  </cellStyleXfs>
  <cellXfs count="1002">
    <xf numFmtId="0" fontId="0" fillId="0" borderId="0" xfId="0"/>
    <xf numFmtId="43" fontId="0" fillId="0" borderId="0" xfId="1" applyFont="1"/>
    <xf numFmtId="43" fontId="0" fillId="0" borderId="0" xfId="1" applyFont="1" applyAlignment="1">
      <alignment vertical="center"/>
    </xf>
    <xf numFmtId="43" fontId="0" fillId="0" borderId="0" xfId="1" applyFont="1" applyAlignment="1">
      <alignment horizontal="center" vertical="center"/>
    </xf>
    <xf numFmtId="43" fontId="3" fillId="0" borderId="0" xfId="1" applyFont="1"/>
    <xf numFmtId="43" fontId="4" fillId="0" borderId="0" xfId="1" applyFont="1"/>
    <xf numFmtId="0" fontId="8" fillId="0" borderId="6" xfId="0" applyFont="1" applyBorder="1" applyAlignment="1">
      <alignment horizontal="center" vertical="center"/>
    </xf>
    <xf numFmtId="3" fontId="8" fillId="0" borderId="6" xfId="0" applyNumberFormat="1" applyFont="1" applyBorder="1" applyAlignment="1">
      <alignment horizontal="center" vertical="center"/>
    </xf>
    <xf numFmtId="43" fontId="8" fillId="0" borderId="7" xfId="2" applyFont="1" applyBorder="1" applyAlignment="1">
      <alignment horizontal="center" vertical="center"/>
    </xf>
    <xf numFmtId="0" fontId="8" fillId="0" borderId="8" xfId="3" applyFont="1" applyBorder="1" applyAlignment="1">
      <alignment horizontal="left" vertical="center"/>
    </xf>
    <xf numFmtId="43" fontId="8" fillId="0" borderId="11" xfId="2" applyFont="1" applyBorder="1" applyAlignment="1">
      <alignment horizontal="right" vertical="center"/>
    </xf>
    <xf numFmtId="0" fontId="8" fillId="0" borderId="0" xfId="3" applyFont="1" applyAlignment="1">
      <alignment vertical="center"/>
    </xf>
    <xf numFmtId="43" fontId="8" fillId="0" borderId="0" xfId="2" applyFont="1" applyAlignment="1">
      <alignment vertical="center"/>
    </xf>
    <xf numFmtId="9" fontId="8" fillId="0" borderId="0" xfId="4" applyFont="1" applyAlignment="1">
      <alignment vertical="center"/>
    </xf>
    <xf numFmtId="43" fontId="8" fillId="0" borderId="0" xfId="3" applyNumberFormat="1" applyFont="1" applyAlignment="1">
      <alignment vertical="center"/>
    </xf>
    <xf numFmtId="0" fontId="6" fillId="0" borderId="12" xfId="3" applyFont="1" applyBorder="1" applyAlignment="1">
      <alignment horizontal="center" vertical="center"/>
    </xf>
    <xf numFmtId="43" fontId="6" fillId="0" borderId="14" xfId="2" applyFont="1" applyBorder="1" applyAlignment="1">
      <alignment horizontal="right" vertical="center"/>
    </xf>
    <xf numFmtId="10" fontId="8" fillId="0" borderId="0" xfId="4" applyNumberFormat="1" applyFont="1" applyAlignment="1">
      <alignment vertical="center"/>
    </xf>
    <xf numFmtId="0" fontId="8" fillId="0" borderId="0" xfId="3" applyFont="1" applyAlignment="1">
      <alignment horizontal="center" vertical="center"/>
    </xf>
    <xf numFmtId="3" fontId="8" fillId="0" borderId="0" xfId="3" applyNumberFormat="1" applyFont="1" applyAlignment="1">
      <alignment horizontal="center" vertical="center"/>
    </xf>
    <xf numFmtId="43" fontId="8" fillId="0" borderId="0" xfId="2" applyFont="1" applyAlignment="1">
      <alignment horizontal="right" vertical="center"/>
    </xf>
    <xf numFmtId="0" fontId="8" fillId="0" borderId="0" xfId="3" applyFont="1" applyAlignment="1">
      <alignment horizontal="center"/>
    </xf>
    <xf numFmtId="0" fontId="8" fillId="0" borderId="0" xfId="3" applyFont="1"/>
    <xf numFmtId="3" fontId="8" fillId="0" borderId="0" xfId="3" applyNumberFormat="1" applyFont="1" applyAlignment="1">
      <alignment horizontal="center"/>
    </xf>
    <xf numFmtId="43" fontId="8" fillId="0" borderId="0" xfId="2" applyFont="1" applyAlignment="1">
      <alignment horizontal="right"/>
    </xf>
    <xf numFmtId="43" fontId="8" fillId="0" borderId="0" xfId="2" applyFont="1"/>
    <xf numFmtId="9" fontId="8" fillId="0" borderId="0" xfId="4" applyFont="1"/>
    <xf numFmtId="3" fontId="10" fillId="0" borderId="0" xfId="3" applyNumberFormat="1" applyFont="1" applyAlignment="1">
      <alignment vertical="center" wrapText="1"/>
    </xf>
    <xf numFmtId="3" fontId="6"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43" fontId="6" fillId="0" borderId="15" xfId="1" applyFont="1" applyBorder="1" applyAlignment="1">
      <alignment horizontal="center" vertical="center" wrapText="1"/>
    </xf>
    <xf numFmtId="0" fontId="11" fillId="0" borderId="0" xfId="0" applyFont="1"/>
    <xf numFmtId="0" fontId="11" fillId="0" borderId="17" xfId="0" applyFont="1" applyBorder="1"/>
    <xf numFmtId="0" fontId="11" fillId="0" borderId="18" xfId="0" applyFont="1" applyBorder="1" applyAlignment="1">
      <alignment horizontal="center" vertical="center"/>
    </xf>
    <xf numFmtId="0" fontId="11" fillId="0" borderId="18" xfId="0" applyFont="1" applyBorder="1" applyAlignment="1">
      <alignment wrapText="1"/>
    </xf>
    <xf numFmtId="43" fontId="11" fillId="0" borderId="18" xfId="1" applyFont="1" applyBorder="1" applyAlignment="1">
      <alignment vertical="center"/>
    </xf>
    <xf numFmtId="3" fontId="8" fillId="0" borderId="19" xfId="3" applyNumberFormat="1" applyFont="1" applyBorder="1" applyAlignment="1">
      <alignment horizontal="center" vertical="center" wrapText="1"/>
    </xf>
    <xf numFmtId="3" fontId="8" fillId="0" borderId="19" xfId="3" applyNumberFormat="1" applyFont="1" applyBorder="1" applyAlignment="1">
      <alignment horizontal="left" vertical="center" wrapText="1"/>
    </xf>
    <xf numFmtId="4" fontId="8" fillId="0" borderId="20" xfId="3" applyNumberFormat="1" applyFont="1" applyBorder="1" applyAlignment="1">
      <alignment vertical="center" wrapText="1"/>
    </xf>
    <xf numFmtId="4" fontId="8" fillId="0" borderId="21" xfId="3" applyNumberFormat="1" applyFont="1" applyBorder="1" applyAlignment="1">
      <alignment vertical="center" wrapText="1"/>
    </xf>
    <xf numFmtId="4" fontId="14" fillId="0" borderId="0" xfId="3" applyNumberFormat="1" applyFont="1" applyAlignment="1">
      <alignment horizontal="center" vertical="center" wrapText="1"/>
    </xf>
    <xf numFmtId="0" fontId="11" fillId="0" borderId="18" xfId="0" applyFont="1" applyBorder="1"/>
    <xf numFmtId="0" fontId="12" fillId="0" borderId="18" xfId="0" applyFont="1" applyBorder="1" applyAlignment="1">
      <alignment vertical="center"/>
    </xf>
    <xf numFmtId="3" fontId="11" fillId="0" borderId="18" xfId="0" applyNumberFormat="1" applyFont="1" applyBorder="1"/>
    <xf numFmtId="43" fontId="11" fillId="0" borderId="0" xfId="0" applyNumberFormat="1" applyFont="1"/>
    <xf numFmtId="0" fontId="11" fillId="0" borderId="18" xfId="0" applyFont="1" applyBorder="1" applyAlignment="1">
      <alignment vertical="center" wrapText="1"/>
    </xf>
    <xf numFmtId="3" fontId="8" fillId="0" borderId="18" xfId="3" applyNumberFormat="1" applyFont="1" applyBorder="1" applyAlignment="1">
      <alignment horizontal="center" vertical="center" wrapText="1"/>
    </xf>
    <xf numFmtId="3" fontId="8" fillId="0" borderId="18" xfId="3" applyNumberFormat="1" applyFont="1" applyBorder="1" applyAlignment="1">
      <alignment horizontal="left" vertical="center" wrapText="1"/>
    </xf>
    <xf numFmtId="3" fontId="11" fillId="0" borderId="18" xfId="0" applyNumberFormat="1" applyFont="1" applyBorder="1" applyAlignment="1">
      <alignment horizontal="center" vertical="center" wrapText="1"/>
    </xf>
    <xf numFmtId="3" fontId="11" fillId="0" borderId="18" xfId="0" applyNumberFormat="1" applyFont="1" applyBorder="1" applyAlignment="1">
      <alignment vertical="center" wrapText="1"/>
    </xf>
    <xf numFmtId="3" fontId="11" fillId="4" borderId="18" xfId="0" applyNumberFormat="1" applyFont="1" applyFill="1" applyBorder="1" applyAlignment="1">
      <alignment horizontal="center" vertical="center" wrapText="1"/>
    </xf>
    <xf numFmtId="0" fontId="11" fillId="0" borderId="18" xfId="0" applyFont="1" applyBorder="1" applyAlignment="1">
      <alignment vertical="center"/>
    </xf>
    <xf numFmtId="3" fontId="8" fillId="0" borderId="18" xfId="5" applyNumberFormat="1" applyFont="1" applyBorder="1" applyAlignment="1">
      <alignment horizontal="center" vertical="center" wrapText="1"/>
    </xf>
    <xf numFmtId="3" fontId="8" fillId="0" borderId="18" xfId="5" applyNumberFormat="1" applyFont="1" applyBorder="1" applyAlignment="1">
      <alignment vertical="center" wrapText="1"/>
    </xf>
    <xf numFmtId="3" fontId="11" fillId="0" borderId="0" xfId="0" applyNumberFormat="1" applyFont="1"/>
    <xf numFmtId="3" fontId="6" fillId="4" borderId="18" xfId="0" applyNumberFormat="1" applyFont="1" applyFill="1" applyBorder="1" applyAlignment="1">
      <alignment horizontal="left" vertical="center" wrapText="1"/>
    </xf>
    <xf numFmtId="3" fontId="8" fillId="4" borderId="18" xfId="0" applyNumberFormat="1" applyFont="1" applyFill="1" applyBorder="1" applyAlignment="1">
      <alignment horizontal="center" vertical="center" wrapText="1"/>
    </xf>
    <xf numFmtId="43" fontId="8" fillId="0" borderId="18" xfId="2" applyFont="1" applyBorder="1" applyAlignment="1">
      <alignment horizontal="left" vertical="center" wrapText="1"/>
    </xf>
    <xf numFmtId="3" fontId="8" fillId="0" borderId="18" xfId="0" applyNumberFormat="1" applyFont="1" applyBorder="1" applyAlignment="1">
      <alignment vertical="center" wrapText="1"/>
    </xf>
    <xf numFmtId="164" fontId="11" fillId="0" borderId="0" xfId="1" applyNumberFormat="1" applyFont="1"/>
    <xf numFmtId="0" fontId="11" fillId="0" borderId="19" xfId="0" applyFont="1" applyBorder="1" applyAlignment="1">
      <alignment vertical="center"/>
    </xf>
    <xf numFmtId="0" fontId="11" fillId="0" borderId="19" xfId="0" applyFont="1" applyBorder="1"/>
    <xf numFmtId="0" fontId="11" fillId="0" borderId="18" xfId="0" applyFont="1" applyBorder="1" applyAlignment="1">
      <alignment horizontal="center" vertical="center" wrapText="1"/>
    </xf>
    <xf numFmtId="43" fontId="10" fillId="3" borderId="0" xfId="2" applyFont="1" applyFill="1" applyAlignment="1">
      <alignment vertical="center" wrapText="1"/>
    </xf>
    <xf numFmtId="0" fontId="16" fillId="3" borderId="0" xfId="2" applyNumberFormat="1" applyFont="1" applyFill="1" applyAlignment="1">
      <alignment vertical="center" wrapText="1"/>
    </xf>
    <xf numFmtId="3" fontId="10" fillId="3" borderId="0" xfId="3" applyNumberFormat="1" applyFont="1" applyFill="1" applyAlignment="1">
      <alignment vertical="center" wrapText="1"/>
    </xf>
    <xf numFmtId="3" fontId="6" fillId="0" borderId="18" xfId="3" applyNumberFormat="1" applyFont="1" applyBorder="1" applyAlignment="1">
      <alignment horizontal="left" vertical="center" wrapText="1"/>
    </xf>
    <xf numFmtId="0" fontId="11" fillId="0" borderId="19" xfId="0" applyFont="1" applyBorder="1" applyAlignment="1">
      <alignment horizontal="center" vertical="center"/>
    </xf>
    <xf numFmtId="0" fontId="7" fillId="0" borderId="0" xfId="3"/>
    <xf numFmtId="0" fontId="18" fillId="6" borderId="15" xfId="3" applyFont="1" applyFill="1" applyBorder="1" applyAlignment="1">
      <alignment vertical="center"/>
    </xf>
    <xf numFmtId="0" fontId="19" fillId="6" borderId="15" xfId="3" applyFont="1" applyFill="1" applyBorder="1" applyAlignment="1">
      <alignment horizontal="center" vertical="center"/>
    </xf>
    <xf numFmtId="0" fontId="7" fillId="0" borderId="0" xfId="3" applyAlignment="1">
      <alignment vertical="center"/>
    </xf>
    <xf numFmtId="0" fontId="7" fillId="7" borderId="0" xfId="3" applyFill="1" applyAlignment="1">
      <alignment vertical="center"/>
    </xf>
    <xf numFmtId="43" fontId="21" fillId="0" borderId="15" xfId="3" applyNumberFormat="1" applyFont="1" applyBorder="1"/>
    <xf numFmtId="0" fontId="21" fillId="0" borderId="15" xfId="3" applyFont="1" applyBorder="1"/>
    <xf numFmtId="0" fontId="18" fillId="0" borderId="18" xfId="3" applyFont="1" applyBorder="1" applyAlignment="1">
      <alignment wrapText="1"/>
    </xf>
    <xf numFmtId="43" fontId="18" fillId="0" borderId="19" xfId="2" applyFont="1" applyBorder="1"/>
    <xf numFmtId="0" fontId="18" fillId="0" borderId="19" xfId="3" applyFont="1" applyBorder="1"/>
    <xf numFmtId="166" fontId="18" fillId="0" borderId="19" xfId="3" applyNumberFormat="1" applyFont="1" applyBorder="1"/>
    <xf numFmtId="43" fontId="18" fillId="0" borderId="19" xfId="3" applyNumberFormat="1" applyFont="1" applyBorder="1"/>
    <xf numFmtId="43" fontId="7" fillId="0" borderId="0" xfId="3" applyNumberFormat="1"/>
    <xf numFmtId="0" fontId="22" fillId="0" borderId="19" xfId="3" applyFont="1" applyBorder="1" applyAlignment="1">
      <alignment wrapText="1"/>
    </xf>
    <xf numFmtId="43" fontId="18" fillId="0" borderId="18" xfId="2" applyFont="1" applyBorder="1"/>
    <xf numFmtId="43" fontId="22" fillId="8" borderId="19" xfId="3" applyNumberFormat="1" applyFont="1" applyFill="1" applyBorder="1"/>
    <xf numFmtId="0" fontId="18" fillId="0" borderId="19" xfId="3" applyFont="1" applyBorder="1" applyAlignment="1">
      <alignment wrapText="1"/>
    </xf>
    <xf numFmtId="43" fontId="23" fillId="8" borderId="19" xfId="3" applyNumberFormat="1" applyFont="1" applyFill="1" applyBorder="1"/>
    <xf numFmtId="43" fontId="23" fillId="0" borderId="19" xfId="3" applyNumberFormat="1" applyFont="1" applyBorder="1"/>
    <xf numFmtId="0" fontId="18" fillId="0" borderId="27" xfId="3" applyFont="1" applyBorder="1" applyAlignment="1">
      <alignment wrapText="1"/>
    </xf>
    <xf numFmtId="43" fontId="18" fillId="0" borderId="27" xfId="2" applyFont="1" applyBorder="1"/>
    <xf numFmtId="2" fontId="18" fillId="0" borderId="27" xfId="3" applyNumberFormat="1" applyFont="1" applyBorder="1"/>
    <xf numFmtId="166" fontId="18" fillId="0" borderId="27" xfId="3" applyNumberFormat="1" applyFont="1" applyBorder="1"/>
    <xf numFmtId="0" fontId="18" fillId="0" borderId="27" xfId="3" applyFont="1" applyBorder="1"/>
    <xf numFmtId="43" fontId="18" fillId="0" borderId="18" xfId="3" applyNumberFormat="1" applyFont="1" applyBorder="1"/>
    <xf numFmtId="43" fontId="19" fillId="0" borderId="18" xfId="3" applyNumberFormat="1" applyFont="1" applyBorder="1"/>
    <xf numFmtId="0" fontId="24" fillId="0" borderId="0" xfId="3" applyFont="1"/>
    <xf numFmtId="43" fontId="19" fillId="0" borderId="15" xfId="3" applyNumberFormat="1" applyFont="1" applyBorder="1"/>
    <xf numFmtId="0" fontId="19" fillId="0" borderId="15" xfId="3" applyFont="1" applyBorder="1"/>
    <xf numFmtId="0" fontId="25" fillId="0" borderId="15" xfId="3" applyFont="1" applyBorder="1"/>
    <xf numFmtId="0" fontId="19" fillId="0" borderId="17" xfId="3" applyFont="1" applyBorder="1" applyAlignment="1">
      <alignment horizontal="left" wrapText="1"/>
    </xf>
    <xf numFmtId="166" fontId="18" fillId="0" borderId="18" xfId="3" applyNumberFormat="1" applyFont="1" applyBorder="1"/>
    <xf numFmtId="0" fontId="18" fillId="0" borderId="18" xfId="3" applyFont="1" applyBorder="1"/>
    <xf numFmtId="43" fontId="19" fillId="0" borderId="19" xfId="3" applyNumberFormat="1" applyFont="1" applyBorder="1"/>
    <xf numFmtId="43" fontId="18" fillId="0" borderId="27" xfId="3" applyNumberFormat="1" applyFont="1" applyBorder="1"/>
    <xf numFmtId="43" fontId="19" fillId="8" borderId="19" xfId="3" applyNumberFormat="1" applyFont="1" applyFill="1" applyBorder="1"/>
    <xf numFmtId="164" fontId="18" fillId="0" borderId="18" xfId="3" applyNumberFormat="1" applyFont="1" applyBorder="1"/>
    <xf numFmtId="1" fontId="18" fillId="0" borderId="18" xfId="3" applyNumberFormat="1" applyFont="1" applyBorder="1"/>
    <xf numFmtId="167" fontId="18" fillId="0" borderId="18" xfId="2" applyNumberFormat="1" applyFont="1" applyBorder="1"/>
    <xf numFmtId="43" fontId="7" fillId="9" borderId="0" xfId="3" applyNumberFormat="1" applyFill="1"/>
    <xf numFmtId="43" fontId="18" fillId="0" borderId="16" xfId="3" applyNumberFormat="1" applyFont="1" applyBorder="1" applyAlignment="1">
      <alignment wrapText="1"/>
    </xf>
    <xf numFmtId="164" fontId="18" fillId="0" borderId="16" xfId="3" applyNumberFormat="1" applyFont="1" applyBorder="1"/>
    <xf numFmtId="43" fontId="18" fillId="0" borderId="26" xfId="2" applyFont="1" applyBorder="1"/>
    <xf numFmtId="167" fontId="18" fillId="0" borderId="16" xfId="2" applyNumberFormat="1" applyFont="1" applyBorder="1"/>
    <xf numFmtId="43" fontId="18" fillId="0" borderId="16" xfId="3" applyNumberFormat="1" applyFont="1" applyBorder="1"/>
    <xf numFmtId="43" fontId="22" fillId="0" borderId="19" xfId="3" applyNumberFormat="1" applyFont="1" applyBorder="1"/>
    <xf numFmtId="0" fontId="18" fillId="10" borderId="15" xfId="3" applyFont="1" applyFill="1" applyBorder="1" applyAlignment="1">
      <alignment vertical="center"/>
    </xf>
    <xf numFmtId="0" fontId="19" fillId="10" borderId="15" xfId="3" applyFont="1" applyFill="1" applyBorder="1" applyAlignment="1">
      <alignment horizontal="center" vertical="center"/>
    </xf>
    <xf numFmtId="0" fontId="19" fillId="10" borderId="15" xfId="3" applyFont="1" applyFill="1" applyBorder="1" applyAlignment="1">
      <alignment horizontal="center" vertical="center" wrapText="1"/>
    </xf>
    <xf numFmtId="0" fontId="18" fillId="0" borderId="18" xfId="3" applyFont="1" applyBorder="1" applyAlignment="1">
      <alignment horizontal="right" wrapText="1"/>
    </xf>
    <xf numFmtId="2" fontId="18" fillId="0" borderId="18" xfId="3" applyNumberFormat="1" applyFont="1" applyBorder="1"/>
    <xf numFmtId="0" fontId="18" fillId="0" borderId="28" xfId="3" applyFont="1" applyBorder="1" applyAlignment="1">
      <alignment horizontal="right" wrapText="1"/>
    </xf>
    <xf numFmtId="2" fontId="18" fillId="0" borderId="28" xfId="3" applyNumberFormat="1" applyFont="1" applyBorder="1"/>
    <xf numFmtId="0" fontId="18" fillId="0" borderId="28" xfId="3" applyFont="1" applyBorder="1"/>
    <xf numFmtId="166" fontId="18" fillId="0" borderId="28" xfId="3" applyNumberFormat="1" applyFont="1" applyBorder="1"/>
    <xf numFmtId="43" fontId="18" fillId="0" borderId="28" xfId="2" applyFont="1" applyBorder="1"/>
    <xf numFmtId="43" fontId="18" fillId="0" borderId="28" xfId="3" applyNumberFormat="1" applyFont="1" applyBorder="1"/>
    <xf numFmtId="9" fontId="19" fillId="0" borderId="23" xfId="3" applyNumberFormat="1" applyFont="1" applyBorder="1" applyAlignment="1">
      <alignment wrapText="1"/>
    </xf>
    <xf numFmtId="0" fontId="19" fillId="0" borderId="24" xfId="3" applyFont="1" applyBorder="1" applyAlignment="1">
      <alignment wrapText="1"/>
    </xf>
    <xf numFmtId="0" fontId="23" fillId="0" borderId="19" xfId="3" applyFont="1" applyBorder="1" applyAlignment="1">
      <alignment wrapText="1"/>
    </xf>
    <xf numFmtId="43" fontId="18" fillId="8" borderId="19" xfId="3" applyNumberFormat="1" applyFont="1" applyFill="1" applyBorder="1"/>
    <xf numFmtId="0" fontId="18" fillId="0" borderId="26" xfId="3" applyFont="1" applyBorder="1"/>
    <xf numFmtId="0" fontId="18" fillId="0" borderId="19" xfId="3" applyFont="1" applyBorder="1" applyAlignment="1">
      <alignment horizontal="right" wrapText="1"/>
    </xf>
    <xf numFmtId="2" fontId="18" fillId="0" borderId="19" xfId="3" applyNumberFormat="1" applyFont="1" applyBorder="1"/>
    <xf numFmtId="0" fontId="23" fillId="0" borderId="19" xfId="3" applyFont="1" applyBorder="1" applyAlignment="1">
      <alignment horizontal="right" wrapText="1"/>
    </xf>
    <xf numFmtId="43" fontId="19" fillId="8" borderId="18" xfId="3" applyNumberFormat="1" applyFont="1" applyFill="1" applyBorder="1"/>
    <xf numFmtId="43" fontId="19" fillId="0" borderId="27" xfId="3" applyNumberFormat="1" applyFont="1" applyBorder="1"/>
    <xf numFmtId="0" fontId="18" fillId="0" borderId="27" xfId="3" applyFont="1" applyBorder="1" applyAlignment="1">
      <alignment horizontal="right" wrapText="1"/>
    </xf>
    <xf numFmtId="164" fontId="18" fillId="0" borderId="27" xfId="3" applyNumberFormat="1" applyFont="1" applyBorder="1"/>
    <xf numFmtId="43" fontId="22" fillId="8" borderId="18" xfId="3" applyNumberFormat="1" applyFont="1" applyFill="1" applyBorder="1"/>
    <xf numFmtId="43" fontId="19" fillId="8" borderId="27" xfId="3" applyNumberFormat="1" applyFont="1" applyFill="1" applyBorder="1"/>
    <xf numFmtId="0" fontId="19" fillId="0" borderId="22" xfId="3" applyFont="1" applyBorder="1" applyAlignment="1">
      <alignment horizontal="left" wrapText="1"/>
    </xf>
    <xf numFmtId="0" fontId="19" fillId="0" borderId="23" xfId="3" applyFont="1" applyBorder="1" applyAlignment="1">
      <alignment horizontal="left" wrapText="1"/>
    </xf>
    <xf numFmtId="0" fontId="19" fillId="0" borderId="24" xfId="3" applyFont="1" applyBorder="1" applyAlignment="1">
      <alignment horizontal="left" wrapText="1"/>
    </xf>
    <xf numFmtId="0" fontId="18" fillId="0" borderId="15" xfId="3" applyFont="1" applyBorder="1" applyAlignment="1">
      <alignment horizontal="right" wrapText="1"/>
    </xf>
    <xf numFmtId="2" fontId="18" fillId="0" borderId="15" xfId="3" applyNumberFormat="1" applyFont="1" applyBorder="1"/>
    <xf numFmtId="0" fontId="18" fillId="0" borderId="15" xfId="3" applyFont="1" applyBorder="1"/>
    <xf numFmtId="166" fontId="18" fillId="0" borderId="15" xfId="3" applyNumberFormat="1" applyFont="1" applyBorder="1"/>
    <xf numFmtId="43" fontId="18" fillId="0" borderId="15" xfId="2" applyFont="1" applyBorder="1"/>
    <xf numFmtId="43" fontId="18" fillId="0" borderId="15" xfId="3" applyNumberFormat="1" applyFont="1" applyBorder="1"/>
    <xf numFmtId="43" fontId="19" fillId="8" borderId="15" xfId="3" applyNumberFormat="1" applyFont="1" applyFill="1" applyBorder="1"/>
    <xf numFmtId="0" fontId="18" fillId="0" borderId="17" xfId="3" applyFont="1" applyBorder="1" applyAlignment="1">
      <alignment wrapText="1"/>
    </xf>
    <xf numFmtId="43" fontId="21" fillId="0" borderId="27" xfId="3" applyNumberFormat="1" applyFont="1" applyBorder="1"/>
    <xf numFmtId="0" fontId="2" fillId="0" borderId="25" xfId="6" applyFont="1" applyBorder="1"/>
    <xf numFmtId="0" fontId="2" fillId="0" borderId="17" xfId="6" applyFont="1" applyBorder="1"/>
    <xf numFmtId="0" fontId="1" fillId="0" borderId="17" xfId="6" applyBorder="1"/>
    <xf numFmtId="0" fontId="1" fillId="0" borderId="0" xfId="6"/>
    <xf numFmtId="0" fontId="1" fillId="0" borderId="16" xfId="6" applyBorder="1"/>
    <xf numFmtId="0" fontId="2" fillId="0" borderId="16" xfId="6" applyFont="1" applyBorder="1"/>
    <xf numFmtId="0" fontId="2" fillId="0" borderId="18" xfId="6" applyFont="1" applyBorder="1"/>
    <xf numFmtId="0" fontId="1" fillId="0" borderId="19" xfId="6" applyBorder="1"/>
    <xf numFmtId="0" fontId="2" fillId="0" borderId="19" xfId="6" applyFont="1" applyBorder="1"/>
    <xf numFmtId="0" fontId="1" fillId="0" borderId="18" xfId="6" applyBorder="1"/>
    <xf numFmtId="43" fontId="0" fillId="0" borderId="18" xfId="7" applyFont="1" applyBorder="1"/>
    <xf numFmtId="0" fontId="1" fillId="11" borderId="0" xfId="6" applyFill="1"/>
    <xf numFmtId="164" fontId="0" fillId="0" borderId="18" xfId="7" applyNumberFormat="1" applyFont="1" applyBorder="1"/>
    <xf numFmtId="0" fontId="0" fillId="0" borderId="18" xfId="6" applyFont="1" applyBorder="1"/>
    <xf numFmtId="0" fontId="1" fillId="12" borderId="0" xfId="6" applyFill="1"/>
    <xf numFmtId="0" fontId="1" fillId="0" borderId="27" xfId="6" applyBorder="1"/>
    <xf numFmtId="43" fontId="0" fillId="0" borderId="27" xfId="7" applyFont="1" applyBorder="1"/>
    <xf numFmtId="0" fontId="1" fillId="13" borderId="18" xfId="6" applyFill="1" applyBorder="1"/>
    <xf numFmtId="0" fontId="0" fillId="13" borderId="18" xfId="6" applyFont="1" applyFill="1" applyBorder="1"/>
    <xf numFmtId="0" fontId="1" fillId="5" borderId="18" xfId="6" applyFill="1" applyBorder="1"/>
    <xf numFmtId="0" fontId="1" fillId="6" borderId="18" xfId="6" applyFill="1" applyBorder="1"/>
    <xf numFmtId="0" fontId="1" fillId="14" borderId="18" xfId="6" applyFill="1" applyBorder="1"/>
    <xf numFmtId="0" fontId="1" fillId="14" borderId="27" xfId="6" applyFill="1" applyBorder="1"/>
    <xf numFmtId="0" fontId="1" fillId="15" borderId="18" xfId="6" applyFill="1" applyBorder="1"/>
    <xf numFmtId="0" fontId="1" fillId="15" borderId="27" xfId="6" applyFill="1" applyBorder="1"/>
    <xf numFmtId="0" fontId="1" fillId="0" borderId="28" xfId="6" applyBorder="1"/>
    <xf numFmtId="43" fontId="0" fillId="0" borderId="28" xfId="7" applyFont="1" applyBorder="1"/>
    <xf numFmtId="0" fontId="2" fillId="0" borderId="0" xfId="6" applyFont="1"/>
    <xf numFmtId="10" fontId="1" fillId="0" borderId="0" xfId="6" applyNumberFormat="1"/>
    <xf numFmtId="0" fontId="1" fillId="13" borderId="0" xfId="6" applyFill="1"/>
    <xf numFmtId="0" fontId="1" fillId="17" borderId="0" xfId="6" applyFill="1" applyAlignment="1">
      <alignment horizontal="center"/>
    </xf>
    <xf numFmtId="0" fontId="1" fillId="7" borderId="0" xfId="6" applyFill="1" applyAlignment="1">
      <alignment horizontal="center"/>
    </xf>
    <xf numFmtId="0" fontId="27" fillId="0" borderId="15" xfId="8" applyFont="1" applyBorder="1" applyAlignment="1">
      <alignment horizontal="center"/>
    </xf>
    <xf numFmtId="43" fontId="0" fillId="0" borderId="0" xfId="7" applyFont="1"/>
    <xf numFmtId="43" fontId="0" fillId="0" borderId="15" xfId="2" applyFont="1" applyBorder="1"/>
    <xf numFmtId="43" fontId="1" fillId="0" borderId="15" xfId="6" applyNumberFormat="1" applyBorder="1"/>
    <xf numFmtId="43" fontId="1" fillId="0" borderId="15" xfId="2" applyFont="1" applyBorder="1"/>
    <xf numFmtId="43" fontId="27" fillId="0" borderId="15" xfId="8" applyNumberFormat="1" applyFont="1" applyBorder="1"/>
    <xf numFmtId="164" fontId="27" fillId="0" borderId="24" xfId="8" applyNumberFormat="1" applyFont="1" applyBorder="1"/>
    <xf numFmtId="43" fontId="27" fillId="0" borderId="15" xfId="2" applyFont="1" applyBorder="1"/>
    <xf numFmtId="43" fontId="1" fillId="0" borderId="0" xfId="6" applyNumberFormat="1"/>
    <xf numFmtId="43" fontId="0" fillId="0" borderId="0" xfId="2" applyFont="1"/>
    <xf numFmtId="43" fontId="1" fillId="0" borderId="0" xfId="2" applyFont="1"/>
    <xf numFmtId="164" fontId="27" fillId="0" borderId="0" xfId="8" applyNumberFormat="1" applyFont="1"/>
    <xf numFmtId="43" fontId="27" fillId="0" borderId="0" xfId="8" applyNumberFormat="1" applyFont="1"/>
    <xf numFmtId="43" fontId="0" fillId="18" borderId="15" xfId="2" applyFont="1" applyFill="1" applyBorder="1"/>
    <xf numFmtId="43" fontId="1" fillId="18" borderId="15" xfId="6" applyNumberFormat="1" applyFill="1" applyBorder="1"/>
    <xf numFmtId="43" fontId="27" fillId="19" borderId="15" xfId="8" applyNumberFormat="1" applyFont="1" applyFill="1" applyBorder="1"/>
    <xf numFmtId="43" fontId="0" fillId="18" borderId="0" xfId="2" applyFont="1" applyFill="1"/>
    <xf numFmtId="43" fontId="1" fillId="18" borderId="0" xfId="6" applyNumberFormat="1" applyFill="1"/>
    <xf numFmtId="43" fontId="27" fillId="19" borderId="0" xfId="8" applyNumberFormat="1" applyFont="1" applyFill="1"/>
    <xf numFmtId="0" fontId="0" fillId="0" borderId="0" xfId="6" applyFont="1"/>
    <xf numFmtId="43" fontId="27" fillId="0" borderId="0" xfId="2" applyFont="1"/>
    <xf numFmtId="0" fontId="1" fillId="19" borderId="0" xfId="6" applyFill="1"/>
    <xf numFmtId="0" fontId="1" fillId="0" borderId="0" xfId="6" applyAlignment="1">
      <alignment wrapText="1"/>
    </xf>
    <xf numFmtId="0" fontId="0" fillId="0" borderId="0" xfId="6" applyFont="1" applyAlignment="1">
      <alignment horizontal="center" vertical="center"/>
    </xf>
    <xf numFmtId="0" fontId="0" fillId="0" borderId="0" xfId="6" applyFont="1" applyAlignment="1">
      <alignment wrapText="1"/>
    </xf>
    <xf numFmtId="0" fontId="1" fillId="0" borderId="0" xfId="6" applyAlignment="1">
      <alignment horizontal="right" vertical="center"/>
    </xf>
    <xf numFmtId="43" fontId="1" fillId="0" borderId="0" xfId="1"/>
    <xf numFmtId="0" fontId="1" fillId="0" borderId="0" xfId="6" applyFill="1"/>
    <xf numFmtId="0" fontId="2" fillId="0" borderId="0" xfId="6" applyFont="1" applyFill="1"/>
    <xf numFmtId="0" fontId="0" fillId="0" borderId="0" xfId="6" applyFont="1" applyFill="1" applyAlignment="1">
      <alignment wrapText="1"/>
    </xf>
    <xf numFmtId="43" fontId="1" fillId="0" borderId="0" xfId="6" applyNumberFormat="1" applyFill="1"/>
    <xf numFmtId="43" fontId="22" fillId="0" borderId="19" xfId="3" applyNumberFormat="1" applyFont="1" applyFill="1" applyBorder="1"/>
    <xf numFmtId="43" fontId="23" fillId="0" borderId="19" xfId="3" applyNumberFormat="1" applyFont="1" applyFill="1" applyBorder="1"/>
    <xf numFmtId="43" fontId="18" fillId="0" borderId="19" xfId="3" applyNumberFormat="1" applyFont="1" applyFill="1" applyBorder="1"/>
    <xf numFmtId="43" fontId="21" fillId="0" borderId="15" xfId="3" applyNumberFormat="1" applyFont="1" applyFill="1" applyBorder="1"/>
    <xf numFmtId="43" fontId="19" fillId="0" borderId="18" xfId="3" applyNumberFormat="1" applyFont="1" applyFill="1" applyBorder="1"/>
    <xf numFmtId="0" fontId="12" fillId="0" borderId="17" xfId="0" applyFont="1" applyBorder="1" applyAlignment="1">
      <alignment vertical="center"/>
    </xf>
    <xf numFmtId="0" fontId="11" fillId="0" borderId="0" xfId="0" applyFont="1" applyAlignment="1">
      <alignment vertical="center"/>
    </xf>
    <xf numFmtId="43" fontId="23" fillId="8" borderId="27" xfId="3" applyNumberFormat="1" applyFont="1" applyFill="1" applyBorder="1"/>
    <xf numFmtId="165" fontId="8" fillId="0" borderId="29" xfId="3" applyNumberFormat="1" applyFont="1" applyBorder="1" applyAlignment="1">
      <alignment horizontal="center" vertical="center" wrapText="1"/>
    </xf>
    <xf numFmtId="3" fontId="8" fillId="4" borderId="18" xfId="0" applyNumberFormat="1" applyFont="1" applyFill="1" applyBorder="1" applyAlignment="1">
      <alignment horizontal="left" vertical="center" wrapText="1"/>
    </xf>
    <xf numFmtId="0" fontId="0" fillId="0" borderId="0" xfId="6" applyFont="1" applyFill="1"/>
    <xf numFmtId="0" fontId="27" fillId="0" borderId="0" xfId="6" applyFont="1" applyFill="1"/>
    <xf numFmtId="0" fontId="28" fillId="0" borderId="0" xfId="6" applyFont="1" applyFill="1"/>
    <xf numFmtId="0" fontId="1" fillId="0" borderId="0" xfId="6" applyFill="1" applyAlignment="1">
      <alignment wrapText="1"/>
    </xf>
    <xf numFmtId="0" fontId="1" fillId="0" borderId="0" xfId="6" applyFill="1" applyAlignment="1">
      <alignment horizontal="center"/>
    </xf>
    <xf numFmtId="0" fontId="27" fillId="0" borderId="22" xfId="8" applyFont="1" applyFill="1" applyBorder="1" applyAlignment="1">
      <alignment horizontal="center"/>
    </xf>
    <xf numFmtId="0" fontId="27" fillId="0" borderId="24" xfId="8" applyFont="1" applyFill="1" applyBorder="1" applyAlignment="1">
      <alignment horizontal="center"/>
    </xf>
    <xf numFmtId="0" fontId="27" fillId="0" borderId="15" xfId="8" applyFont="1" applyFill="1" applyBorder="1" applyAlignment="1">
      <alignment horizontal="center"/>
    </xf>
    <xf numFmtId="3" fontId="8" fillId="0" borderId="10" xfId="3" applyNumberFormat="1" applyFont="1" applyBorder="1" applyAlignment="1">
      <alignment horizontal="center" vertical="center" wrapText="1"/>
    </xf>
    <xf numFmtId="43" fontId="8" fillId="0" borderId="10" xfId="2" applyFont="1" applyBorder="1" applyAlignment="1">
      <alignment horizontal="left" vertical="center" wrapText="1"/>
    </xf>
    <xf numFmtId="3" fontId="6" fillId="0" borderId="10" xfId="0" applyNumberFormat="1" applyFont="1" applyBorder="1" applyAlignment="1">
      <alignment vertical="center" wrapText="1"/>
    </xf>
    <xf numFmtId="3" fontId="32" fillId="0" borderId="18" xfId="3" applyNumberFormat="1" applyFont="1" applyBorder="1" applyAlignment="1">
      <alignment horizontal="center" vertical="center" wrapText="1"/>
    </xf>
    <xf numFmtId="3" fontId="8" fillId="0" borderId="10" xfId="3" applyNumberFormat="1" applyFont="1" applyFill="1" applyBorder="1" applyAlignment="1" applyProtection="1">
      <alignment horizontal="center" vertical="center" wrapText="1"/>
      <protection locked="0"/>
    </xf>
    <xf numFmtId="43" fontId="8" fillId="0" borderId="18" xfId="1" applyFont="1" applyBorder="1" applyAlignment="1">
      <alignment vertical="center"/>
    </xf>
    <xf numFmtId="3" fontId="8" fillId="0" borderId="18" xfId="3" applyNumberFormat="1" applyFont="1" applyFill="1" applyBorder="1" applyAlignment="1" applyProtection="1">
      <alignment horizontal="center" vertical="center" wrapText="1"/>
      <protection locked="0"/>
    </xf>
    <xf numFmtId="3" fontId="8" fillId="0" borderId="19" xfId="3" applyNumberFormat="1" applyFont="1" applyFill="1" applyBorder="1" applyAlignment="1" applyProtection="1">
      <alignment horizontal="center" vertical="center" wrapText="1"/>
      <protection locked="0"/>
    </xf>
    <xf numFmtId="3" fontId="8" fillId="0" borderId="18" xfId="0" applyNumberFormat="1" applyFont="1" applyFill="1" applyBorder="1" applyAlignment="1">
      <alignment horizontal="center" vertical="center"/>
    </xf>
    <xf numFmtId="3" fontId="11" fillId="0" borderId="18" xfId="0" applyNumberFormat="1" applyFont="1" applyFill="1" applyBorder="1" applyAlignment="1">
      <alignment horizontal="center" vertical="center"/>
    </xf>
    <xf numFmtId="0" fontId="11" fillId="0" borderId="19" xfId="0" applyFont="1" applyFill="1" applyBorder="1"/>
    <xf numFmtId="0" fontId="11" fillId="0" borderId="18" xfId="0" applyFont="1" applyFill="1" applyBorder="1"/>
    <xf numFmtId="3" fontId="8" fillId="0" borderId="10" xfId="0" applyNumberFormat="1" applyFont="1" applyBorder="1" applyAlignment="1">
      <alignment vertical="center" wrapText="1"/>
    </xf>
    <xf numFmtId="0" fontId="8" fillId="0" borderId="18" xfId="0" applyFont="1" applyBorder="1" applyAlignment="1">
      <alignment horizontal="center" vertical="center"/>
    </xf>
    <xf numFmtId="3" fontId="6" fillId="0" borderId="26" xfId="0" applyNumberFormat="1" applyFont="1" applyBorder="1" applyAlignment="1">
      <alignment horizontal="center" vertical="center" wrapText="1"/>
    </xf>
    <xf numFmtId="43" fontId="6" fillId="0" borderId="26" xfId="1" applyFont="1" applyBorder="1" applyAlignment="1">
      <alignment horizontal="center" vertical="center" wrapText="1"/>
    </xf>
    <xf numFmtId="3" fontId="8" fillId="0" borderId="18" xfId="9" applyNumberFormat="1" applyFont="1" applyBorder="1" applyAlignment="1">
      <alignment horizontal="left" vertical="center" wrapText="1"/>
    </xf>
    <xf numFmtId="3" fontId="11" fillId="0" borderId="18" xfId="9" applyNumberFormat="1" applyFont="1" applyBorder="1" applyAlignment="1">
      <alignment vertical="center" wrapText="1"/>
    </xf>
    <xf numFmtId="0" fontId="19" fillId="0" borderId="22" xfId="3" applyFont="1" applyBorder="1" applyAlignment="1">
      <alignment horizontal="left" wrapText="1"/>
    </xf>
    <xf numFmtId="0" fontId="19" fillId="0" borderId="23" xfId="3" applyFont="1" applyBorder="1" applyAlignment="1">
      <alignment horizontal="left" wrapText="1"/>
    </xf>
    <xf numFmtId="0" fontId="19" fillId="0" borderId="24" xfId="3" applyFont="1" applyBorder="1" applyAlignment="1">
      <alignment horizontal="left" wrapText="1"/>
    </xf>
    <xf numFmtId="0" fontId="19" fillId="0" borderId="22" xfId="3" applyFont="1" applyBorder="1" applyAlignment="1">
      <alignment wrapText="1"/>
    </xf>
    <xf numFmtId="0" fontId="19" fillId="0" borderId="23" xfId="3" applyFont="1" applyBorder="1" applyAlignment="1">
      <alignment wrapText="1"/>
    </xf>
    <xf numFmtId="0" fontId="19" fillId="0" borderId="24" xfId="3" applyFont="1" applyBorder="1" applyAlignment="1">
      <alignment wrapText="1"/>
    </xf>
    <xf numFmtId="0" fontId="19" fillId="0" borderId="22" xfId="3" applyFont="1" applyBorder="1" applyAlignment="1">
      <alignment horizontal="left"/>
    </xf>
    <xf numFmtId="0" fontId="19" fillId="0" borderId="23" xfId="3" applyFont="1" applyBorder="1" applyAlignment="1">
      <alignment horizontal="left"/>
    </xf>
    <xf numFmtId="0" fontId="19" fillId="0" borderId="24" xfId="3" applyFont="1" applyBorder="1" applyAlignment="1">
      <alignment horizontal="left"/>
    </xf>
    <xf numFmtId="0" fontId="20" fillId="8" borderId="22" xfId="3" applyFont="1" applyFill="1" applyBorder="1" applyAlignment="1">
      <alignment horizontal="left" vertical="center" wrapText="1"/>
    </xf>
    <xf numFmtId="0" fontId="20" fillId="8" borderId="23" xfId="3" applyFont="1" applyFill="1" applyBorder="1" applyAlignment="1">
      <alignment horizontal="left" vertical="center" wrapText="1"/>
    </xf>
    <xf numFmtId="0" fontId="20" fillId="8" borderId="24" xfId="3" applyFont="1" applyFill="1" applyBorder="1" applyAlignment="1">
      <alignment horizontal="left" vertical="center" wrapText="1"/>
    </xf>
    <xf numFmtId="0" fontId="20" fillId="8" borderId="1" xfId="3" applyFont="1" applyFill="1" applyBorder="1" applyAlignment="1">
      <alignment horizontal="left" vertical="center" wrapText="1"/>
    </xf>
    <xf numFmtId="0" fontId="20" fillId="8" borderId="2" xfId="3" applyFont="1" applyFill="1" applyBorder="1" applyAlignment="1">
      <alignment horizontal="left" vertical="center" wrapText="1"/>
    </xf>
    <xf numFmtId="0" fontId="20" fillId="8" borderId="3" xfId="3" applyFont="1" applyFill="1" applyBorder="1" applyAlignment="1">
      <alignment horizontal="left" vertical="center" wrapText="1"/>
    </xf>
    <xf numFmtId="0" fontId="21" fillId="0" borderId="23" xfId="3" applyFont="1" applyBorder="1"/>
    <xf numFmtId="0" fontId="27" fillId="0" borderId="22" xfId="8" applyFont="1" applyBorder="1" applyAlignment="1">
      <alignment horizontal="center"/>
    </xf>
    <xf numFmtId="0" fontId="27" fillId="0" borderId="24" xfId="8" applyFont="1" applyBorder="1" applyAlignment="1">
      <alignment horizontal="center"/>
    </xf>
    <xf numFmtId="0" fontId="8" fillId="0" borderId="1" xfId="3" applyFont="1" applyBorder="1" applyAlignment="1">
      <alignment horizontal="center"/>
    </xf>
    <xf numFmtId="0" fontId="8" fillId="0" borderId="2" xfId="3" applyFont="1" applyBorder="1"/>
    <xf numFmtId="0" fontId="8" fillId="0" borderId="2" xfId="3" applyFont="1" applyBorder="1" applyAlignment="1">
      <alignment horizontal="center"/>
    </xf>
    <xf numFmtId="3" fontId="8" fillId="0" borderId="2" xfId="3" applyNumberFormat="1" applyFont="1" applyBorder="1" applyAlignment="1">
      <alignment horizontal="center"/>
    </xf>
    <xf numFmtId="43" fontId="8" fillId="0" borderId="2" xfId="2" applyFont="1" applyBorder="1" applyAlignment="1">
      <alignment horizontal="right"/>
    </xf>
    <xf numFmtId="43" fontId="8" fillId="0" borderId="3" xfId="2" applyFont="1" applyBorder="1" applyAlignment="1">
      <alignment horizontal="right"/>
    </xf>
    <xf numFmtId="43" fontId="8" fillId="0" borderId="0" xfId="2" applyFont="1" applyBorder="1" applyAlignment="1">
      <alignment horizontal="right"/>
    </xf>
    <xf numFmtId="0" fontId="8" fillId="0" borderId="0" xfId="3" applyFont="1" applyAlignment="1">
      <alignment vertical="top"/>
    </xf>
    <xf numFmtId="0" fontId="33" fillId="0" borderId="0" xfId="3" applyFont="1" applyAlignment="1">
      <alignment horizontal="center" vertical="center" wrapText="1"/>
    </xf>
    <xf numFmtId="43" fontId="8" fillId="0" borderId="0" xfId="2" applyFont="1" applyAlignment="1">
      <alignment vertical="top"/>
    </xf>
    <xf numFmtId="9" fontId="8" fillId="0" borderId="0" xfId="4" applyFont="1" applyAlignment="1">
      <alignment vertical="top"/>
    </xf>
    <xf numFmtId="0" fontId="5" fillId="0" borderId="0" xfId="3" applyFont="1" applyAlignment="1">
      <alignment horizontal="center" vertical="center"/>
    </xf>
    <xf numFmtId="0" fontId="6" fillId="0" borderId="31" xfId="3" applyFont="1" applyBorder="1" applyAlignment="1">
      <alignment horizontal="center" vertical="center"/>
    </xf>
    <xf numFmtId="43" fontId="6" fillId="0" borderId="32" xfId="2" applyFont="1" applyBorder="1" applyAlignment="1">
      <alignment horizontal="center" vertical="center"/>
    </xf>
    <xf numFmtId="43" fontId="6" fillId="0" borderId="0" xfId="2" applyFont="1" applyBorder="1" applyAlignment="1">
      <alignment horizontal="center" vertical="center"/>
    </xf>
    <xf numFmtId="0" fontId="8" fillId="0" borderId="0" xfId="3" applyFont="1" applyAlignment="1">
      <alignment wrapText="1"/>
    </xf>
    <xf numFmtId="0" fontId="34" fillId="2" borderId="0" xfId="3" applyFont="1" applyFill="1" applyAlignment="1">
      <alignment horizontal="center" vertical="center"/>
    </xf>
    <xf numFmtId="168" fontId="34" fillId="2" borderId="0" xfId="4" applyNumberFormat="1" applyFont="1" applyFill="1" applyBorder="1" applyAlignment="1">
      <alignment horizontal="center" vertical="center"/>
    </xf>
    <xf numFmtId="0" fontId="6" fillId="0" borderId="31" xfId="3" applyFont="1" applyBorder="1" applyAlignment="1">
      <alignment horizontal="left" vertical="center" indent="1"/>
    </xf>
    <xf numFmtId="3" fontId="6" fillId="0" borderId="31" xfId="3" applyNumberFormat="1" applyFont="1" applyBorder="1" applyAlignment="1">
      <alignment horizontal="center" vertical="center"/>
    </xf>
    <xf numFmtId="43" fontId="6" fillId="0" borderId="16" xfId="2" applyFont="1" applyBorder="1" applyAlignment="1">
      <alignment horizontal="center" vertical="center"/>
    </xf>
    <xf numFmtId="0" fontId="8" fillId="0" borderId="18" xfId="3" applyFont="1" applyBorder="1" applyAlignment="1">
      <alignment horizontal="center" vertical="center"/>
    </xf>
    <xf numFmtId="43" fontId="8" fillId="0" borderId="0" xfId="2" applyFont="1" applyBorder="1" applyAlignment="1">
      <alignment horizontal="right" vertical="center"/>
    </xf>
    <xf numFmtId="169" fontId="8" fillId="0" borderId="0" xfId="4" applyNumberFormat="1" applyFont="1" applyAlignment="1">
      <alignment vertical="center"/>
    </xf>
    <xf numFmtId="43" fontId="8" fillId="0" borderId="0" xfId="4" applyNumberFormat="1" applyFont="1" applyAlignment="1">
      <alignment vertical="center"/>
    </xf>
    <xf numFmtId="43" fontId="8" fillId="0" borderId="0" xfId="2" applyFont="1" applyFill="1" applyBorder="1" applyAlignment="1">
      <alignment horizontal="right" vertical="center"/>
    </xf>
    <xf numFmtId="168" fontId="8" fillId="0" borderId="0" xfId="10" applyNumberFormat="1" applyFont="1" applyFill="1" applyBorder="1" applyAlignment="1">
      <alignment horizontal="right" vertical="center"/>
    </xf>
    <xf numFmtId="166" fontId="8" fillId="0" borderId="0" xfId="4" applyNumberFormat="1" applyFont="1" applyAlignment="1">
      <alignment vertical="center"/>
    </xf>
    <xf numFmtId="14" fontId="8" fillId="0" borderId="0" xfId="3" applyNumberFormat="1" applyFont="1" applyAlignment="1">
      <alignment vertical="center"/>
    </xf>
    <xf numFmtId="9" fontId="8" fillId="0" borderId="10" xfId="4" applyFont="1" applyFill="1" applyBorder="1" applyAlignment="1">
      <alignment vertical="center"/>
    </xf>
    <xf numFmtId="3" fontId="8" fillId="0" borderId="34" xfId="3" applyNumberFormat="1" applyFont="1" applyBorder="1" applyAlignment="1">
      <alignment vertical="center"/>
    </xf>
    <xf numFmtId="0" fontId="8" fillId="0" borderId="35" xfId="3" applyFont="1" applyBorder="1" applyAlignment="1">
      <alignment vertical="center"/>
    </xf>
    <xf numFmtId="0" fontId="8" fillId="0" borderId="35" xfId="3" applyFont="1" applyBorder="1" applyAlignment="1">
      <alignment horizontal="center" vertical="center"/>
    </xf>
    <xf numFmtId="43" fontId="8" fillId="0" borderId="35" xfId="2" applyFont="1" applyFill="1" applyBorder="1" applyAlignment="1">
      <alignment horizontal="left" vertical="center"/>
    </xf>
    <xf numFmtId="43" fontId="6" fillId="0" borderId="15" xfId="2" applyFont="1" applyBorder="1" applyAlignment="1">
      <alignment horizontal="right" vertical="center"/>
    </xf>
    <xf numFmtId="43" fontId="6" fillId="0" borderId="0" xfId="2" applyFont="1" applyBorder="1" applyAlignment="1">
      <alignment horizontal="right" vertical="center"/>
    </xf>
    <xf numFmtId="168" fontId="8" fillId="0" borderId="0" xfId="4" applyNumberFormat="1" applyFont="1" applyAlignment="1">
      <alignment vertical="center"/>
    </xf>
    <xf numFmtId="3" fontId="8" fillId="0" borderId="23" xfId="3" applyNumberFormat="1" applyFont="1" applyBorder="1" applyAlignment="1">
      <alignment vertical="center"/>
    </xf>
    <xf numFmtId="0" fontId="8" fillId="0" borderId="23" xfId="3" applyFont="1" applyBorder="1" applyAlignment="1">
      <alignment horizontal="center" vertical="center"/>
    </xf>
    <xf numFmtId="43" fontId="8" fillId="0" borderId="24" xfId="2" applyFont="1" applyBorder="1" applyAlignment="1">
      <alignment horizontal="center" vertical="center"/>
    </xf>
    <xf numFmtId="0" fontId="8" fillId="0" borderId="0" xfId="3" applyFont="1" applyAlignment="1">
      <alignment horizontal="left" vertical="top" wrapText="1"/>
    </xf>
    <xf numFmtId="43" fontId="8" fillId="0" borderId="0" xfId="3" applyNumberFormat="1" applyFont="1" applyAlignment="1">
      <alignment horizontal="left" vertical="top" wrapText="1"/>
    </xf>
    <xf numFmtId="43" fontId="8" fillId="0" borderId="0" xfId="2" applyFont="1" applyAlignment="1">
      <alignment horizontal="left" vertical="top" wrapText="1"/>
    </xf>
    <xf numFmtId="0" fontId="8" fillId="0" borderId="0" xfId="3" applyFont="1" applyAlignment="1">
      <alignment vertical="center" wrapText="1"/>
    </xf>
    <xf numFmtId="14" fontId="8" fillId="0" borderId="0" xfId="2" applyNumberFormat="1" applyFont="1" applyAlignment="1">
      <alignment horizontal="right" vertical="center"/>
    </xf>
    <xf numFmtId="3" fontId="10" fillId="4" borderId="0" xfId="5" applyNumberFormat="1" applyFont="1" applyFill="1" applyAlignment="1">
      <alignment vertical="center" wrapText="1"/>
    </xf>
    <xf numFmtId="0" fontId="6" fillId="0" borderId="16" xfId="5" applyFont="1" applyBorder="1" applyAlignment="1">
      <alignment horizontal="center" vertical="center"/>
    </xf>
    <xf numFmtId="0" fontId="7" fillId="0" borderId="0" xfId="5"/>
    <xf numFmtId="0" fontId="6" fillId="0" borderId="15" xfId="5" applyFont="1" applyBorder="1" applyAlignment="1">
      <alignment horizontal="left" vertical="center" indent="1"/>
    </xf>
    <xf numFmtId="0" fontId="35" fillId="0" borderId="15" xfId="5" applyFont="1" applyBorder="1" applyAlignment="1">
      <alignment vertical="center"/>
    </xf>
    <xf numFmtId="167" fontId="6" fillId="0" borderId="15" xfId="2" applyNumberFormat="1" applyFont="1" applyBorder="1" applyAlignment="1">
      <alignment horizontal="center" vertical="center"/>
    </xf>
    <xf numFmtId="0" fontId="8" fillId="0" borderId="17" xfId="5" applyFont="1" applyBorder="1" applyAlignment="1">
      <alignment horizontal="center" vertical="center"/>
    </xf>
    <xf numFmtId="0" fontId="8" fillId="0" borderId="17" xfId="5" applyFont="1" applyBorder="1" applyAlignment="1">
      <alignment horizontal="left" vertical="center" indent="1"/>
    </xf>
    <xf numFmtId="0" fontId="36" fillId="0" borderId="17" xfId="5" applyFont="1" applyBorder="1" applyAlignment="1">
      <alignment horizontal="center" vertical="center" wrapText="1"/>
    </xf>
    <xf numFmtId="43" fontId="8" fillId="0" borderId="17" xfId="2" applyFont="1" applyBorder="1" applyAlignment="1">
      <alignment horizontal="right" vertical="center" wrapText="1" indent="1"/>
    </xf>
    <xf numFmtId="0" fontId="8" fillId="0" borderId="18" xfId="5" applyFont="1" applyBorder="1" applyAlignment="1">
      <alignment horizontal="left" vertical="center" indent="1"/>
    </xf>
    <xf numFmtId="0" fontId="8" fillId="0" borderId="18" xfId="5" applyFont="1" applyBorder="1" applyAlignment="1">
      <alignment horizontal="center" vertical="center"/>
    </xf>
    <xf numFmtId="0" fontId="36" fillId="0" borderId="18" xfId="5" applyFont="1" applyBorder="1" applyAlignment="1">
      <alignment horizontal="center" vertical="center" wrapText="1"/>
    </xf>
    <xf numFmtId="43" fontId="8" fillId="0" borderId="18" xfId="2" applyFont="1" applyBorder="1" applyAlignment="1">
      <alignment horizontal="right" vertical="center" wrapText="1" indent="1"/>
    </xf>
    <xf numFmtId="0" fontId="8" fillId="0" borderId="28" xfId="5" applyFont="1" applyBorder="1" applyAlignment="1">
      <alignment horizontal="left" vertical="center" indent="1"/>
    </xf>
    <xf numFmtId="0" fontId="8" fillId="0" borderId="28" xfId="5" applyFont="1" applyBorder="1" applyAlignment="1">
      <alignment horizontal="center" vertical="center"/>
    </xf>
    <xf numFmtId="43" fontId="8" fillId="0" borderId="28" xfId="2" applyFont="1" applyBorder="1" applyAlignment="1">
      <alignment horizontal="right" vertical="center" wrapText="1" indent="1"/>
    </xf>
    <xf numFmtId="167" fontId="35" fillId="0" borderId="15" xfId="2" applyNumberFormat="1" applyFont="1" applyBorder="1" applyAlignment="1">
      <alignment horizontal="right" vertical="center"/>
    </xf>
    <xf numFmtId="0" fontId="8" fillId="0" borderId="17" xfId="5" applyFont="1" applyBorder="1" applyAlignment="1">
      <alignment horizontal="left" vertical="center" wrapText="1" indent="1"/>
    </xf>
    <xf numFmtId="0" fontId="8" fillId="0" borderId="17" xfId="5" applyFont="1" applyBorder="1" applyAlignment="1">
      <alignment horizontal="center" vertical="center" wrapText="1"/>
    </xf>
    <xf numFmtId="0" fontId="8" fillId="0" borderId="19" xfId="5" applyFont="1" applyBorder="1" applyAlignment="1">
      <alignment horizontal="center" vertical="center" wrapText="1"/>
    </xf>
    <xf numFmtId="0" fontId="8" fillId="0" borderId="18" xfId="5" applyFont="1" applyBorder="1" applyAlignment="1">
      <alignment horizontal="left" vertical="center" wrapText="1" indent="1"/>
    </xf>
    <xf numFmtId="0" fontId="8" fillId="0" borderId="18" xfId="5" applyFont="1" applyBorder="1" applyAlignment="1">
      <alignment horizontal="center" vertical="center" wrapText="1"/>
    </xf>
    <xf numFmtId="0" fontId="8" fillId="0" borderId="19" xfId="5" applyFont="1" applyBorder="1" applyAlignment="1">
      <alignment horizontal="center" vertical="center"/>
    </xf>
    <xf numFmtId="0" fontId="0" fillId="0" borderId="0" xfId="5" applyFont="1"/>
    <xf numFmtId="0" fontId="36" fillId="0" borderId="18" xfId="5" applyFont="1" applyBorder="1" applyAlignment="1">
      <alignment horizontal="left" vertical="center" wrapText="1" indent="1"/>
    </xf>
    <xf numFmtId="0" fontId="36" fillId="0" borderId="18" xfId="5" applyFont="1" applyBorder="1" applyAlignment="1">
      <alignment horizontal="center" vertical="center"/>
    </xf>
    <xf numFmtId="43" fontId="36" fillId="0" borderId="18" xfId="2" applyFont="1" applyBorder="1" applyAlignment="1">
      <alignment horizontal="right" vertical="center" wrapText="1" indent="1"/>
    </xf>
    <xf numFmtId="0" fontId="8" fillId="0" borderId="27" xfId="5" applyFont="1" applyBorder="1" applyAlignment="1">
      <alignment horizontal="left" vertical="center" wrapText="1" indent="1"/>
    </xf>
    <xf numFmtId="0" fontId="8" fillId="0" borderId="27" xfId="5" applyFont="1" applyBorder="1" applyAlignment="1">
      <alignment horizontal="center" vertical="center"/>
    </xf>
    <xf numFmtId="43" fontId="8" fillId="0" borderId="27" xfId="2" applyFont="1" applyBorder="1" applyAlignment="1">
      <alignment horizontal="right" vertical="center" wrapText="1" indent="1"/>
    </xf>
    <xf numFmtId="0" fontId="7" fillId="0" borderId="0" xfId="5" applyAlignment="1">
      <alignment horizontal="center"/>
    </xf>
    <xf numFmtId="0" fontId="11" fillId="0" borderId="0" xfId="0" applyFont="1" applyAlignment="1">
      <alignment wrapText="1"/>
    </xf>
    <xf numFmtId="0" fontId="11" fillId="0" borderId="0" xfId="0" applyFont="1" applyAlignment="1">
      <alignment vertical="center" wrapText="1"/>
    </xf>
    <xf numFmtId="43" fontId="11" fillId="0" borderId="0" xfId="1" applyFont="1"/>
    <xf numFmtId="3" fontId="8" fillId="0" borderId="19" xfId="3" applyNumberFormat="1" applyFont="1" applyBorder="1" applyAlignment="1" applyProtection="1">
      <alignment horizontal="center" vertical="center" wrapText="1"/>
      <protection locked="0"/>
    </xf>
    <xf numFmtId="3" fontId="16" fillId="0" borderId="0" xfId="3" applyNumberFormat="1" applyFont="1" applyAlignment="1">
      <alignment vertical="center" wrapText="1"/>
    </xf>
    <xf numFmtId="3" fontId="8" fillId="0" borderId="18" xfId="0" applyNumberFormat="1" applyFont="1" applyBorder="1" applyAlignment="1">
      <alignment horizontal="center" vertical="center" wrapText="1"/>
    </xf>
    <xf numFmtId="3" fontId="6" fillId="0" borderId="18" xfId="0" applyNumberFormat="1" applyFont="1" applyBorder="1" applyAlignment="1">
      <alignment horizontal="left" vertical="center" wrapText="1"/>
    </xf>
    <xf numFmtId="3" fontId="8" fillId="0" borderId="18" xfId="0" applyNumberFormat="1" applyFont="1" applyBorder="1" applyAlignment="1" applyProtection="1">
      <alignment horizontal="center" vertical="center" wrapText="1"/>
      <protection locked="0"/>
    </xf>
    <xf numFmtId="3" fontId="8" fillId="0" borderId="18" xfId="0" applyNumberFormat="1" applyFont="1" applyBorder="1" applyAlignment="1">
      <alignment horizontal="left" vertical="center" wrapText="1"/>
    </xf>
    <xf numFmtId="3" fontId="8" fillId="0" borderId="27" xfId="0" applyNumberFormat="1" applyFont="1" applyBorder="1" applyAlignment="1">
      <alignment horizontal="center" vertical="center" wrapText="1"/>
    </xf>
    <xf numFmtId="3" fontId="8" fillId="0" borderId="27" xfId="0" applyNumberFormat="1" applyFont="1" applyBorder="1" applyAlignment="1">
      <alignment horizontal="left" vertical="center" wrapText="1"/>
    </xf>
    <xf numFmtId="3" fontId="8" fillId="0" borderId="27" xfId="0" applyNumberFormat="1" applyFont="1" applyBorder="1" applyAlignment="1" applyProtection="1">
      <alignment horizontal="center" vertical="center" wrapText="1"/>
      <protection locked="0"/>
    </xf>
    <xf numFmtId="43" fontId="8" fillId="0" borderId="27" xfId="2" applyFont="1" applyBorder="1" applyAlignment="1">
      <alignment horizontal="left" vertical="center" wrapText="1"/>
    </xf>
    <xf numFmtId="3" fontId="8" fillId="0" borderId="18" xfId="0" applyNumberFormat="1" applyFont="1" applyBorder="1" applyAlignment="1">
      <alignment horizontal="center" vertical="center"/>
    </xf>
    <xf numFmtId="3" fontId="8" fillId="0" borderId="18" xfId="3" applyNumberFormat="1" applyFont="1" applyBorder="1" applyAlignment="1" applyProtection="1">
      <alignment horizontal="center" vertical="center" wrapText="1"/>
      <protection locked="0"/>
    </xf>
    <xf numFmtId="3" fontId="6" fillId="4" borderId="19" xfId="0" applyNumberFormat="1" applyFont="1" applyFill="1" applyBorder="1" applyAlignment="1">
      <alignment horizontal="left" vertical="center" wrapText="1"/>
    </xf>
    <xf numFmtId="3" fontId="6" fillId="0" borderId="25" xfId="0" applyNumberFormat="1" applyFont="1" applyBorder="1" applyAlignment="1">
      <alignment horizontal="center" vertical="center" wrapText="1"/>
    </xf>
    <xf numFmtId="3" fontId="37" fillId="0" borderId="18" xfId="3" applyNumberFormat="1" applyFont="1" applyBorder="1" applyAlignment="1">
      <alignment horizontal="left" vertical="center" wrapText="1"/>
    </xf>
    <xf numFmtId="43" fontId="6" fillId="0" borderId="25" xfId="1" applyFont="1" applyBorder="1" applyAlignment="1">
      <alignment horizontal="center" vertical="center" wrapText="1"/>
    </xf>
    <xf numFmtId="3" fontId="8" fillId="0" borderId="26" xfId="0" applyNumberFormat="1" applyFont="1" applyBorder="1" applyAlignment="1">
      <alignment horizontal="center" vertical="center" wrapText="1"/>
    </xf>
    <xf numFmtId="3" fontId="8" fillId="4" borderId="18" xfId="3" applyNumberFormat="1" applyFont="1" applyFill="1" applyBorder="1" applyAlignment="1">
      <alignment horizontal="center" vertical="center" wrapText="1"/>
    </xf>
    <xf numFmtId="43" fontId="8" fillId="0" borderId="18" xfId="1" applyFont="1" applyBorder="1" applyAlignment="1">
      <alignment vertical="center" wrapText="1"/>
    </xf>
    <xf numFmtId="43" fontId="8" fillId="0" borderId="36" xfId="2" applyFont="1" applyBorder="1" applyAlignment="1">
      <alignment horizontal="right" vertical="center" wrapText="1"/>
    </xf>
    <xf numFmtId="3" fontId="8" fillId="0" borderId="18" xfId="0" applyNumberFormat="1" applyFont="1" applyBorder="1" applyAlignment="1">
      <alignment horizontal="justify" vertical="center" wrapText="1"/>
    </xf>
    <xf numFmtId="0" fontId="11" fillId="0" borderId="0" xfId="0" applyFont="1" applyAlignment="1">
      <alignment horizontal="center" vertical="center"/>
    </xf>
    <xf numFmtId="0" fontId="11" fillId="0" borderId="0" xfId="0" applyFont="1" applyAlignment="1">
      <alignment horizontal="center"/>
    </xf>
    <xf numFmtId="0" fontId="19" fillId="0" borderId="19" xfId="3" applyFont="1" applyBorder="1" applyAlignment="1">
      <alignment wrapText="1"/>
    </xf>
    <xf numFmtId="0" fontId="19" fillId="0" borderId="19" xfId="3" applyFont="1" applyBorder="1" applyAlignment="1">
      <alignment horizontal="right" wrapText="1"/>
    </xf>
    <xf numFmtId="43" fontId="18" fillId="8" borderId="18" xfId="3" applyNumberFormat="1" applyFont="1" applyFill="1" applyBorder="1"/>
    <xf numFmtId="0" fontId="1" fillId="20" borderId="0" xfId="6" applyFill="1"/>
    <xf numFmtId="0" fontId="2" fillId="20" borderId="0" xfId="6" applyFont="1" applyFill="1"/>
    <xf numFmtId="0" fontId="27" fillId="0" borderId="0" xfId="6" applyFont="1"/>
    <xf numFmtId="0" fontId="28" fillId="0" borderId="0" xfId="6" applyFont="1"/>
    <xf numFmtId="0" fontId="1" fillId="20" borderId="0" xfId="6" applyFill="1" applyAlignment="1">
      <alignment wrapText="1"/>
    </xf>
    <xf numFmtId="43" fontId="38" fillId="0" borderId="0" xfId="1" applyFont="1"/>
    <xf numFmtId="43" fontId="38" fillId="0" borderId="0" xfId="1" applyFont="1" applyAlignment="1">
      <alignment vertical="center"/>
    </xf>
    <xf numFmtId="43" fontId="39" fillId="0" borderId="0" xfId="1" applyFont="1"/>
    <xf numFmtId="43" fontId="38" fillId="0" borderId="0" xfId="1" applyFont="1" applyAlignment="1">
      <alignment horizontal="center" vertical="center"/>
    </xf>
    <xf numFmtId="43" fontId="38" fillId="0" borderId="0" xfId="1" applyFont="1" applyAlignment="1">
      <alignment horizontal="left" vertical="center"/>
    </xf>
    <xf numFmtId="0" fontId="12" fillId="0" borderId="0" xfId="0" applyFont="1" applyAlignment="1">
      <alignment wrapText="1"/>
    </xf>
    <xf numFmtId="0" fontId="8" fillId="0" borderId="18" xfId="0" applyFont="1" applyBorder="1" applyAlignment="1">
      <alignment vertical="center" wrapText="1"/>
    </xf>
    <xf numFmtId="0" fontId="6" fillId="0" borderId="18" xfId="0" applyFont="1" applyBorder="1" applyAlignment="1">
      <alignment vertical="center" wrapText="1"/>
    </xf>
    <xf numFmtId="0" fontId="19" fillId="0" borderId="27" xfId="3" applyFont="1" applyBorder="1" applyAlignment="1">
      <alignment wrapText="1"/>
    </xf>
    <xf numFmtId="0" fontId="18" fillId="0" borderId="27" xfId="3" applyFont="1" applyBorder="1" applyAlignment="1">
      <alignment horizontal="left" wrapText="1"/>
    </xf>
    <xf numFmtId="164" fontId="18" fillId="0" borderId="19" xfId="3" applyNumberFormat="1" applyFont="1" applyBorder="1"/>
    <xf numFmtId="170" fontId="7" fillId="0" borderId="0" xfId="3" applyNumberFormat="1"/>
    <xf numFmtId="164" fontId="18" fillId="0" borderId="27" xfId="2" applyNumberFormat="1" applyFont="1" applyBorder="1"/>
    <xf numFmtId="0" fontId="18" fillId="0" borderId="28" xfId="3" applyFont="1" applyBorder="1" applyAlignment="1">
      <alignment wrapText="1"/>
    </xf>
    <xf numFmtId="43" fontId="19" fillId="0" borderId="28" xfId="3" applyNumberFormat="1" applyFont="1" applyBorder="1"/>
    <xf numFmtId="0" fontId="18" fillId="0" borderId="26" xfId="3" applyFont="1" applyBorder="1" applyAlignment="1">
      <alignment wrapText="1"/>
    </xf>
    <xf numFmtId="43" fontId="18" fillId="0" borderId="26" xfId="3" applyNumberFormat="1" applyFont="1" applyBorder="1"/>
    <xf numFmtId="0" fontId="1" fillId="0" borderId="0" xfId="6" applyAlignment="1">
      <alignment horizontal="center"/>
    </xf>
    <xf numFmtId="3" fontId="8" fillId="0" borderId="41" xfId="3" applyNumberFormat="1" applyFont="1" applyBorder="1" applyAlignment="1">
      <alignment horizontal="left" vertical="center"/>
    </xf>
    <xf numFmtId="0" fontId="8" fillId="0" borderId="27" xfId="0" applyFont="1" applyBorder="1" applyAlignment="1">
      <alignment horizontal="center" vertical="center" wrapText="1"/>
    </xf>
    <xf numFmtId="0" fontId="8" fillId="0" borderId="27" xfId="0" applyFont="1" applyBorder="1" applyAlignment="1">
      <alignment horizontal="left" vertical="center" wrapText="1"/>
    </xf>
    <xf numFmtId="0" fontId="8" fillId="0" borderId="18" xfId="0" applyFont="1" applyBorder="1" applyAlignment="1">
      <alignment horizontal="center" vertical="center" wrapText="1"/>
    </xf>
    <xf numFmtId="3" fontId="40" fillId="0" borderId="26" xfId="0" applyNumberFormat="1" applyFont="1" applyBorder="1" applyAlignment="1">
      <alignment horizontal="left" vertical="center" wrapText="1"/>
    </xf>
    <xf numFmtId="3" fontId="8" fillId="21" borderId="17" xfId="0" applyNumberFormat="1" applyFont="1" applyFill="1" applyBorder="1" applyAlignment="1">
      <alignment horizontal="center" vertical="center" wrapText="1"/>
    </xf>
    <xf numFmtId="3" fontId="6" fillId="21" borderId="17" xfId="0" applyNumberFormat="1" applyFont="1" applyFill="1" applyBorder="1" applyAlignment="1">
      <alignment horizontal="left" vertical="center" wrapText="1"/>
    </xf>
    <xf numFmtId="0" fontId="11" fillId="0" borderId="17" xfId="0" applyFont="1" applyBorder="1" applyAlignment="1">
      <alignment horizontal="center"/>
    </xf>
    <xf numFmtId="0" fontId="11" fillId="0" borderId="18" xfId="0" applyFont="1" applyBorder="1" applyAlignment="1">
      <alignment horizontal="justify" vertical="center"/>
    </xf>
    <xf numFmtId="3" fontId="11" fillId="0" borderId="18" xfId="0" applyNumberFormat="1" applyFont="1" applyBorder="1" applyAlignment="1">
      <alignment horizontal="center" vertical="center"/>
    </xf>
    <xf numFmtId="43" fontId="11" fillId="0" borderId="18" xfId="1" applyFont="1" applyFill="1" applyBorder="1" applyAlignment="1">
      <alignment vertical="center"/>
    </xf>
    <xf numFmtId="43" fontId="11" fillId="3" borderId="0" xfId="1" applyFont="1" applyFill="1"/>
    <xf numFmtId="0" fontId="11" fillId="3" borderId="0" xfId="0" applyFont="1" applyFill="1"/>
    <xf numFmtId="0" fontId="8" fillId="0" borderId="18" xfId="0" applyFont="1" applyBorder="1" applyAlignment="1">
      <alignment horizontal="left" vertical="center" wrapText="1"/>
    </xf>
    <xf numFmtId="0" fontId="8" fillId="0" borderId="18" xfId="0" applyFont="1" applyBorder="1" applyAlignment="1">
      <alignment horizontal="justify" vertical="center" wrapText="1"/>
    </xf>
    <xf numFmtId="0" fontId="11" fillId="0" borderId="18" xfId="0" applyFont="1" applyBorder="1" applyAlignment="1">
      <alignment horizontal="left" vertical="center" wrapText="1"/>
    </xf>
    <xf numFmtId="43" fontId="12" fillId="0" borderId="0" xfId="0" applyNumberFormat="1" applyFont="1" applyAlignment="1">
      <alignment horizontal="center" wrapText="1"/>
    </xf>
    <xf numFmtId="43" fontId="41" fillId="0" borderId="0" xfId="1" applyFont="1" applyAlignment="1">
      <alignment vertical="center" wrapText="1"/>
    </xf>
    <xf numFmtId="0" fontId="27" fillId="20" borderId="0" xfId="6" applyFont="1" applyFill="1"/>
    <xf numFmtId="0" fontId="28" fillId="20" borderId="0" xfId="6" applyFont="1" applyFill="1"/>
    <xf numFmtId="43" fontId="1" fillId="0" borderId="16" xfId="6" applyNumberFormat="1" applyBorder="1"/>
    <xf numFmtId="2" fontId="1" fillId="0" borderId="0" xfId="6" applyNumberFormat="1"/>
    <xf numFmtId="43" fontId="38" fillId="0" borderId="0" xfId="1" applyFont="1" applyAlignment="1">
      <alignment horizontal="center"/>
    </xf>
    <xf numFmtId="43" fontId="8" fillId="0" borderId="18" xfId="2" applyFont="1" applyFill="1" applyBorder="1" applyAlignment="1">
      <alignment horizontal="left" vertical="center" wrapText="1"/>
    </xf>
    <xf numFmtId="43" fontId="18" fillId="0" borderId="27" xfId="2" applyFont="1" applyFill="1" applyBorder="1"/>
    <xf numFmtId="43" fontId="18" fillId="0" borderId="19" xfId="2" applyFont="1" applyFill="1" applyBorder="1"/>
    <xf numFmtId="43" fontId="18" fillId="0" borderId="18" xfId="2" applyFont="1" applyFill="1" applyBorder="1"/>
    <xf numFmtId="43" fontId="18" fillId="0" borderId="15" xfId="2" applyFont="1" applyFill="1" applyBorder="1"/>
    <xf numFmtId="43" fontId="0" fillId="0" borderId="0" xfId="7" applyFont="1" applyFill="1"/>
    <xf numFmtId="43" fontId="0" fillId="0" borderId="15" xfId="2" applyFont="1" applyFill="1" applyBorder="1"/>
    <xf numFmtId="43" fontId="1" fillId="0" borderId="15" xfId="2" applyFont="1" applyFill="1" applyBorder="1"/>
    <xf numFmtId="43" fontId="27" fillId="0" borderId="15" xfId="2" applyFont="1" applyFill="1" applyBorder="1"/>
    <xf numFmtId="43" fontId="0" fillId="0" borderId="0" xfId="2" applyFont="1" applyFill="1"/>
    <xf numFmtId="43" fontId="1" fillId="0" borderId="0" xfId="2" applyFont="1" applyFill="1"/>
    <xf numFmtId="43" fontId="27" fillId="0" borderId="0" xfId="2" applyFont="1" applyFill="1"/>
    <xf numFmtId="43" fontId="0" fillId="0" borderId="31" xfId="1" applyFont="1" applyBorder="1"/>
    <xf numFmtId="43" fontId="2" fillId="0" borderId="31" xfId="1" applyFont="1" applyBorder="1"/>
    <xf numFmtId="165" fontId="6" fillId="0" borderId="42" xfId="3" quotePrefix="1" applyNumberFormat="1" applyFont="1" applyBorder="1" applyAlignment="1">
      <alignment horizontal="center" vertical="center" wrapText="1"/>
    </xf>
    <xf numFmtId="3" fontId="37" fillId="0" borderId="26" xfId="3" applyNumberFormat="1" applyFont="1" applyBorder="1" applyAlignment="1">
      <alignment horizontal="left" vertical="center" wrapText="1"/>
    </xf>
    <xf numFmtId="3" fontId="8" fillId="0" borderId="18" xfId="3" applyNumberFormat="1" applyFont="1" applyBorder="1" applyAlignment="1">
      <alignment vertical="center" wrapText="1"/>
    </xf>
    <xf numFmtId="3" fontId="8" fillId="0" borderId="43" xfId="3" applyNumberFormat="1" applyFont="1" applyBorder="1" applyAlignment="1">
      <alignment vertical="center" wrapText="1"/>
    </xf>
    <xf numFmtId="0" fontId="8" fillId="0" borderId="18" xfId="3" applyFont="1" applyBorder="1" applyAlignment="1" applyProtection="1">
      <alignment horizontal="center" vertical="center" wrapText="1"/>
      <protection locked="0"/>
    </xf>
    <xf numFmtId="4" fontId="8" fillId="0" borderId="44" xfId="3" applyNumberFormat="1" applyFont="1" applyBorder="1" applyAlignment="1">
      <alignment vertical="center" wrapText="1"/>
    </xf>
    <xf numFmtId="4" fontId="8" fillId="0" borderId="43" xfId="3" applyNumberFormat="1" applyFont="1" applyBorder="1" applyAlignment="1">
      <alignment vertical="center" wrapText="1"/>
    </xf>
    <xf numFmtId="0" fontId="8" fillId="0" borderId="19" xfId="0" applyFont="1" applyBorder="1" applyAlignment="1">
      <alignment vertical="center" wrapText="1"/>
    </xf>
    <xf numFmtId="3" fontId="6" fillId="0" borderId="27" xfId="0" applyNumberFormat="1" applyFont="1" applyBorder="1" applyAlignment="1">
      <alignment horizontal="center" vertical="center" wrapText="1"/>
    </xf>
    <xf numFmtId="3" fontId="6" fillId="0" borderId="27" xfId="0" applyNumberFormat="1" applyFont="1" applyBorder="1" applyAlignment="1" applyProtection="1">
      <alignment horizontal="center" vertical="center" wrapText="1"/>
      <protection locked="0"/>
    </xf>
    <xf numFmtId="43" fontId="6" fillId="0" borderId="27" xfId="2" applyFont="1" applyBorder="1" applyAlignment="1">
      <alignment horizontal="left" vertical="center" wrapText="1"/>
    </xf>
    <xf numFmtId="9" fontId="8" fillId="0" borderId="27" xfId="4" applyFont="1" applyBorder="1" applyAlignment="1" applyProtection="1">
      <alignment horizontal="center" vertical="center" wrapText="1"/>
      <protection locked="0"/>
    </xf>
    <xf numFmtId="9" fontId="8" fillId="0" borderId="27" xfId="4" applyFont="1" applyBorder="1" applyAlignment="1" applyProtection="1">
      <alignment horizontal="right" vertical="center" wrapText="1"/>
      <protection locked="0"/>
    </xf>
    <xf numFmtId="43" fontId="8" fillId="0" borderId="18" xfId="2" applyFont="1" applyBorder="1" applyAlignment="1">
      <alignment vertical="center" wrapText="1"/>
    </xf>
    <xf numFmtId="3" fontId="43" fillId="0" borderId="0" xfId="3" applyNumberFormat="1" applyFont="1" applyAlignment="1">
      <alignment horizontal="center" vertical="center" wrapText="1"/>
    </xf>
    <xf numFmtId="0" fontId="39" fillId="0" borderId="0" xfId="0" applyFont="1" applyAlignment="1">
      <alignment vertical="center" wrapText="1"/>
    </xf>
    <xf numFmtId="43" fontId="44" fillId="0" borderId="0" xfId="1" applyFont="1" applyAlignment="1">
      <alignment horizontal="center" vertical="center"/>
    </xf>
    <xf numFmtId="0" fontId="44" fillId="0" borderId="0" xfId="0" applyFont="1" applyAlignment="1">
      <alignment horizontal="center" vertical="center"/>
    </xf>
    <xf numFmtId="3" fontId="8" fillId="0" borderId="18" xfId="11" applyNumberFormat="1" applyFont="1" applyBorder="1" applyAlignment="1">
      <alignment horizontal="center" vertical="center" wrapText="1"/>
    </xf>
    <xf numFmtId="3" fontId="8" fillId="0" borderId="18" xfId="11" applyNumberFormat="1" applyFont="1" applyBorder="1" applyAlignment="1">
      <alignment vertical="center" wrapText="1"/>
    </xf>
    <xf numFmtId="43" fontId="45" fillId="0" borderId="0" xfId="0" applyNumberFormat="1" applyFont="1" applyAlignment="1">
      <alignment horizontal="center" vertical="center"/>
    </xf>
    <xf numFmtId="43" fontId="44" fillId="0" borderId="0" xfId="0" applyNumberFormat="1" applyFont="1" applyAlignment="1">
      <alignment horizontal="center" vertical="center"/>
    </xf>
    <xf numFmtId="3" fontId="43" fillId="0" borderId="0" xfId="3" applyNumberFormat="1" applyFont="1" applyAlignment="1">
      <alignment vertical="center" wrapText="1"/>
    </xf>
    <xf numFmtId="0" fontId="44" fillId="0" borderId="0" xfId="0" applyFont="1"/>
    <xf numFmtId="43" fontId="44" fillId="0" borderId="0" xfId="0" applyNumberFormat="1" applyFont="1"/>
    <xf numFmtId="3" fontId="8" fillId="4" borderId="18" xfId="9" applyNumberFormat="1" applyFont="1" applyFill="1" applyBorder="1" applyAlignment="1">
      <alignment horizontal="center" vertical="center" wrapText="1"/>
    </xf>
    <xf numFmtId="3" fontId="8" fillId="4" borderId="18" xfId="9" applyNumberFormat="1" applyFont="1" applyFill="1" applyBorder="1" applyAlignment="1">
      <alignment horizontal="left" vertical="center" wrapText="1"/>
    </xf>
    <xf numFmtId="3" fontId="8" fillId="0" borderId="18" xfId="9" applyNumberFormat="1" applyFont="1" applyBorder="1" applyAlignment="1">
      <alignment horizontal="center" vertical="center" wrapText="1"/>
    </xf>
    <xf numFmtId="3" fontId="43" fillId="3" borderId="0" xfId="3" applyNumberFormat="1" applyFont="1" applyFill="1" applyAlignment="1">
      <alignment vertical="center" wrapText="1"/>
    </xf>
    <xf numFmtId="43" fontId="43" fillId="3" borderId="0" xfId="1" applyFont="1" applyFill="1" applyAlignment="1">
      <alignment vertical="center" wrapText="1"/>
    </xf>
    <xf numFmtId="0" fontId="8" fillId="0" borderId="18" xfId="3" applyFont="1" applyBorder="1" applyAlignment="1">
      <alignment horizontal="center" vertical="center" wrapText="1"/>
    </xf>
    <xf numFmtId="167" fontId="8" fillId="0" borderId="18" xfId="2" applyNumberFormat="1" applyFont="1" applyFill="1" applyBorder="1" applyAlignment="1">
      <alignment vertical="center" wrapText="1"/>
    </xf>
    <xf numFmtId="0" fontId="18" fillId="20" borderId="18" xfId="3" applyFont="1" applyFill="1" applyBorder="1" applyAlignment="1">
      <alignment wrapText="1"/>
    </xf>
    <xf numFmtId="43" fontId="46" fillId="0" borderId="0" xfId="3" applyNumberFormat="1" applyFont="1"/>
    <xf numFmtId="0" fontId="18" fillId="20" borderId="19" xfId="3" applyFont="1" applyFill="1" applyBorder="1" applyAlignment="1">
      <alignment wrapText="1"/>
    </xf>
    <xf numFmtId="43" fontId="21" fillId="0" borderId="23" xfId="3" applyNumberFormat="1" applyFont="1" applyBorder="1"/>
    <xf numFmtId="43" fontId="21" fillId="0" borderId="24" xfId="3" applyNumberFormat="1" applyFont="1" applyBorder="1"/>
    <xf numFmtId="0" fontId="19" fillId="5" borderId="17" xfId="3" applyFont="1" applyFill="1" applyBorder="1" applyAlignment="1">
      <alignment horizontal="left" wrapText="1"/>
    </xf>
    <xf numFmtId="0" fontId="19" fillId="5" borderId="23" xfId="3" applyFont="1" applyFill="1" applyBorder="1" applyAlignment="1">
      <alignment wrapText="1"/>
    </xf>
    <xf numFmtId="43" fontId="21" fillId="5" borderId="23" xfId="3" applyNumberFormat="1" applyFont="1" applyFill="1" applyBorder="1"/>
    <xf numFmtId="0" fontId="21" fillId="5" borderId="23" xfId="3" applyFont="1" applyFill="1" applyBorder="1"/>
    <xf numFmtId="43" fontId="21" fillId="5" borderId="24" xfId="3" applyNumberFormat="1" applyFont="1" applyFill="1" applyBorder="1"/>
    <xf numFmtId="0" fontId="19" fillId="0" borderId="17" xfId="3" applyFont="1" applyBorder="1" applyAlignment="1">
      <alignment wrapText="1"/>
    </xf>
    <xf numFmtId="43" fontId="21" fillId="0" borderId="17" xfId="3" applyNumberFormat="1" applyFont="1" applyBorder="1"/>
    <xf numFmtId="0" fontId="21" fillId="0" borderId="17" xfId="3" applyFont="1" applyBorder="1"/>
    <xf numFmtId="43" fontId="18" fillId="0" borderId="17" xfId="3" applyNumberFormat="1" applyFont="1" applyBorder="1"/>
    <xf numFmtId="0" fontId="19" fillId="0" borderId="18" xfId="3" applyFont="1" applyBorder="1" applyAlignment="1">
      <alignment wrapText="1"/>
    </xf>
    <xf numFmtId="43" fontId="21" fillId="0" borderId="18" xfId="3" applyNumberFormat="1" applyFont="1" applyBorder="1"/>
    <xf numFmtId="0" fontId="21" fillId="0" borderId="18" xfId="3" applyFont="1" applyBorder="1"/>
    <xf numFmtId="0" fontId="19" fillId="0" borderId="28" xfId="3" applyFont="1" applyBorder="1" applyAlignment="1">
      <alignment wrapText="1"/>
    </xf>
    <xf numFmtId="43" fontId="21" fillId="0" borderId="28" xfId="3" applyNumberFormat="1" applyFont="1" applyBorder="1"/>
    <xf numFmtId="0" fontId="21" fillId="0" borderId="28" xfId="3" applyFont="1" applyBorder="1"/>
    <xf numFmtId="0" fontId="18" fillId="0" borderId="0" xfId="3" applyFont="1" applyAlignment="1">
      <alignment horizontal="right" wrapText="1"/>
    </xf>
    <xf numFmtId="43" fontId="18" fillId="0" borderId="0" xfId="2" applyFont="1" applyFill="1" applyBorder="1"/>
    <xf numFmtId="166" fontId="18" fillId="0" borderId="0" xfId="3" applyNumberFormat="1" applyFont="1"/>
    <xf numFmtId="170" fontId="18" fillId="0" borderId="0" xfId="3" applyNumberFormat="1" applyFont="1"/>
    <xf numFmtId="43" fontId="19" fillId="8" borderId="0" xfId="3" applyNumberFormat="1" applyFont="1" applyFill="1"/>
    <xf numFmtId="43" fontId="18" fillId="0" borderId="0" xfId="3" applyNumberFormat="1" applyFont="1"/>
    <xf numFmtId="0" fontId="18" fillId="20" borderId="27" xfId="3" applyFont="1" applyFill="1" applyBorder="1" applyAlignment="1">
      <alignment wrapText="1"/>
    </xf>
    <xf numFmtId="0" fontId="2" fillId="0" borderId="25" xfId="0" applyFont="1" applyBorder="1"/>
    <xf numFmtId="0" fontId="2" fillId="0" borderId="17" xfId="0" applyFont="1" applyBorder="1"/>
    <xf numFmtId="0" fontId="0" fillId="0" borderId="17" xfId="0" applyBorder="1"/>
    <xf numFmtId="0" fontId="0" fillId="0" borderId="16" xfId="0" applyBorder="1"/>
    <xf numFmtId="0" fontId="2" fillId="0" borderId="16" xfId="0" applyFont="1" applyBorder="1"/>
    <xf numFmtId="0" fontId="2" fillId="0" borderId="18" xfId="0" applyFont="1" applyBorder="1"/>
    <xf numFmtId="0" fontId="0" fillId="0" borderId="19" xfId="0" applyBorder="1"/>
    <xf numFmtId="0" fontId="2" fillId="0" borderId="19" xfId="0" applyFont="1" applyBorder="1"/>
    <xf numFmtId="0" fontId="0" fillId="0" borderId="18" xfId="0" applyBorder="1"/>
    <xf numFmtId="43" fontId="0" fillId="0" borderId="18" xfId="1" applyFont="1" applyBorder="1"/>
    <xf numFmtId="43" fontId="0" fillId="0" borderId="18" xfId="1" applyFont="1" applyFill="1" applyBorder="1"/>
    <xf numFmtId="0" fontId="0" fillId="11" borderId="0" xfId="0" applyFill="1"/>
    <xf numFmtId="0" fontId="0" fillId="12" borderId="0" xfId="0" applyFill="1"/>
    <xf numFmtId="0" fontId="0" fillId="0" borderId="27" xfId="0" applyBorder="1"/>
    <xf numFmtId="43" fontId="0" fillId="0" borderId="27" xfId="1" applyFont="1" applyBorder="1"/>
    <xf numFmtId="43" fontId="0" fillId="0" borderId="27" xfId="1" applyFont="1" applyFill="1" applyBorder="1"/>
    <xf numFmtId="0" fontId="0" fillId="13" borderId="18" xfId="0" applyFill="1" applyBorder="1"/>
    <xf numFmtId="0" fontId="0" fillId="5" borderId="18" xfId="0" applyFill="1" applyBorder="1"/>
    <xf numFmtId="0" fontId="0" fillId="6" borderId="18" xfId="0" applyFill="1" applyBorder="1"/>
    <xf numFmtId="0" fontId="0" fillId="14" borderId="18" xfId="0" applyFill="1" applyBorder="1"/>
    <xf numFmtId="0" fontId="0" fillId="14" borderId="27" xfId="0" applyFill="1" applyBorder="1"/>
    <xf numFmtId="0" fontId="0" fillId="8" borderId="18" xfId="0" applyFill="1" applyBorder="1"/>
    <xf numFmtId="0" fontId="0" fillId="8" borderId="27" xfId="0" applyFill="1" applyBorder="1"/>
    <xf numFmtId="0" fontId="0" fillId="15" borderId="18" xfId="0" applyFill="1" applyBorder="1"/>
    <xf numFmtId="0" fontId="0" fillId="15" borderId="27" xfId="0" applyFill="1" applyBorder="1"/>
    <xf numFmtId="0" fontId="0" fillId="0" borderId="28" xfId="0" applyBorder="1"/>
    <xf numFmtId="43" fontId="0" fillId="0" borderId="28" xfId="1" applyFont="1" applyBorder="1"/>
    <xf numFmtId="0" fontId="2" fillId="0" borderId="0" xfId="0" applyFont="1"/>
    <xf numFmtId="10" fontId="0" fillId="0" borderId="0" xfId="0" applyNumberFormat="1"/>
    <xf numFmtId="0" fontId="0" fillId="13" borderId="0" xfId="0" applyFill="1"/>
    <xf numFmtId="0" fontId="0" fillId="17" borderId="0" xfId="0" applyFill="1" applyAlignment="1">
      <alignment horizontal="center"/>
    </xf>
    <xf numFmtId="0" fontId="0" fillId="7" borderId="0" xfId="0" applyFill="1" applyAlignment="1">
      <alignment horizontal="center"/>
    </xf>
    <xf numFmtId="43" fontId="0" fillId="18" borderId="15" xfId="0" applyNumberFormat="1" applyFill="1" applyBorder="1"/>
    <xf numFmtId="43" fontId="0" fillId="0" borderId="0" xfId="0" applyNumberFormat="1"/>
    <xf numFmtId="43" fontId="0" fillId="18" borderId="0" xfId="2" applyFont="1" applyFill="1" applyBorder="1"/>
    <xf numFmtId="43" fontId="0" fillId="18" borderId="0" xfId="0" applyNumberFormat="1" applyFill="1"/>
    <xf numFmtId="43" fontId="1" fillId="0" borderId="0" xfId="2" applyFont="1" applyBorder="1"/>
    <xf numFmtId="0" fontId="0" fillId="19" borderId="0" xfId="0" applyFill="1"/>
    <xf numFmtId="0" fontId="0" fillId="0" borderId="0" xfId="0" applyAlignment="1">
      <alignment wrapText="1"/>
    </xf>
    <xf numFmtId="43" fontId="0" fillId="0" borderId="0" xfId="1" applyFont="1" applyFill="1"/>
    <xf numFmtId="43" fontId="2" fillId="0" borderId="0" xfId="0" applyNumberFormat="1" applyFont="1"/>
    <xf numFmtId="43" fontId="0" fillId="16" borderId="0" xfId="1" applyFont="1" applyFill="1"/>
    <xf numFmtId="43" fontId="0" fillId="18" borderId="22" xfId="0" applyNumberFormat="1" applyFill="1" applyBorder="1"/>
    <xf numFmtId="0" fontId="0" fillId="0" borderId="15" xfId="0" applyBorder="1"/>
    <xf numFmtId="43" fontId="0" fillId="22" borderId="0" xfId="1" applyFont="1" applyFill="1"/>
    <xf numFmtId="43" fontId="45" fillId="0" borderId="0" xfId="1" applyFont="1" applyAlignment="1">
      <alignment horizontal="center" vertical="center"/>
    </xf>
    <xf numFmtId="0" fontId="8" fillId="0" borderId="18" xfId="2" applyNumberFormat="1" applyFont="1" applyFill="1" applyBorder="1" applyAlignment="1" applyProtection="1">
      <alignment horizontal="center" vertical="center" wrapText="1"/>
      <protection locked="0"/>
    </xf>
    <xf numFmtId="3" fontId="43" fillId="0" borderId="0" xfId="0" applyNumberFormat="1" applyFont="1" applyAlignment="1">
      <alignment horizontal="center" vertical="center" wrapText="1"/>
    </xf>
    <xf numFmtId="3" fontId="14" fillId="0" borderId="0" xfId="0" applyNumberFormat="1" applyFont="1" applyAlignment="1">
      <alignment vertical="center" wrapText="1"/>
    </xf>
    <xf numFmtId="43" fontId="43" fillId="0" borderId="0" xfId="1" applyFont="1" applyAlignment="1">
      <alignment horizontal="center" vertical="center" wrapText="1"/>
    </xf>
    <xf numFmtId="3" fontId="11" fillId="0" borderId="19" xfId="0" applyNumberFormat="1" applyFont="1" applyBorder="1" applyAlignment="1">
      <alignment horizontal="center" vertical="center"/>
    </xf>
    <xf numFmtId="43" fontId="11" fillId="0" borderId="19" xfId="1" applyFont="1" applyBorder="1" applyAlignment="1">
      <alignment vertical="center"/>
    </xf>
    <xf numFmtId="0" fontId="19" fillId="0" borderId="19" xfId="3" applyFont="1" applyBorder="1" applyAlignment="1">
      <alignment horizontal="left" wrapText="1"/>
    </xf>
    <xf numFmtId="0" fontId="18" fillId="0" borderId="4" xfId="3" applyFont="1" applyBorder="1" applyAlignment="1">
      <alignment wrapText="1"/>
    </xf>
    <xf numFmtId="2" fontId="18" fillId="0" borderId="0" xfId="3" applyNumberFormat="1" applyFont="1"/>
    <xf numFmtId="0" fontId="18" fillId="0" borderId="0" xfId="3" applyFont="1"/>
    <xf numFmtId="43" fontId="18" fillId="0" borderId="5" xfId="2" applyFont="1" applyBorder="1"/>
    <xf numFmtId="43" fontId="19" fillId="0" borderId="26" xfId="3" applyNumberFormat="1" applyFont="1" applyBorder="1"/>
    <xf numFmtId="0" fontId="18" fillId="20" borderId="27" xfId="3" applyFont="1" applyFill="1" applyBorder="1" applyAlignment="1">
      <alignment horizontal="right" wrapText="1"/>
    </xf>
    <xf numFmtId="43" fontId="18" fillId="0" borderId="27" xfId="1" applyFont="1" applyBorder="1"/>
    <xf numFmtId="0" fontId="12" fillId="0" borderId="18" xfId="0" applyFont="1" applyFill="1" applyBorder="1" applyAlignment="1">
      <alignment vertical="center"/>
    </xf>
    <xf numFmtId="0" fontId="11" fillId="0" borderId="18" xfId="0" applyFont="1" applyFill="1" applyBorder="1" applyAlignment="1">
      <alignment vertical="center" wrapText="1"/>
    </xf>
    <xf numFmtId="3" fontId="6" fillId="0" borderId="18" xfId="0" applyNumberFormat="1" applyFont="1" applyFill="1" applyBorder="1" applyAlignment="1">
      <alignment horizontal="left" vertical="center" wrapText="1"/>
    </xf>
    <xf numFmtId="3" fontId="8" fillId="0" borderId="18" xfId="0" applyNumberFormat="1" applyFont="1" applyFill="1" applyBorder="1" applyAlignment="1">
      <alignment horizontal="left" vertical="center" wrapText="1"/>
    </xf>
    <xf numFmtId="3" fontId="6" fillId="0" borderId="18" xfId="3" applyNumberFormat="1" applyFont="1" applyFill="1" applyBorder="1" applyAlignment="1">
      <alignment horizontal="left" vertical="center" wrapText="1"/>
    </xf>
    <xf numFmtId="3" fontId="8" fillId="0" borderId="18" xfId="0" applyNumberFormat="1" applyFont="1" applyFill="1" applyBorder="1" applyAlignment="1">
      <alignment vertical="center" wrapText="1"/>
    </xf>
    <xf numFmtId="3" fontId="8" fillId="0" borderId="18" xfId="9" applyNumberFormat="1" applyFont="1" applyFill="1" applyBorder="1" applyAlignment="1">
      <alignment horizontal="left" vertical="center" wrapText="1"/>
    </xf>
    <xf numFmtId="0" fontId="8" fillId="0" borderId="49" xfId="3" applyFont="1" applyBorder="1" applyAlignment="1">
      <alignment horizontal="center" vertical="center"/>
    </xf>
    <xf numFmtId="0" fontId="8" fillId="0" borderId="23" xfId="3" applyFont="1" applyBorder="1" applyAlignment="1">
      <alignment horizontal="left" vertical="center" indent="1"/>
    </xf>
    <xf numFmtId="3" fontId="8" fillId="0" borderId="23" xfId="3" applyNumberFormat="1" applyFont="1" applyBorder="1" applyAlignment="1">
      <alignment horizontal="center" vertical="center"/>
    </xf>
    <xf numFmtId="43" fontId="8" fillId="0" borderId="50" xfId="2" applyFont="1" applyBorder="1" applyAlignment="1">
      <alignment horizontal="center" vertical="center"/>
    </xf>
    <xf numFmtId="0" fontId="8" fillId="0" borderId="8" xfId="3" applyFont="1" applyBorder="1" applyAlignment="1">
      <alignment horizontal="center" vertical="center"/>
    </xf>
    <xf numFmtId="3" fontId="8" fillId="0" borderId="0" xfId="3" applyNumberFormat="1" applyFont="1" applyAlignment="1">
      <alignment vertical="center" wrapText="1"/>
    </xf>
    <xf numFmtId="3" fontId="14" fillId="0" borderId="55" xfId="3" applyNumberFormat="1" applyFont="1" applyBorder="1" applyAlignment="1">
      <alignment horizontal="center" vertical="center" wrapText="1"/>
    </xf>
    <xf numFmtId="3" fontId="14" fillId="0" borderId="0" xfId="3" applyNumberFormat="1" applyFont="1" applyAlignment="1">
      <alignment horizontal="center" vertical="center" wrapText="1"/>
    </xf>
    <xf numFmtId="4" fontId="14" fillId="0" borderId="9" xfId="3" applyNumberFormat="1" applyFont="1" applyBorder="1" applyAlignment="1">
      <alignment horizontal="center" vertical="center" wrapText="1"/>
    </xf>
    <xf numFmtId="43" fontId="10" fillId="0" borderId="0" xfId="1" applyFont="1" applyAlignment="1">
      <alignment vertical="center" wrapText="1"/>
    </xf>
    <xf numFmtId="3" fontId="47" fillId="0" borderId="56" xfId="3" applyNumberFormat="1" applyFont="1" applyBorder="1" applyAlignment="1">
      <alignment horizontal="left" vertical="center" wrapText="1"/>
    </xf>
    <xf numFmtId="43" fontId="47" fillId="0" borderId="60" xfId="2" applyFont="1" applyBorder="1" applyAlignment="1">
      <alignment horizontal="right" vertical="center" wrapText="1"/>
    </xf>
    <xf numFmtId="3" fontId="10" fillId="0" borderId="0" xfId="2" applyNumberFormat="1" applyFont="1" applyAlignment="1">
      <alignment wrapText="1"/>
    </xf>
    <xf numFmtId="3" fontId="10" fillId="0" borderId="0" xfId="3" applyNumberFormat="1" applyFont="1" applyAlignment="1">
      <alignment wrapText="1"/>
    </xf>
    <xf numFmtId="3" fontId="8" fillId="0" borderId="0" xfId="3" applyNumberFormat="1" applyFont="1" applyAlignment="1">
      <alignment horizontal="center" vertical="center" wrapText="1"/>
    </xf>
    <xf numFmtId="43" fontId="8" fillId="0" borderId="0" xfId="2" applyFont="1" applyAlignment="1">
      <alignment horizontal="right" vertical="center" wrapText="1"/>
    </xf>
    <xf numFmtId="3" fontId="8" fillId="0" borderId="0" xfId="3" applyNumberFormat="1" applyFont="1" applyAlignment="1">
      <alignment wrapText="1"/>
    </xf>
    <xf numFmtId="2" fontId="6" fillId="0" borderId="0" xfId="3" quotePrefix="1" applyNumberFormat="1" applyFont="1" applyAlignment="1">
      <alignment horizontal="center" vertical="center" wrapText="1"/>
    </xf>
    <xf numFmtId="3" fontId="10" fillId="0" borderId="0" xfId="3" applyNumberFormat="1" applyFont="1" applyAlignment="1">
      <alignment horizontal="center" vertical="center" wrapText="1"/>
    </xf>
    <xf numFmtId="3" fontId="47" fillId="0" borderId="0" xfId="3" applyNumberFormat="1" applyFont="1" applyAlignment="1">
      <alignment horizontal="left" vertical="center" wrapText="1"/>
    </xf>
    <xf numFmtId="3" fontId="8" fillId="0" borderId="0" xfId="3" applyNumberFormat="1" applyFont="1" applyAlignment="1">
      <alignment horizontal="center" wrapText="1"/>
    </xf>
    <xf numFmtId="43" fontId="8" fillId="0" borderId="0" xfId="2" applyFont="1" applyAlignment="1">
      <alignment horizontal="right" wrapText="1"/>
    </xf>
    <xf numFmtId="3" fontId="6" fillId="0" borderId="0" xfId="3" applyNumberFormat="1" applyFont="1" applyAlignment="1">
      <alignment vertical="center" wrapText="1"/>
    </xf>
    <xf numFmtId="43" fontId="6" fillId="0" borderId="0" xfId="1" applyFont="1" applyAlignment="1">
      <alignment vertical="center" wrapText="1"/>
    </xf>
    <xf numFmtId="43" fontId="14" fillId="0" borderId="0" xfId="1" applyFont="1" applyAlignment="1">
      <alignment vertical="center" wrapText="1"/>
    </xf>
    <xf numFmtId="3" fontId="6" fillId="0" borderId="20" xfId="3" applyNumberFormat="1" applyFont="1" applyBorder="1" applyAlignment="1">
      <alignment vertical="center" wrapText="1"/>
    </xf>
    <xf numFmtId="3" fontId="47" fillId="0" borderId="61" xfId="3" applyNumberFormat="1" applyFont="1" applyBorder="1" applyAlignment="1">
      <alignment horizontal="center" vertical="center" wrapText="1"/>
    </xf>
    <xf numFmtId="4" fontId="14" fillId="0" borderId="10" xfId="3" applyNumberFormat="1" applyFont="1" applyBorder="1" applyAlignment="1">
      <alignment horizontal="center" vertical="center" wrapText="1"/>
    </xf>
    <xf numFmtId="3" fontId="14" fillId="0" borderId="0" xfId="3" applyNumberFormat="1" applyFont="1" applyAlignment="1">
      <alignment vertical="center" wrapText="1"/>
    </xf>
    <xf numFmtId="3" fontId="8" fillId="0" borderId="18" xfId="5" applyNumberFormat="1" applyFont="1" applyBorder="1" applyAlignment="1">
      <alignment horizontal="left" vertical="center" wrapText="1"/>
    </xf>
    <xf numFmtId="0" fontId="6" fillId="0" borderId="18" xfId="3" applyFont="1" applyBorder="1" applyAlignment="1">
      <alignment horizontal="center" vertical="center" wrapText="1"/>
    </xf>
    <xf numFmtId="0" fontId="37" fillId="0" borderId="18" xfId="3" applyFont="1" applyBorder="1" applyAlignment="1">
      <alignment vertical="center"/>
    </xf>
    <xf numFmtId="0" fontId="10" fillId="0" borderId="0" xfId="2" applyNumberFormat="1" applyFont="1" applyAlignment="1">
      <alignment vertical="center" wrapText="1"/>
    </xf>
    <xf numFmtId="3" fontId="14" fillId="0" borderId="0" xfId="2" applyNumberFormat="1" applyFont="1" applyAlignment="1">
      <alignment wrapText="1"/>
    </xf>
    <xf numFmtId="43" fontId="14" fillId="0" borderId="0" xfId="1" applyFont="1" applyAlignment="1">
      <alignment wrapText="1"/>
    </xf>
    <xf numFmtId="3" fontId="14" fillId="0" borderId="0" xfId="3" applyNumberFormat="1" applyFont="1" applyAlignment="1">
      <alignment wrapText="1"/>
    </xf>
    <xf numFmtId="3" fontId="10" fillId="0" borderId="0" xfId="3" applyNumberFormat="1" applyFont="1" applyAlignment="1">
      <alignment horizontal="center" wrapText="1"/>
    </xf>
    <xf numFmtId="43" fontId="8" fillId="0" borderId="0" xfId="1" applyFont="1" applyAlignment="1">
      <alignment wrapText="1"/>
    </xf>
    <xf numFmtId="43" fontId="6" fillId="0" borderId="0" xfId="2" applyFont="1" applyAlignment="1">
      <alignment vertical="center" wrapText="1"/>
    </xf>
    <xf numFmtId="0" fontId="6" fillId="0" borderId="0" xfId="2" applyNumberFormat="1" applyFont="1" applyAlignment="1">
      <alignment vertical="center" wrapText="1"/>
    </xf>
    <xf numFmtId="165" fontId="6" fillId="0" borderId="62" xfId="3" applyNumberFormat="1" applyFont="1" applyBorder="1" applyAlignment="1">
      <alignment horizontal="center" vertical="center" wrapText="1"/>
    </xf>
    <xf numFmtId="43" fontId="8" fillId="0" borderId="36" xfId="2" applyFont="1" applyBorder="1" applyAlignment="1">
      <alignment horizontal="center" vertical="center" wrapText="1"/>
    </xf>
    <xf numFmtId="43" fontId="10" fillId="0" borderId="0" xfId="2" applyFont="1" applyAlignment="1">
      <alignment vertical="center" wrapText="1"/>
    </xf>
    <xf numFmtId="165" fontId="8" fillId="0" borderId="62" xfId="3" applyNumberFormat="1" applyFont="1" applyBorder="1" applyAlignment="1">
      <alignment horizontal="center" vertical="center" wrapText="1"/>
    </xf>
    <xf numFmtId="43" fontId="8" fillId="0" borderId="11" xfId="2" applyFont="1" applyBorder="1" applyAlignment="1">
      <alignment horizontal="right" vertical="center" wrapText="1"/>
    </xf>
    <xf numFmtId="165" fontId="37" fillId="0" borderId="19" xfId="0" quotePrefix="1" applyNumberFormat="1" applyFont="1" applyBorder="1" applyAlignment="1">
      <alignment horizontal="left" vertical="center" wrapText="1"/>
    </xf>
    <xf numFmtId="43" fontId="8" fillId="0" borderId="19" xfId="2" applyFont="1" applyBorder="1" applyAlignment="1">
      <alignment horizontal="left" vertical="center" wrapText="1"/>
    </xf>
    <xf numFmtId="3" fontId="8" fillId="0" borderId="18" xfId="12" applyNumberFormat="1" applyFont="1" applyBorder="1" applyAlignment="1">
      <alignment horizontal="left" vertical="center" wrapText="1"/>
    </xf>
    <xf numFmtId="165" fontId="8" fillId="0" borderId="63" xfId="3" applyNumberFormat="1" applyFont="1" applyBorder="1" applyAlignment="1">
      <alignment horizontal="center" vertical="center" wrapText="1"/>
    </xf>
    <xf numFmtId="43" fontId="0" fillId="0" borderId="0" xfId="2" applyFont="1" applyAlignment="1">
      <alignment wrapText="1"/>
    </xf>
    <xf numFmtId="0" fontId="0" fillId="0" borderId="0" xfId="2" applyNumberFormat="1" applyFont="1" applyAlignment="1">
      <alignment wrapText="1"/>
    </xf>
    <xf numFmtId="3" fontId="7" fillId="0" borderId="0" xfId="3" applyNumberFormat="1" applyAlignment="1">
      <alignment wrapText="1"/>
    </xf>
    <xf numFmtId="43" fontId="8" fillId="0" borderId="0" xfId="2" applyFont="1" applyAlignment="1">
      <alignment wrapText="1"/>
    </xf>
    <xf numFmtId="0" fontId="8" fillId="0" borderId="0" xfId="2" applyNumberFormat="1" applyFont="1" applyAlignment="1">
      <alignment wrapText="1"/>
    </xf>
    <xf numFmtId="43" fontId="49" fillId="0" borderId="0" xfId="1" applyFont="1" applyAlignment="1">
      <alignment vertical="center" wrapText="1"/>
    </xf>
    <xf numFmtId="165" fontId="6" fillId="0" borderId="29" xfId="3" applyNumberFormat="1" applyFont="1" applyBorder="1" applyAlignment="1">
      <alignment horizontal="center" vertical="center" wrapText="1"/>
    </xf>
    <xf numFmtId="43" fontId="50" fillId="0" borderId="0" xfId="1" applyFont="1" applyAlignment="1">
      <alignment wrapText="1"/>
    </xf>
    <xf numFmtId="165" fontId="8" fillId="0" borderId="29" xfId="3" quotePrefix="1" applyNumberFormat="1" applyFont="1" applyBorder="1" applyAlignment="1">
      <alignment horizontal="center" vertical="center" wrapText="1"/>
    </xf>
    <xf numFmtId="0" fontId="8" fillId="0" borderId="19" xfId="3" applyFont="1" applyBorder="1" applyAlignment="1">
      <alignment vertical="top" wrapText="1"/>
    </xf>
    <xf numFmtId="3" fontId="37" fillId="0" borderId="18" xfId="0" applyNumberFormat="1" applyFont="1" applyBorder="1" applyAlignment="1">
      <alignment horizontal="left" vertical="center" wrapText="1"/>
    </xf>
    <xf numFmtId="2" fontId="6" fillId="0" borderId="56" xfId="3" quotePrefix="1" applyNumberFormat="1" applyFont="1" applyBorder="1" applyAlignment="1">
      <alignment horizontal="center" vertical="center" wrapText="1"/>
    </xf>
    <xf numFmtId="166" fontId="18" fillId="0" borderId="26" xfId="3" applyNumberFormat="1" applyFont="1" applyBorder="1"/>
    <xf numFmtId="0" fontId="51" fillId="0" borderId="18" xfId="13" applyFont="1" applyBorder="1" applyAlignment="1">
      <alignment wrapText="1"/>
    </xf>
    <xf numFmtId="2" fontId="18" fillId="0" borderId="18" xfId="2" applyNumberFormat="1" applyFont="1" applyBorder="1"/>
    <xf numFmtId="164" fontId="18" fillId="0" borderId="18" xfId="2" applyNumberFormat="1" applyFont="1" applyBorder="1"/>
    <xf numFmtId="43" fontId="18" fillId="8" borderId="27" xfId="3" applyNumberFormat="1" applyFont="1" applyFill="1" applyBorder="1"/>
    <xf numFmtId="164" fontId="18" fillId="0" borderId="28" xfId="3" applyNumberFormat="1" applyFont="1" applyBorder="1"/>
    <xf numFmtId="0" fontId="18" fillId="0" borderId="16" xfId="3" applyFont="1" applyBorder="1" applyAlignment="1">
      <alignment wrapText="1"/>
    </xf>
    <xf numFmtId="0" fontId="8" fillId="0" borderId="65" xfId="3" applyFont="1" applyBorder="1" applyAlignment="1">
      <alignment horizontal="center" vertical="center"/>
    </xf>
    <xf numFmtId="0" fontId="8" fillId="0" borderId="2" xfId="3" applyFont="1" applyBorder="1" applyAlignment="1">
      <alignment horizontal="left" vertical="center" indent="1"/>
    </xf>
    <xf numFmtId="0" fontId="8" fillId="0" borderId="2" xfId="3" applyFont="1" applyBorder="1" applyAlignment="1">
      <alignment horizontal="center" vertical="center"/>
    </xf>
    <xf numFmtId="43" fontId="8" fillId="0" borderId="2" xfId="2" applyFont="1" applyBorder="1" applyAlignment="1">
      <alignment horizontal="left" vertical="center"/>
    </xf>
    <xf numFmtId="43" fontId="8" fillId="0" borderId="66" xfId="2" applyFont="1" applyBorder="1" applyAlignment="1">
      <alignment horizontal="right" vertical="center"/>
    </xf>
    <xf numFmtId="4" fontId="8" fillId="0" borderId="10" xfId="3" applyNumberFormat="1" applyFont="1" applyBorder="1" applyAlignment="1">
      <alignment vertical="center" wrapText="1"/>
    </xf>
    <xf numFmtId="3" fontId="8" fillId="4" borderId="18" xfId="5" applyNumberFormat="1" applyFont="1" applyFill="1" applyBorder="1" applyAlignment="1">
      <alignment horizontal="center" vertical="center" wrapText="1"/>
    </xf>
    <xf numFmtId="0" fontId="8" fillId="0" borderId="18" xfId="0" applyFont="1" applyBorder="1" applyAlignment="1" applyProtection="1">
      <alignment horizontal="center" vertical="center" wrapText="1"/>
      <protection locked="0"/>
    </xf>
    <xf numFmtId="43" fontId="18" fillId="0" borderId="17" xfId="2" applyFont="1" applyBorder="1"/>
    <xf numFmtId="166" fontId="18" fillId="0" borderId="17" xfId="3" applyNumberFormat="1" applyFont="1" applyBorder="1"/>
    <xf numFmtId="0" fontId="18" fillId="0" borderId="17" xfId="3" applyFont="1" applyBorder="1"/>
    <xf numFmtId="4" fontId="8" fillId="0" borderId="67" xfId="3" applyNumberFormat="1" applyFont="1" applyBorder="1" applyAlignment="1">
      <alignment vertical="center" wrapText="1"/>
    </xf>
    <xf numFmtId="3" fontId="6" fillId="0" borderId="18" xfId="5" applyNumberFormat="1" applyFont="1" applyBorder="1" applyAlignment="1">
      <alignment vertical="center" wrapText="1"/>
    </xf>
    <xf numFmtId="3" fontId="12" fillId="0" borderId="18" xfId="0" applyNumberFormat="1" applyFont="1" applyBorder="1" applyAlignment="1">
      <alignment vertical="center" wrapText="1"/>
    </xf>
    <xf numFmtId="0" fontId="52" fillId="0" borderId="0" xfId="0" applyFont="1"/>
    <xf numFmtId="3" fontId="6" fillId="0" borderId="19" xfId="3" applyNumberFormat="1" applyFont="1" applyBorder="1" applyAlignment="1">
      <alignment horizontal="left" vertical="center" wrapText="1"/>
    </xf>
    <xf numFmtId="43" fontId="8" fillId="0" borderId="0" xfId="2" applyFont="1" applyAlignment="1">
      <alignment vertical="center" wrapText="1"/>
    </xf>
    <xf numFmtId="3" fontId="8" fillId="0" borderId="19" xfId="3" applyNumberFormat="1" applyFont="1" applyBorder="1" applyAlignment="1">
      <alignment vertical="center" wrapText="1"/>
    </xf>
    <xf numFmtId="3" fontId="6" fillId="0" borderId="18" xfId="3" applyNumberFormat="1" applyFont="1" applyBorder="1" applyAlignment="1">
      <alignment horizontal="center" vertical="center" wrapText="1"/>
    </xf>
    <xf numFmtId="9" fontId="8" fillId="0" borderId="18" xfId="4" applyFont="1" applyBorder="1" applyAlignment="1">
      <alignment horizontal="center" vertical="center" wrapText="1"/>
    </xf>
    <xf numFmtId="9" fontId="8" fillId="0" borderId="18" xfId="2" applyNumberFormat="1" applyFont="1" applyBorder="1" applyAlignment="1">
      <alignment horizontal="right" vertical="center" wrapText="1"/>
    </xf>
    <xf numFmtId="10" fontId="8" fillId="0" borderId="0" xfId="3" applyNumberFormat="1" applyFont="1" applyAlignment="1">
      <alignment vertical="center" wrapText="1"/>
    </xf>
    <xf numFmtId="43" fontId="8" fillId="0" borderId="18" xfId="2" applyFont="1" applyBorder="1" applyAlignment="1" applyProtection="1">
      <alignment horizontal="right" vertical="center" wrapText="1"/>
      <protection locked="0"/>
    </xf>
    <xf numFmtId="9" fontId="8" fillId="0" borderId="18" xfId="2" applyNumberFormat="1" applyFont="1" applyBorder="1" applyAlignment="1" applyProtection="1">
      <alignment horizontal="right" vertical="center" wrapText="1"/>
      <protection locked="0"/>
    </xf>
    <xf numFmtId="0" fontId="6" fillId="0" borderId="18" xfId="3" applyFont="1" applyBorder="1" applyAlignment="1">
      <alignment vertical="center"/>
    </xf>
    <xf numFmtId="0" fontId="8" fillId="0" borderId="18" xfId="3" applyFont="1" applyBorder="1" applyAlignment="1">
      <alignment vertical="center" wrapText="1"/>
    </xf>
    <xf numFmtId="0" fontId="8" fillId="0" borderId="19" xfId="3" applyFont="1" applyBorder="1" applyAlignment="1">
      <alignment vertical="center" wrapText="1"/>
    </xf>
    <xf numFmtId="3" fontId="6" fillId="0" borderId="19" xfId="3" applyNumberFormat="1" applyFont="1" applyBorder="1" applyAlignment="1">
      <alignment horizontal="left" vertical="center"/>
    </xf>
    <xf numFmtId="3" fontId="14" fillId="0" borderId="0" xfId="3" applyNumberFormat="1" applyFont="1" applyAlignment="1">
      <alignment vertical="center"/>
    </xf>
    <xf numFmtId="3" fontId="8" fillId="0" borderId="15" xfId="3" applyNumberFormat="1" applyFont="1" applyBorder="1" applyAlignment="1">
      <alignment vertical="center" wrapText="1"/>
    </xf>
    <xf numFmtId="43" fontId="8" fillId="0" borderId="15" xfId="2" applyFont="1" applyBorder="1" applyAlignment="1">
      <alignment horizontal="center" vertical="center" wrapText="1"/>
    </xf>
    <xf numFmtId="3" fontId="8" fillId="0" borderId="27" xfId="3" applyNumberFormat="1" applyFont="1" applyBorder="1" applyAlignment="1">
      <alignment horizontal="center" vertical="center" wrapText="1"/>
    </xf>
    <xf numFmtId="3" fontId="6" fillId="0" borderId="27" xfId="3" applyNumberFormat="1" applyFont="1" applyBorder="1" applyAlignment="1">
      <alignment horizontal="center" vertical="center" wrapText="1"/>
    </xf>
    <xf numFmtId="3" fontId="6" fillId="0" borderId="27" xfId="3" applyNumberFormat="1" applyFont="1" applyBorder="1" applyAlignment="1" applyProtection="1">
      <alignment horizontal="center" vertical="center" wrapText="1"/>
      <protection locked="0"/>
    </xf>
    <xf numFmtId="43" fontId="8" fillId="0" borderId="36" xfId="2" applyFont="1" applyBorder="1" applyAlignment="1">
      <alignment vertical="center" wrapText="1"/>
    </xf>
    <xf numFmtId="43" fontId="6" fillId="0" borderId="18" xfId="2" applyFont="1" applyBorder="1" applyAlignment="1" applyProtection="1">
      <alignment horizontal="right" vertical="center" wrapText="1"/>
      <protection locked="0"/>
    </xf>
    <xf numFmtId="43" fontId="6" fillId="0" borderId="36" xfId="2" applyFont="1" applyBorder="1" applyAlignment="1">
      <alignment vertical="center" wrapText="1"/>
    </xf>
    <xf numFmtId="9" fontId="8" fillId="0" borderId="18" xfId="3" applyNumberFormat="1" applyFont="1" applyBorder="1" applyAlignment="1">
      <alignment horizontal="center" vertical="center" wrapText="1"/>
    </xf>
    <xf numFmtId="9" fontId="8" fillId="0" borderId="18" xfId="3" applyNumberFormat="1" applyFont="1" applyBorder="1" applyAlignment="1">
      <alignment horizontal="right" vertical="center" wrapText="1"/>
    </xf>
    <xf numFmtId="3" fontId="8" fillId="0" borderId="15" xfId="3" applyNumberFormat="1" applyFont="1" applyBorder="1" applyAlignment="1">
      <alignment horizontal="center" vertical="center" wrapText="1"/>
    </xf>
    <xf numFmtId="0" fontId="6" fillId="0" borderId="19" xfId="0" applyFont="1" applyBorder="1" applyAlignment="1">
      <alignment vertical="center" wrapText="1"/>
    </xf>
    <xf numFmtId="3" fontId="6" fillId="0" borderId="18" xfId="0" applyNumberFormat="1" applyFont="1" applyBorder="1" applyAlignment="1">
      <alignment horizontal="center" vertical="center" wrapText="1"/>
    </xf>
    <xf numFmtId="43" fontId="47" fillId="0" borderId="15" xfId="2" applyFont="1" applyBorder="1" applyAlignment="1">
      <alignment horizontal="right" vertical="center" wrapText="1" indent="1"/>
    </xf>
    <xf numFmtId="43" fontId="10" fillId="0" borderId="0" xfId="2" applyFont="1" applyAlignment="1">
      <alignment horizontal="right" vertical="center" wrapText="1"/>
    </xf>
    <xf numFmtId="43" fontId="10" fillId="0" borderId="0" xfId="2" applyFont="1" applyAlignment="1">
      <alignment horizontal="right" wrapText="1"/>
    </xf>
    <xf numFmtId="3" fontId="10" fillId="0" borderId="15" xfId="3" applyNumberFormat="1" applyFont="1" applyBorder="1" applyAlignment="1">
      <alignment wrapText="1"/>
    </xf>
    <xf numFmtId="0" fontId="55" fillId="0" borderId="15" xfId="3" applyFont="1" applyBorder="1" applyAlignment="1">
      <alignment horizontal="justify" vertical="center" wrapText="1"/>
    </xf>
    <xf numFmtId="0" fontId="56" fillId="0" borderId="19" xfId="3" applyFont="1" applyBorder="1" applyAlignment="1">
      <alignment horizontal="justify" vertical="center" wrapText="1"/>
    </xf>
    <xf numFmtId="0" fontId="56" fillId="0" borderId="19" xfId="3" applyFont="1" applyBorder="1" applyAlignment="1">
      <alignment horizontal="center" vertical="center" wrapText="1"/>
    </xf>
    <xf numFmtId="43" fontId="10" fillId="0" borderId="19" xfId="2" applyFont="1" applyBorder="1" applyAlignment="1">
      <alignment wrapText="1"/>
    </xf>
    <xf numFmtId="3" fontId="10" fillId="0" borderId="19" xfId="3" applyNumberFormat="1" applyFont="1" applyBorder="1" applyAlignment="1">
      <alignment wrapText="1"/>
    </xf>
    <xf numFmtId="0" fontId="56" fillId="0" borderId="18" xfId="3" applyFont="1" applyBorder="1" applyAlignment="1">
      <alignment horizontal="justify" vertical="center" wrapText="1"/>
    </xf>
    <xf numFmtId="0" fontId="56" fillId="0" borderId="18" xfId="3" applyFont="1" applyBorder="1" applyAlignment="1">
      <alignment horizontal="center" vertical="center" wrapText="1"/>
    </xf>
    <xf numFmtId="3" fontId="10" fillId="0" borderId="18" xfId="3" applyNumberFormat="1" applyFont="1" applyBorder="1" applyAlignment="1">
      <alignment wrapText="1"/>
    </xf>
    <xf numFmtId="10" fontId="10" fillId="0" borderId="0" xfId="10" applyNumberFormat="1" applyFont="1" applyAlignment="1">
      <alignment wrapText="1"/>
    </xf>
    <xf numFmtId="168" fontId="10" fillId="0" borderId="0" xfId="4" applyNumberFormat="1" applyFont="1" applyAlignment="1">
      <alignment horizontal="right" wrapText="1"/>
    </xf>
    <xf numFmtId="3" fontId="10" fillId="0" borderId="28" xfId="3" applyNumberFormat="1" applyFont="1" applyBorder="1" applyAlignment="1">
      <alignment wrapText="1"/>
    </xf>
    <xf numFmtId="9" fontId="10" fillId="0" borderId="0" xfId="4" applyFont="1" applyAlignment="1">
      <alignment horizontal="right" wrapText="1"/>
    </xf>
    <xf numFmtId="3" fontId="6" fillId="0" borderId="15"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11" fillId="0" borderId="18" xfId="0" applyNumberFormat="1" applyFont="1" applyFill="1" applyBorder="1"/>
    <xf numFmtId="0" fontId="11" fillId="0" borderId="0" xfId="0" applyFont="1" applyFill="1"/>
    <xf numFmtId="3" fontId="6" fillId="0" borderId="25" xfId="0" applyNumberFormat="1" applyFont="1" applyFill="1" applyBorder="1" applyAlignment="1">
      <alignment horizontal="center" vertical="center" wrapText="1"/>
    </xf>
    <xf numFmtId="0" fontId="8" fillId="0" borderId="18" xfId="3" applyFont="1" applyFill="1" applyBorder="1" applyAlignment="1">
      <alignment horizontal="center" vertical="center" wrapText="1"/>
    </xf>
    <xf numFmtId="0" fontId="11" fillId="0" borderId="17" xfId="0" applyFont="1" applyFill="1" applyBorder="1"/>
    <xf numFmtId="3" fontId="8" fillId="0" borderId="18" xfId="0" applyNumberFormat="1" applyFont="1" applyFill="1" applyBorder="1" applyAlignment="1" applyProtection="1">
      <alignment horizontal="center" vertical="center" wrapText="1"/>
      <protection locked="0"/>
    </xf>
    <xf numFmtId="3" fontId="8" fillId="0" borderId="27" xfId="0" applyNumberFormat="1" applyFont="1" applyFill="1" applyBorder="1" applyAlignment="1" applyProtection="1">
      <alignment horizontal="center" vertical="center" wrapText="1"/>
      <protection locked="0"/>
    </xf>
    <xf numFmtId="3" fontId="6" fillId="0" borderId="26" xfId="3" applyNumberFormat="1" applyFont="1" applyFill="1" applyBorder="1" applyAlignment="1">
      <alignment horizontal="center" vertical="center" wrapText="1"/>
    </xf>
    <xf numFmtId="0" fontId="8" fillId="0" borderId="18" xfId="3" applyFont="1" applyFill="1" applyBorder="1" applyAlignment="1" applyProtection="1">
      <alignment horizontal="center" vertical="center" wrapText="1"/>
      <protection locked="0"/>
    </xf>
    <xf numFmtId="3" fontId="8" fillId="0" borderId="0" xfId="3" applyNumberFormat="1" applyFont="1" applyFill="1" applyAlignment="1">
      <alignment horizontal="center" vertical="center" wrapText="1"/>
    </xf>
    <xf numFmtId="3" fontId="8" fillId="0" borderId="0" xfId="3" applyNumberFormat="1" applyFont="1" applyFill="1" applyAlignment="1">
      <alignment vertical="center" wrapText="1"/>
    </xf>
    <xf numFmtId="3" fontId="10" fillId="0" borderId="0" xfId="3" applyNumberFormat="1" applyFont="1" applyFill="1" applyAlignment="1">
      <alignment horizontal="center" vertical="center" wrapText="1"/>
    </xf>
    <xf numFmtId="3" fontId="8" fillId="0" borderId="0" xfId="3" applyNumberFormat="1" applyFont="1" applyFill="1" applyAlignment="1">
      <alignment horizontal="center" wrapText="1"/>
    </xf>
    <xf numFmtId="0" fontId="8" fillId="0" borderId="0" xfId="2" applyNumberFormat="1" applyFont="1" applyFill="1" applyAlignment="1">
      <alignment horizontal="center" vertical="center" wrapText="1"/>
    </xf>
    <xf numFmtId="0" fontId="8" fillId="0" borderId="0" xfId="2" applyNumberFormat="1" applyFont="1" applyFill="1" applyAlignment="1">
      <alignment horizontal="center" wrapText="1"/>
    </xf>
    <xf numFmtId="0" fontId="8" fillId="0" borderId="18" xfId="0" applyFont="1" applyFill="1" applyBorder="1" applyAlignment="1" applyProtection="1">
      <alignment horizontal="center" vertical="center" wrapText="1"/>
      <protection locked="0"/>
    </xf>
    <xf numFmtId="0" fontId="8" fillId="0" borderId="0" xfId="3" applyFont="1" applyFill="1" applyAlignment="1">
      <alignment horizontal="center" wrapText="1"/>
    </xf>
    <xf numFmtId="0" fontId="8" fillId="0" borderId="0" xfId="3" applyFont="1" applyFill="1" applyAlignment="1">
      <alignment horizontal="center" vertical="center" wrapText="1"/>
    </xf>
    <xf numFmtId="165" fontId="8" fillId="0" borderId="68" xfId="3" applyNumberFormat="1" applyFont="1" applyBorder="1" applyAlignment="1">
      <alignment horizontal="center" vertical="center" wrapText="1"/>
    </xf>
    <xf numFmtId="3" fontId="8" fillId="0" borderId="9" xfId="3" applyNumberFormat="1" applyFont="1" applyBorder="1" applyAlignment="1">
      <alignment vertical="center"/>
    </xf>
    <xf numFmtId="3" fontId="8" fillId="0" borderId="10" xfId="3" applyNumberFormat="1" applyFont="1" applyBorder="1" applyAlignment="1">
      <alignment vertical="center"/>
    </xf>
    <xf numFmtId="0" fontId="6" fillId="2" borderId="31" xfId="3" applyFont="1" applyFill="1" applyBorder="1" applyAlignment="1">
      <alignment horizontal="center" vertical="center"/>
    </xf>
    <xf numFmtId="43" fontId="6" fillId="2" borderId="31" xfId="2" applyFont="1" applyFill="1" applyBorder="1" applyAlignment="1">
      <alignment horizontal="center" vertical="center"/>
    </xf>
    <xf numFmtId="0" fontId="6" fillId="2" borderId="69" xfId="3" applyFont="1" applyFill="1" applyBorder="1" applyAlignment="1">
      <alignment horizontal="center" vertical="center"/>
    </xf>
    <xf numFmtId="43" fontId="6" fillId="2" borderId="70" xfId="2" applyFont="1" applyFill="1" applyBorder="1" applyAlignment="1">
      <alignment horizontal="center" vertical="center"/>
    </xf>
    <xf numFmtId="0" fontId="8" fillId="0" borderId="72" xfId="3" applyFont="1" applyBorder="1" applyAlignment="1">
      <alignment horizontal="center" vertical="center"/>
    </xf>
    <xf numFmtId="43" fontId="6" fillId="0" borderId="53" xfId="2" applyFont="1" applyBorder="1" applyAlignment="1">
      <alignment horizontal="center" vertical="center"/>
    </xf>
    <xf numFmtId="0" fontId="8" fillId="0" borderId="29" xfId="3" applyFont="1" applyBorder="1" applyAlignment="1">
      <alignment horizontal="center" vertical="center"/>
    </xf>
    <xf numFmtId="43" fontId="8" fillId="0" borderId="11" xfId="2" applyFont="1" applyFill="1" applyBorder="1" applyAlignment="1">
      <alignment horizontal="right" vertical="center"/>
    </xf>
    <xf numFmtId="43" fontId="8" fillId="0" borderId="73" xfId="2" applyFont="1" applyFill="1" applyBorder="1" applyAlignment="1">
      <alignment horizontal="right" vertical="center"/>
    </xf>
    <xf numFmtId="43" fontId="6" fillId="0" borderId="50" xfId="2" applyFont="1" applyBorder="1" applyAlignment="1">
      <alignment horizontal="right" vertical="center"/>
    </xf>
    <xf numFmtId="43" fontId="8" fillId="0" borderId="50" xfId="2" applyFont="1" applyBorder="1" applyAlignment="1">
      <alignment horizontal="right" vertical="center"/>
    </xf>
    <xf numFmtId="43" fontId="6" fillId="0" borderId="60" xfId="2" applyFont="1" applyBorder="1" applyAlignment="1">
      <alignment horizontal="right" vertical="center"/>
    </xf>
    <xf numFmtId="3" fontId="8" fillId="0" borderId="9" xfId="3" applyNumberFormat="1" applyFont="1" applyBorder="1" applyAlignment="1">
      <alignment horizontal="left" vertical="center"/>
    </xf>
    <xf numFmtId="3" fontId="8" fillId="0" borderId="18" xfId="3" applyNumberFormat="1" applyFont="1" applyBorder="1" applyAlignment="1">
      <alignment wrapText="1"/>
    </xf>
    <xf numFmtId="3" fontId="6" fillId="0" borderId="26" xfId="3" applyNumberFormat="1" applyFont="1" applyBorder="1" applyAlignment="1">
      <alignment horizontal="center" vertical="center" wrapText="1"/>
    </xf>
    <xf numFmtId="0" fontId="8" fillId="0" borderId="47" xfId="0" applyFont="1" applyBorder="1" applyAlignment="1">
      <alignment horizontal="center" vertical="center"/>
    </xf>
    <xf numFmtId="3" fontId="8" fillId="0" borderId="47" xfId="0" applyNumberFormat="1" applyFont="1" applyBorder="1" applyAlignment="1">
      <alignment horizontal="center" vertical="center"/>
    </xf>
    <xf numFmtId="43" fontId="8" fillId="0" borderId="48" xfId="2" applyFont="1" applyBorder="1" applyAlignment="1">
      <alignment horizontal="center" vertical="center"/>
    </xf>
    <xf numFmtId="0" fontId="6" fillId="0" borderId="75" xfId="3" applyFont="1" applyBorder="1" applyAlignment="1">
      <alignment horizontal="center" vertical="center"/>
    </xf>
    <xf numFmtId="43" fontId="6" fillId="0" borderId="76" xfId="2" applyFont="1" applyBorder="1" applyAlignment="1">
      <alignment horizontal="right" vertical="center"/>
    </xf>
    <xf numFmtId="0" fontId="58" fillId="0" borderId="45" xfId="3" applyFont="1" applyBorder="1" applyAlignment="1">
      <alignment horizontal="center" vertical="center" wrapText="1"/>
    </xf>
    <xf numFmtId="0" fontId="58" fillId="0" borderId="0" xfId="3" applyFont="1" applyBorder="1" applyAlignment="1">
      <alignment horizontal="center" vertical="center" wrapText="1"/>
    </xf>
    <xf numFmtId="0" fontId="58" fillId="0" borderId="67" xfId="3" applyFont="1" applyBorder="1" applyAlignment="1">
      <alignment horizontal="center" vertical="center" wrapText="1"/>
    </xf>
    <xf numFmtId="3" fontId="6" fillId="2" borderId="78" xfId="3" applyNumberFormat="1" applyFont="1" applyFill="1" applyBorder="1" applyAlignment="1">
      <alignment horizontal="left" vertical="center"/>
    </xf>
    <xf numFmtId="3" fontId="6" fillId="2" borderId="79" xfId="3" applyNumberFormat="1" applyFont="1" applyFill="1" applyBorder="1" applyAlignment="1">
      <alignment vertical="center"/>
    </xf>
    <xf numFmtId="3" fontId="6" fillId="2" borderId="79" xfId="3" applyNumberFormat="1" applyFont="1" applyFill="1" applyBorder="1" applyAlignment="1">
      <alignment vertical="center" wrapText="1"/>
    </xf>
    <xf numFmtId="43" fontId="8" fillId="0" borderId="36" xfId="3" applyNumberFormat="1" applyFont="1" applyBorder="1" applyAlignment="1">
      <alignment vertical="center" wrapText="1"/>
    </xf>
    <xf numFmtId="3" fontId="8" fillId="0" borderId="29" xfId="3" applyNumberFormat="1" applyFont="1" applyBorder="1" applyAlignment="1">
      <alignment horizontal="center" vertical="center" wrapText="1"/>
    </xf>
    <xf numFmtId="43" fontId="6" fillId="0" borderId="36" xfId="3" applyNumberFormat="1" applyFont="1" applyBorder="1" applyAlignment="1">
      <alignment vertical="center" wrapText="1"/>
    </xf>
    <xf numFmtId="3" fontId="8" fillId="0" borderId="29" xfId="3" applyNumberFormat="1" applyFont="1" applyBorder="1" applyAlignment="1">
      <alignment horizontal="left" vertical="center" wrapText="1" indent="1"/>
    </xf>
    <xf numFmtId="165" fontId="6" fillId="0" borderId="29" xfId="3" quotePrefix="1" applyNumberFormat="1" applyFont="1" applyBorder="1" applyAlignment="1">
      <alignment horizontal="center" vertical="center" wrapText="1"/>
    </xf>
    <xf numFmtId="3" fontId="8" fillId="0" borderId="81" xfId="3" applyNumberFormat="1" applyFont="1" applyBorder="1" applyAlignment="1">
      <alignment horizontal="center" vertical="center" wrapText="1"/>
    </xf>
    <xf numFmtId="43" fontId="8" fillId="0" borderId="82" xfId="3" applyNumberFormat="1" applyFont="1" applyBorder="1" applyAlignment="1">
      <alignment vertical="center" wrapText="1"/>
    </xf>
    <xf numFmtId="2" fontId="6" fillId="0" borderId="29" xfId="3" quotePrefix="1" applyNumberFormat="1" applyFont="1" applyBorder="1" applyAlignment="1">
      <alignment horizontal="center" vertical="center" wrapText="1"/>
    </xf>
    <xf numFmtId="43" fontId="8" fillId="0" borderId="82" xfId="2" applyFont="1" applyBorder="1" applyAlignment="1">
      <alignment vertical="center" wrapText="1"/>
    </xf>
    <xf numFmtId="3" fontId="8" fillId="0" borderId="52" xfId="3" applyNumberFormat="1" applyFont="1" applyBorder="1" applyAlignment="1">
      <alignment horizontal="center" vertical="center" wrapText="1"/>
    </xf>
    <xf numFmtId="43" fontId="6" fillId="0" borderId="82" xfId="0" applyNumberFormat="1" applyFont="1" applyBorder="1" applyAlignment="1">
      <alignment vertical="center" wrapText="1"/>
    </xf>
    <xf numFmtId="3" fontId="47" fillId="0" borderId="56" xfId="3" applyNumberFormat="1" applyFont="1" applyBorder="1" applyAlignment="1">
      <alignment horizontal="center" vertical="center" wrapText="1"/>
    </xf>
    <xf numFmtId="43" fontId="47" fillId="0" borderId="60" xfId="2" applyFont="1" applyBorder="1" applyAlignment="1">
      <alignment horizontal="right" vertical="center" wrapText="1" indent="1"/>
    </xf>
    <xf numFmtId="0" fontId="6" fillId="2" borderId="45" xfId="0" applyFont="1" applyFill="1" applyBorder="1" applyAlignment="1">
      <alignment horizontal="center" vertical="center"/>
    </xf>
    <xf numFmtId="0" fontId="6" fillId="2" borderId="0" xfId="0" applyFont="1" applyFill="1" applyBorder="1" applyAlignment="1">
      <alignment horizontal="center" vertical="center"/>
    </xf>
    <xf numFmtId="43" fontId="6" fillId="2" borderId="0" xfId="2" applyFont="1" applyFill="1" applyBorder="1" applyAlignment="1">
      <alignment horizontal="center" vertical="center"/>
    </xf>
    <xf numFmtId="43" fontId="6" fillId="2" borderId="67" xfId="2" applyFont="1" applyFill="1" applyBorder="1" applyAlignment="1">
      <alignment horizontal="center" vertical="center"/>
    </xf>
    <xf numFmtId="0" fontId="8" fillId="0" borderId="12" xfId="0" applyFont="1" applyBorder="1" applyAlignment="1">
      <alignment horizontal="center" vertical="center"/>
    </xf>
    <xf numFmtId="43" fontId="6" fillId="0" borderId="77" xfId="2" applyFont="1" applyBorder="1" applyAlignment="1">
      <alignment horizontal="center" vertical="center" wrapText="1"/>
    </xf>
    <xf numFmtId="3" fontId="6" fillId="0" borderId="72" xfId="0" applyNumberFormat="1" applyFont="1" applyBorder="1" applyAlignment="1">
      <alignment horizontal="center" vertical="center" wrapText="1"/>
    </xf>
    <xf numFmtId="43" fontId="6" fillId="0" borderId="50" xfId="1" applyFont="1" applyBorder="1" applyAlignment="1">
      <alignment horizontal="center" vertical="center" wrapText="1"/>
    </xf>
    <xf numFmtId="0" fontId="12" fillId="0" borderId="42" xfId="0" applyFont="1" applyBorder="1" applyAlignment="1">
      <alignment horizontal="center" vertical="center"/>
    </xf>
    <xf numFmtId="0" fontId="11" fillId="0" borderId="83" xfId="0" applyFont="1" applyBorder="1"/>
    <xf numFmtId="0" fontId="11" fillId="0" borderId="29" xfId="0" applyFont="1" applyBorder="1" applyAlignment="1">
      <alignment horizontal="center" vertical="center"/>
    </xf>
    <xf numFmtId="43" fontId="11" fillId="0" borderId="36" xfId="0" applyNumberFormat="1" applyFont="1" applyBorder="1" applyAlignment="1">
      <alignment vertical="center"/>
    </xf>
    <xf numFmtId="0" fontId="11" fillId="0" borderId="56" xfId="0" applyFont="1" applyBorder="1"/>
    <xf numFmtId="43" fontId="12" fillId="0" borderId="60" xfId="0" applyNumberFormat="1" applyFont="1" applyBorder="1" applyAlignment="1">
      <alignment vertical="center"/>
    </xf>
    <xf numFmtId="0" fontId="12" fillId="0" borderId="29" xfId="0" applyFont="1" applyBorder="1" applyAlignment="1">
      <alignment horizontal="center" vertical="center"/>
    </xf>
    <xf numFmtId="43" fontId="6" fillId="0" borderId="84" xfId="1" applyFont="1" applyBorder="1" applyAlignment="1">
      <alignment horizontal="center" vertical="center" wrapText="1"/>
    </xf>
    <xf numFmtId="43" fontId="11" fillId="0" borderId="36" xfId="1" applyFont="1" applyBorder="1" applyAlignment="1">
      <alignment vertical="center"/>
    </xf>
    <xf numFmtId="0" fontId="11" fillId="0" borderId="36" xfId="0" applyFont="1" applyBorder="1"/>
    <xf numFmtId="0" fontId="12" fillId="0" borderId="62" xfId="0" applyFont="1" applyBorder="1" applyAlignment="1">
      <alignment horizontal="center" vertical="center"/>
    </xf>
    <xf numFmtId="0" fontId="11" fillId="0" borderId="11" xfId="0" applyFont="1" applyBorder="1"/>
    <xf numFmtId="0" fontId="11" fillId="0" borderId="62" xfId="0" applyFont="1" applyBorder="1" applyAlignment="1">
      <alignment horizontal="center" vertical="center"/>
    </xf>
    <xf numFmtId="43" fontId="8" fillId="0" borderId="43" xfId="2" applyFont="1" applyBorder="1" applyAlignment="1">
      <alignment horizontal="right" vertical="center" wrapText="1"/>
    </xf>
    <xf numFmtId="165" fontId="6" fillId="0" borderId="29" xfId="0" applyNumberFormat="1" applyFont="1" applyBorder="1" applyAlignment="1">
      <alignment horizontal="center" vertical="center" wrapText="1"/>
    </xf>
    <xf numFmtId="43" fontId="8" fillId="0" borderId="36" xfId="0" applyNumberFormat="1" applyFont="1" applyBorder="1" applyAlignment="1">
      <alignment horizontal="right" vertical="center" wrapText="1" indent="1"/>
    </xf>
    <xf numFmtId="43" fontId="6" fillId="0" borderId="85" xfId="1" applyFont="1" applyBorder="1" applyAlignment="1">
      <alignment horizontal="center" vertical="center" wrapText="1"/>
    </xf>
    <xf numFmtId="3" fontId="8" fillId="0" borderId="52" xfId="0" applyNumberFormat="1" applyFont="1" applyBorder="1" applyAlignment="1">
      <alignment horizontal="center" vertical="center" wrapText="1"/>
    </xf>
    <xf numFmtId="0" fontId="8" fillId="0" borderId="46" xfId="0" applyFont="1" applyBorder="1" applyAlignment="1">
      <alignment horizontal="center" vertical="center"/>
    </xf>
    <xf numFmtId="0" fontId="8" fillId="0" borderId="72" xfId="3" applyFont="1" applyBorder="1" applyAlignment="1">
      <alignment horizontal="left" vertical="center"/>
    </xf>
    <xf numFmtId="0" fontId="11" fillId="0" borderId="52" xfId="0" applyFont="1" applyBorder="1" applyAlignment="1">
      <alignment horizontal="center" vertical="center"/>
    </xf>
    <xf numFmtId="0" fontId="8" fillId="0" borderId="0" xfId="3" applyFont="1" applyBorder="1" applyAlignment="1">
      <alignment horizontal="center" vertical="center"/>
    </xf>
    <xf numFmtId="0" fontId="38" fillId="0" borderId="0" xfId="0" applyFont="1" applyBorder="1" applyAlignment="1">
      <alignment wrapText="1"/>
    </xf>
    <xf numFmtId="3" fontId="6" fillId="0" borderId="64" xfId="0" applyNumberFormat="1" applyFont="1" applyBorder="1" applyAlignment="1">
      <alignment horizontal="center" vertical="center" wrapText="1"/>
    </xf>
    <xf numFmtId="165" fontId="6" fillId="0" borderId="42" xfId="0" applyNumberFormat="1" applyFont="1" applyBorder="1" applyAlignment="1">
      <alignment horizontal="center" vertical="center" wrapText="1"/>
    </xf>
    <xf numFmtId="43" fontId="8" fillId="0" borderId="36" xfId="1" applyFont="1" applyFill="1" applyBorder="1" applyAlignment="1">
      <alignment vertical="center"/>
    </xf>
    <xf numFmtId="43" fontId="11" fillId="0" borderId="36" xfId="1" applyFont="1" applyFill="1" applyBorder="1" applyAlignment="1">
      <alignment vertical="center"/>
    </xf>
    <xf numFmtId="43" fontId="8" fillId="0" borderId="36" xfId="1" applyFont="1" applyBorder="1" applyAlignment="1">
      <alignment vertical="center"/>
    </xf>
    <xf numFmtId="43" fontId="8" fillId="4" borderId="36" xfId="2" applyFont="1" applyFill="1" applyBorder="1" applyAlignment="1">
      <alignment horizontal="right" vertical="center" wrapText="1" indent="1"/>
    </xf>
    <xf numFmtId="4" fontId="14" fillId="0" borderId="0" xfId="3" applyNumberFormat="1" applyFont="1" applyBorder="1" applyAlignment="1">
      <alignment horizontal="center" vertical="center" wrapText="1"/>
    </xf>
    <xf numFmtId="0" fontId="11" fillId="0" borderId="45" xfId="0" applyFont="1" applyBorder="1" applyAlignment="1">
      <alignment horizontal="center" vertical="center"/>
    </xf>
    <xf numFmtId="165" fontId="8" fillId="0" borderId="29" xfId="3" quotePrefix="1" applyNumberFormat="1" applyFont="1" applyBorder="1" applyAlignment="1">
      <alignment horizontal="left" vertical="center" wrapText="1" indent="1"/>
    </xf>
    <xf numFmtId="165" fontId="6" fillId="0" borderId="62" xfId="0" applyNumberFormat="1" applyFont="1" applyBorder="1" applyAlignment="1">
      <alignment horizontal="center" vertical="center" wrapText="1"/>
    </xf>
    <xf numFmtId="43" fontId="8" fillId="4" borderId="36" xfId="2" applyFont="1" applyFill="1" applyBorder="1" applyAlignment="1">
      <alignment horizontal="right" vertical="center" wrapText="1"/>
    </xf>
    <xf numFmtId="43" fontId="11" fillId="0" borderId="11" xfId="1" applyFont="1" applyBorder="1" applyAlignment="1">
      <alignment vertical="center"/>
    </xf>
    <xf numFmtId="43" fontId="11" fillId="0" borderId="36" xfId="0" applyNumberFormat="1" applyFont="1" applyBorder="1"/>
    <xf numFmtId="3" fontId="6" fillId="0" borderId="83" xfId="3" applyNumberFormat="1" applyFont="1" applyBorder="1" applyAlignment="1">
      <alignment vertical="center" wrapText="1"/>
    </xf>
    <xf numFmtId="4" fontId="8" fillId="0" borderId="36" xfId="3" applyNumberFormat="1" applyFont="1" applyBorder="1" applyAlignment="1">
      <alignment vertical="center" wrapText="1"/>
    </xf>
    <xf numFmtId="0" fontId="6" fillId="0" borderId="29" xfId="3" applyFont="1" applyBorder="1" applyAlignment="1">
      <alignment horizontal="center" vertical="center" wrapText="1"/>
    </xf>
    <xf numFmtId="0" fontId="8" fillId="0" borderId="0" xfId="5" applyFont="1" applyBorder="1" applyAlignment="1">
      <alignment vertical="center"/>
    </xf>
    <xf numFmtId="43" fontId="12" fillId="0" borderId="60" xfId="0" applyNumberFormat="1" applyFont="1" applyBorder="1"/>
    <xf numFmtId="3" fontId="6" fillId="5" borderId="78" xfId="5" applyNumberFormat="1" applyFont="1" applyFill="1" applyBorder="1" applyAlignment="1">
      <alignment vertical="center"/>
    </xf>
    <xf numFmtId="3" fontId="6" fillId="5" borderId="79" xfId="5" applyNumberFormat="1" applyFont="1" applyFill="1" applyBorder="1" applyAlignment="1">
      <alignment vertical="center"/>
    </xf>
    <xf numFmtId="0" fontId="6" fillId="0" borderId="54" xfId="5" applyFont="1" applyBorder="1" applyAlignment="1">
      <alignment horizontal="center" vertical="center"/>
    </xf>
    <xf numFmtId="0" fontId="6" fillId="0" borderId="72" xfId="5" applyFont="1" applyBorder="1" applyAlignment="1">
      <alignment horizontal="center" vertical="center"/>
    </xf>
    <xf numFmtId="167" fontId="6" fillId="0" borderId="50" xfId="2" applyNumberFormat="1" applyFont="1" applyBorder="1" applyAlignment="1">
      <alignment horizontal="center" vertical="center"/>
    </xf>
    <xf numFmtId="0" fontId="8" fillId="0" borderId="42" xfId="5" applyFont="1" applyBorder="1" applyAlignment="1">
      <alignment horizontal="center" vertical="center"/>
    </xf>
    <xf numFmtId="43" fontId="8" fillId="0" borderId="83" xfId="2" applyFont="1" applyBorder="1" applyAlignment="1">
      <alignment horizontal="right" vertical="center" wrapText="1" indent="1"/>
    </xf>
    <xf numFmtId="43" fontId="8" fillId="0" borderId="36" xfId="2" applyFont="1" applyBorder="1" applyAlignment="1">
      <alignment horizontal="right" vertical="center" wrapText="1" indent="1"/>
    </xf>
    <xf numFmtId="167" fontId="35" fillId="0" borderId="50" xfId="2" applyNumberFormat="1" applyFont="1" applyBorder="1" applyAlignment="1">
      <alignment horizontal="right" vertical="center"/>
    </xf>
    <xf numFmtId="3" fontId="5" fillId="4" borderId="87" xfId="5" applyNumberFormat="1" applyFont="1" applyFill="1" applyBorder="1" applyAlignment="1">
      <alignment vertical="center" wrapText="1"/>
    </xf>
    <xf numFmtId="43" fontId="5" fillId="4" borderId="60" xfId="2" applyFont="1" applyFill="1" applyBorder="1" applyAlignment="1">
      <alignment vertical="center" wrapText="1"/>
    </xf>
    <xf numFmtId="165" fontId="6" fillId="0" borderId="62" xfId="3" quotePrefix="1" applyNumberFormat="1" applyFont="1" applyBorder="1" applyAlignment="1">
      <alignment horizontal="center" vertical="center" wrapText="1"/>
    </xf>
    <xf numFmtId="43" fontId="8" fillId="0" borderId="11" xfId="3" applyNumberFormat="1" applyFont="1" applyBorder="1" applyAlignment="1">
      <alignment vertical="center" wrapText="1"/>
    </xf>
    <xf numFmtId="3" fontId="8" fillId="0" borderId="68" xfId="3" applyNumberFormat="1" applyFont="1" applyBorder="1" applyAlignment="1">
      <alignment horizontal="center" vertical="center" wrapText="1"/>
    </xf>
    <xf numFmtId="3" fontId="8" fillId="0" borderId="28" xfId="5" applyNumberFormat="1" applyFont="1" applyBorder="1" applyAlignment="1">
      <alignment horizontal="center" vertical="center" wrapText="1"/>
    </xf>
    <xf numFmtId="0" fontId="8" fillId="0" borderId="28" xfId="3" applyFont="1" applyBorder="1" applyAlignment="1">
      <alignment vertical="center" wrapText="1"/>
    </xf>
    <xf numFmtId="3" fontId="8" fillId="0" borderId="28" xfId="3" applyNumberFormat="1" applyFont="1" applyBorder="1" applyAlignment="1">
      <alignment horizontal="center" vertical="center" wrapText="1"/>
    </xf>
    <xf numFmtId="9" fontId="8" fillId="0" borderId="28" xfId="4" applyFont="1" applyBorder="1" applyAlignment="1">
      <alignment horizontal="center" vertical="center" wrapText="1"/>
    </xf>
    <xf numFmtId="9" fontId="8" fillId="0" borderId="28" xfId="4" applyFont="1" applyBorder="1" applyAlignment="1">
      <alignment horizontal="right" vertical="center" wrapText="1"/>
    </xf>
    <xf numFmtId="43" fontId="8" fillId="0" borderId="73" xfId="2" applyFont="1" applyBorder="1" applyAlignment="1">
      <alignment vertical="center" wrapText="1"/>
    </xf>
    <xf numFmtId="3" fontId="6" fillId="0" borderId="19" xfId="0" applyNumberFormat="1" applyFont="1" applyBorder="1" applyAlignment="1">
      <alignment vertical="center" wrapText="1"/>
    </xf>
    <xf numFmtId="0" fontId="11" fillId="0" borderId="68" xfId="0" applyFont="1" applyBorder="1" applyAlignment="1">
      <alignment horizontal="center" vertical="center"/>
    </xf>
    <xf numFmtId="3" fontId="8" fillId="0" borderId="28" xfId="0" applyNumberFormat="1" applyFont="1" applyBorder="1" applyAlignment="1">
      <alignment vertical="center" wrapText="1"/>
    </xf>
    <xf numFmtId="3" fontId="8" fillId="0" borderId="28" xfId="3" applyNumberFormat="1" applyFont="1" applyFill="1" applyBorder="1" applyAlignment="1" applyProtection="1">
      <alignment horizontal="center" vertical="center" wrapText="1"/>
      <protection locked="0"/>
    </xf>
    <xf numFmtId="43" fontId="8" fillId="0" borderId="28" xfId="2" applyFont="1" applyBorder="1" applyAlignment="1">
      <alignment horizontal="left" vertical="center" wrapText="1"/>
    </xf>
    <xf numFmtId="43" fontId="8" fillId="0" borderId="73" xfId="2" applyFont="1" applyBorder="1" applyAlignment="1">
      <alignment horizontal="right" vertical="center" wrapText="1"/>
    </xf>
    <xf numFmtId="3" fontId="6" fillId="0" borderId="19" xfId="0" applyNumberFormat="1" applyFont="1" applyFill="1" applyBorder="1" applyAlignment="1">
      <alignment horizontal="left" vertical="center" wrapText="1"/>
    </xf>
    <xf numFmtId="0" fontId="11" fillId="0" borderId="28" xfId="0" applyFont="1" applyBorder="1" applyAlignment="1">
      <alignment horizontal="center" vertical="center" wrapText="1"/>
    </xf>
    <xf numFmtId="3" fontId="8" fillId="4" borderId="28" xfId="9" applyNumberFormat="1" applyFont="1" applyFill="1" applyBorder="1" applyAlignment="1">
      <alignment horizontal="left" vertical="center" wrapText="1"/>
    </xf>
    <xf numFmtId="0" fontId="11" fillId="0" borderId="28" xfId="0" applyFont="1" applyBorder="1" applyAlignment="1">
      <alignment horizontal="center" vertical="center"/>
    </xf>
    <xf numFmtId="3" fontId="11" fillId="0" borderId="28" xfId="0" applyNumberFormat="1" applyFont="1" applyBorder="1" applyAlignment="1">
      <alignment horizontal="center" vertical="center"/>
    </xf>
    <xf numFmtId="43" fontId="11" fillId="0" borderId="28" xfId="1" applyFont="1" applyBorder="1" applyAlignment="1">
      <alignment vertical="center"/>
    </xf>
    <xf numFmtId="43" fontId="11" fillId="0" borderId="73" xfId="1" applyFont="1" applyBorder="1" applyAlignment="1">
      <alignment vertical="center"/>
    </xf>
    <xf numFmtId="0" fontId="11" fillId="0" borderId="28" xfId="0" applyFont="1" applyFill="1" applyBorder="1" applyAlignment="1">
      <alignment vertical="center" wrapText="1"/>
    </xf>
    <xf numFmtId="0" fontId="8" fillId="0" borderId="72" xfId="5" applyFont="1" applyBorder="1" applyAlignment="1">
      <alignment horizontal="center" vertical="center"/>
    </xf>
    <xf numFmtId="0" fontId="8" fillId="0" borderId="16" xfId="5" applyFont="1" applyBorder="1" applyAlignment="1">
      <alignment horizontal="left" vertical="center" wrapText="1" indent="1"/>
    </xf>
    <xf numFmtId="0" fontId="8" fillId="0" borderId="28" xfId="5" applyFont="1" applyBorder="1" applyAlignment="1">
      <alignment horizontal="center" vertical="center" wrapText="1"/>
    </xf>
    <xf numFmtId="0" fontId="8" fillId="0" borderId="16" xfId="5" applyFont="1" applyBorder="1" applyAlignment="1">
      <alignment horizontal="center" vertical="center" wrapText="1"/>
    </xf>
    <xf numFmtId="43" fontId="8" fillId="0" borderId="16" xfId="2" applyFont="1" applyBorder="1" applyAlignment="1">
      <alignment horizontal="right" vertical="center" wrapText="1" indent="1"/>
    </xf>
    <xf numFmtId="43" fontId="8" fillId="0" borderId="53" xfId="2" applyFont="1" applyBorder="1" applyAlignment="1">
      <alignment horizontal="right" vertical="center" wrapText="1" indent="1"/>
    </xf>
    <xf numFmtId="3" fontId="6" fillId="0" borderId="23" xfId="3" applyNumberFormat="1" applyFont="1" applyBorder="1" applyAlignment="1">
      <alignment horizontal="left" vertical="center" wrapText="1"/>
    </xf>
    <xf numFmtId="0" fontId="6" fillId="0" borderId="23" xfId="3" applyFont="1" applyBorder="1" applyAlignment="1">
      <alignment horizontal="left" vertical="center" wrapText="1"/>
    </xf>
    <xf numFmtId="0" fontId="6" fillId="0" borderId="24" xfId="3" applyFont="1" applyBorder="1" applyAlignment="1">
      <alignment horizontal="left" vertical="center" wrapText="1"/>
    </xf>
    <xf numFmtId="3" fontId="8" fillId="0" borderId="9" xfId="3" applyNumberFormat="1" applyFont="1" applyBorder="1" applyAlignment="1">
      <alignment horizontal="left" vertical="center" wrapText="1"/>
    </xf>
    <xf numFmtId="3" fontId="8" fillId="0" borderId="10" xfId="3" applyNumberFormat="1" applyFont="1" applyBorder="1" applyAlignment="1">
      <alignment horizontal="left" vertical="center" wrapText="1"/>
    </xf>
    <xf numFmtId="0" fontId="5" fillId="0" borderId="46" xfId="3" applyFont="1" applyBorder="1" applyAlignment="1">
      <alignment horizontal="center" vertical="center" wrapText="1"/>
    </xf>
    <xf numFmtId="0" fontId="57" fillId="0" borderId="47" xfId="3" applyFont="1" applyBorder="1" applyAlignment="1">
      <alignment horizontal="center" vertical="center" wrapText="1"/>
    </xf>
    <xf numFmtId="0" fontId="57" fillId="0" borderId="48" xfId="3" applyFont="1" applyBorder="1" applyAlignment="1">
      <alignment horizontal="center" vertical="center" wrapText="1"/>
    </xf>
    <xf numFmtId="0" fontId="5" fillId="2" borderId="46" xfId="3" applyFont="1" applyFill="1" applyBorder="1" applyAlignment="1">
      <alignment horizontal="center" vertical="center"/>
    </xf>
    <xf numFmtId="0" fontId="5" fillId="2" borderId="47" xfId="3" applyFont="1" applyFill="1" applyBorder="1" applyAlignment="1">
      <alignment horizontal="center" vertical="center"/>
    </xf>
    <xf numFmtId="0" fontId="5" fillId="2" borderId="48" xfId="3" applyFont="1" applyFill="1" applyBorder="1" applyAlignment="1">
      <alignment horizontal="center" vertical="center"/>
    </xf>
    <xf numFmtId="0" fontId="34" fillId="2" borderId="49" xfId="3" applyFont="1" applyFill="1" applyBorder="1" applyAlignment="1">
      <alignment horizontal="center" vertical="center"/>
    </xf>
    <xf numFmtId="0" fontId="34" fillId="2" borderId="23" xfId="3" applyFont="1" applyFill="1" applyBorder="1" applyAlignment="1">
      <alignment horizontal="center" vertical="center"/>
    </xf>
    <xf numFmtId="0" fontId="34" fillId="2" borderId="71" xfId="3" applyFont="1" applyFill="1" applyBorder="1" applyAlignment="1">
      <alignment horizontal="center" vertical="center"/>
    </xf>
    <xf numFmtId="0" fontId="8" fillId="0" borderId="9" xfId="3" applyFont="1" applyBorder="1" applyAlignment="1">
      <alignment horizontal="left" vertical="center" wrapText="1"/>
    </xf>
    <xf numFmtId="0" fontId="8" fillId="0" borderId="10" xfId="3" applyFont="1" applyBorder="1" applyAlignment="1">
      <alignment horizontal="left" vertical="center" wrapText="1"/>
    </xf>
    <xf numFmtId="0" fontId="58" fillId="0" borderId="45" xfId="3" applyFont="1" applyBorder="1" applyAlignment="1">
      <alignment horizontal="center" vertical="center" wrapText="1"/>
    </xf>
    <xf numFmtId="0" fontId="58" fillId="0" borderId="0" xfId="3" applyFont="1" applyBorder="1" applyAlignment="1">
      <alignment horizontal="center" vertical="center" wrapText="1"/>
    </xf>
    <xf numFmtId="0" fontId="58" fillId="0" borderId="67" xfId="3" applyFont="1" applyBorder="1" applyAlignment="1">
      <alignment horizontal="center" vertical="center" wrapText="1"/>
    </xf>
    <xf numFmtId="0" fontId="59" fillId="0" borderId="45" xfId="3" applyFont="1" applyBorder="1" applyAlignment="1">
      <alignment horizontal="center" vertical="center" wrapText="1"/>
    </xf>
    <xf numFmtId="0" fontId="59" fillId="0" borderId="0" xfId="3" applyFont="1" applyBorder="1" applyAlignment="1">
      <alignment horizontal="center" vertical="center" wrapText="1"/>
    </xf>
    <xf numFmtId="0" fontId="59" fillId="0" borderId="67" xfId="3" applyFont="1" applyBorder="1" applyAlignment="1">
      <alignment horizontal="center" vertical="center" wrapText="1"/>
    </xf>
    <xf numFmtId="3" fontId="6" fillId="0" borderId="59" xfId="3" applyNumberFormat="1" applyFont="1" applyBorder="1" applyAlignment="1">
      <alignment horizontal="left" vertical="center" wrapText="1"/>
    </xf>
    <xf numFmtId="0" fontId="6" fillId="0" borderId="74" xfId="3" applyFont="1" applyBorder="1" applyAlignment="1">
      <alignment horizontal="left" vertical="center" wrapText="1"/>
    </xf>
    <xf numFmtId="0" fontId="8" fillId="0" borderId="0" xfId="3" applyFont="1" applyAlignment="1">
      <alignment horizontal="left" vertical="top" wrapText="1"/>
    </xf>
    <xf numFmtId="3" fontId="8" fillId="0" borderId="33" xfId="3" applyNumberFormat="1" applyFont="1" applyBorder="1" applyAlignment="1">
      <alignment horizontal="left" vertical="center" wrapText="1"/>
    </xf>
    <xf numFmtId="3" fontId="8" fillId="0" borderId="33" xfId="3" applyNumberFormat="1" applyFont="1" applyBorder="1" applyAlignment="1">
      <alignment vertical="center" wrapText="1"/>
    </xf>
    <xf numFmtId="3" fontId="8" fillId="0" borderId="9" xfId="3" applyNumberFormat="1" applyFont="1" applyBorder="1" applyAlignment="1">
      <alignment vertical="center" wrapText="1"/>
    </xf>
    <xf numFmtId="3" fontId="8" fillId="0" borderId="10" xfId="3" applyNumberFormat="1" applyFont="1" applyBorder="1" applyAlignment="1">
      <alignment vertical="center" wrapText="1"/>
    </xf>
    <xf numFmtId="3" fontId="6" fillId="0" borderId="23" xfId="3" applyNumberFormat="1" applyFont="1" applyBorder="1" applyAlignment="1">
      <alignment horizontal="left" vertical="center" wrapText="1"/>
    </xf>
    <xf numFmtId="0" fontId="6" fillId="0" borderId="23" xfId="3" applyFont="1" applyBorder="1" applyAlignment="1">
      <alignment horizontal="left" vertical="center" wrapText="1"/>
    </xf>
    <xf numFmtId="0" fontId="6" fillId="0" borderId="24" xfId="3" applyFont="1" applyBorder="1" applyAlignment="1">
      <alignment horizontal="left" vertical="center" wrapText="1"/>
    </xf>
    <xf numFmtId="3" fontId="5" fillId="2" borderId="46" xfId="0" applyNumberFormat="1"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7" xfId="0" applyFont="1" applyFill="1" applyBorder="1" applyAlignment="1">
      <alignment horizontal="center" vertical="center" wrapText="1"/>
    </xf>
    <xf numFmtId="49" fontId="8" fillId="0" borderId="9" xfId="3" applyNumberFormat="1" applyFont="1" applyBorder="1" applyAlignment="1">
      <alignment horizontal="left" vertical="center" wrapText="1"/>
    </xf>
    <xf numFmtId="49" fontId="8" fillId="0" borderId="10" xfId="3" applyNumberFormat="1" applyFont="1" applyBorder="1" applyAlignment="1">
      <alignment horizontal="left" vertical="center" wrapText="1"/>
    </xf>
    <xf numFmtId="0" fontId="6" fillId="0" borderId="6" xfId="3" applyFont="1" applyBorder="1" applyAlignment="1">
      <alignment horizontal="left" vertical="center"/>
    </xf>
    <xf numFmtId="0" fontId="6" fillId="0" borderId="13" xfId="3" applyFont="1" applyBorder="1" applyAlignment="1">
      <alignment horizontal="left" vertical="center"/>
    </xf>
    <xf numFmtId="3" fontId="47" fillId="0" borderId="74" xfId="3" applyNumberFormat="1" applyFont="1" applyBorder="1" applyAlignment="1">
      <alignment horizontal="left" vertical="center" wrapText="1"/>
    </xf>
    <xf numFmtId="3" fontId="53" fillId="2" borderId="79" xfId="3" applyNumberFormat="1" applyFont="1" applyFill="1" applyBorder="1" applyAlignment="1">
      <alignment horizontal="left" vertical="center" wrapText="1"/>
    </xf>
    <xf numFmtId="3" fontId="54" fillId="2" borderId="79" xfId="3" applyNumberFormat="1" applyFont="1" applyFill="1" applyBorder="1" applyAlignment="1">
      <alignment horizontal="left" vertical="center" wrapText="1"/>
    </xf>
    <xf numFmtId="3" fontId="54" fillId="2" borderId="80" xfId="3" applyNumberFormat="1" applyFont="1" applyFill="1" applyBorder="1" applyAlignment="1">
      <alignment horizontal="left" vertical="center" wrapText="1"/>
    </xf>
    <xf numFmtId="3" fontId="6" fillId="0" borderId="64" xfId="3" applyNumberFormat="1" applyFont="1" applyBorder="1" applyAlignment="1">
      <alignment horizontal="center" vertical="center" wrapText="1"/>
    </xf>
    <xf numFmtId="3" fontId="6" fillId="0" borderId="54" xfId="3" applyNumberFormat="1" applyFont="1" applyBorder="1" applyAlignment="1">
      <alignment horizontal="center" vertical="center" wrapText="1"/>
    </xf>
    <xf numFmtId="3" fontId="6" fillId="0" borderId="25" xfId="3" applyNumberFormat="1" applyFont="1" applyBorder="1" applyAlignment="1">
      <alignment horizontal="center" vertical="center" wrapText="1"/>
    </xf>
    <xf numFmtId="3" fontId="6" fillId="0" borderId="16" xfId="3" applyNumberFormat="1" applyFont="1" applyBorder="1" applyAlignment="1">
      <alignment horizontal="center" vertical="center" wrapText="1"/>
    </xf>
    <xf numFmtId="3" fontId="6" fillId="0" borderId="15" xfId="3" applyNumberFormat="1" applyFont="1" applyBorder="1" applyAlignment="1">
      <alignment horizontal="center" vertical="center" wrapText="1"/>
    </xf>
    <xf numFmtId="43" fontId="6" fillId="0" borderId="15" xfId="2" applyFont="1" applyBorder="1" applyAlignment="1">
      <alignment horizontal="center" vertical="center" wrapText="1"/>
    </xf>
    <xf numFmtId="43" fontId="6" fillId="0" borderId="50" xfId="2" applyFont="1" applyBorder="1" applyAlignment="1">
      <alignment horizontal="center" vertical="center" wrapText="1"/>
    </xf>
    <xf numFmtId="3" fontId="8" fillId="0" borderId="9" xfId="3" applyNumberFormat="1" applyFont="1" applyBorder="1" applyAlignment="1">
      <alignment horizontal="left" vertical="center"/>
    </xf>
    <xf numFmtId="3" fontId="8" fillId="0" borderId="10" xfId="3" applyNumberFormat="1" applyFont="1" applyBorder="1" applyAlignment="1">
      <alignment horizontal="left" vertical="center"/>
    </xf>
    <xf numFmtId="3" fontId="6" fillId="2" borderId="12" xfId="3" applyNumberFormat="1" applyFont="1" applyFill="1" applyBorder="1" applyAlignment="1">
      <alignment horizontal="left" vertical="center"/>
    </xf>
    <xf numFmtId="3" fontId="6" fillId="2" borderId="6" xfId="3" applyNumberFormat="1" applyFont="1" applyFill="1" applyBorder="1" applyAlignment="1">
      <alignment horizontal="left" vertical="center"/>
    </xf>
    <xf numFmtId="3" fontId="9" fillId="2" borderId="6" xfId="3" applyNumberFormat="1" applyFont="1" applyFill="1" applyBorder="1" applyAlignment="1">
      <alignment horizontal="left" vertical="center" wrapText="1"/>
    </xf>
    <xf numFmtId="3" fontId="9" fillId="2" borderId="7" xfId="3" applyNumberFormat="1" applyFont="1" applyFill="1" applyBorder="1" applyAlignment="1">
      <alignment horizontal="left" vertical="center" wrapText="1"/>
    </xf>
    <xf numFmtId="3" fontId="6" fillId="0" borderId="57" xfId="0" applyNumberFormat="1" applyFont="1" applyBorder="1" applyAlignment="1">
      <alignment horizontal="left" vertical="center" wrapText="1"/>
    </xf>
    <xf numFmtId="3" fontId="6" fillId="0" borderId="58" xfId="0" applyNumberFormat="1" applyFont="1" applyBorder="1" applyAlignment="1">
      <alignment horizontal="left" vertical="center" wrapText="1"/>
    </xf>
    <xf numFmtId="3" fontId="6" fillId="0" borderId="59" xfId="0" applyNumberFormat="1" applyFont="1" applyBorder="1" applyAlignment="1">
      <alignment horizontal="left" vertical="center" wrapText="1"/>
    </xf>
    <xf numFmtId="0" fontId="19" fillId="0" borderId="22" xfId="3" applyFont="1" applyBorder="1" applyAlignment="1">
      <alignment horizontal="left"/>
    </xf>
    <xf numFmtId="0" fontId="19" fillId="0" borderId="23" xfId="3" applyFont="1" applyBorder="1" applyAlignment="1">
      <alignment horizontal="left"/>
    </xf>
    <xf numFmtId="0" fontId="19" fillId="0" borderId="24" xfId="3" applyFont="1" applyBorder="1" applyAlignment="1">
      <alignment horizontal="left"/>
    </xf>
    <xf numFmtId="0" fontId="17" fillId="5" borderId="22" xfId="3" applyFont="1" applyFill="1" applyBorder="1" applyAlignment="1">
      <alignment horizontal="center" vertical="center"/>
    </xf>
    <xf numFmtId="0" fontId="17" fillId="5" borderId="23" xfId="3" applyFont="1" applyFill="1" applyBorder="1" applyAlignment="1">
      <alignment horizontal="center" vertical="center"/>
    </xf>
    <xf numFmtId="0" fontId="17" fillId="5" borderId="24" xfId="3" applyFont="1" applyFill="1" applyBorder="1" applyAlignment="1">
      <alignment horizontal="center" vertical="center"/>
    </xf>
    <xf numFmtId="0" fontId="20" fillId="8" borderId="22" xfId="3" applyFont="1" applyFill="1" applyBorder="1" applyAlignment="1">
      <alignment horizontal="left" vertical="center"/>
    </xf>
    <xf numFmtId="0" fontId="20" fillId="8" borderId="23" xfId="3" applyFont="1" applyFill="1" applyBorder="1" applyAlignment="1">
      <alignment horizontal="left" vertical="center"/>
    </xf>
    <xf numFmtId="0" fontId="20" fillId="8" borderId="24" xfId="3" applyFont="1" applyFill="1" applyBorder="1" applyAlignment="1">
      <alignment horizontal="left" vertical="center"/>
    </xf>
    <xf numFmtId="0" fontId="21" fillId="0" borderId="22" xfId="3" applyFont="1" applyBorder="1"/>
    <xf numFmtId="0" fontId="21" fillId="0" borderId="23" xfId="3" applyFont="1" applyBorder="1"/>
    <xf numFmtId="0" fontId="21" fillId="0" borderId="24" xfId="3" applyFont="1" applyBorder="1"/>
    <xf numFmtId="0" fontId="19" fillId="0" borderId="22" xfId="3" applyFont="1" applyBorder="1"/>
    <xf numFmtId="0" fontId="19" fillId="0" borderId="23" xfId="3" applyFont="1" applyBorder="1"/>
    <xf numFmtId="0" fontId="19" fillId="0" borderId="24" xfId="3" applyFont="1" applyBorder="1"/>
    <xf numFmtId="0" fontId="19" fillId="0" borderId="22" xfId="3" applyFont="1" applyBorder="1" applyAlignment="1">
      <alignment horizontal="left" wrapText="1"/>
    </xf>
    <xf numFmtId="0" fontId="19" fillId="0" borderId="23" xfId="3" applyFont="1" applyBorder="1" applyAlignment="1">
      <alignment horizontal="left" wrapText="1"/>
    </xf>
    <xf numFmtId="0" fontId="19" fillId="0" borderId="24" xfId="3" applyFont="1" applyBorder="1" applyAlignment="1">
      <alignment horizontal="left" wrapText="1"/>
    </xf>
    <xf numFmtId="0" fontId="20" fillId="8" borderId="22" xfId="3" applyFont="1" applyFill="1" applyBorder="1" applyAlignment="1">
      <alignment horizontal="left" vertical="center" wrapText="1"/>
    </xf>
    <xf numFmtId="0" fontId="20" fillId="8" borderId="23" xfId="3" applyFont="1" applyFill="1" applyBorder="1" applyAlignment="1">
      <alignment horizontal="left" vertical="center" wrapText="1"/>
    </xf>
    <xf numFmtId="0" fontId="20" fillId="8" borderId="24" xfId="3" applyFont="1" applyFill="1" applyBorder="1" applyAlignment="1">
      <alignment horizontal="left" vertical="center" wrapText="1"/>
    </xf>
    <xf numFmtId="0" fontId="19" fillId="0" borderId="22" xfId="3" applyFont="1" applyBorder="1" applyAlignment="1">
      <alignment wrapText="1"/>
    </xf>
    <xf numFmtId="0" fontId="19" fillId="0" borderId="23" xfId="3" applyFont="1" applyBorder="1" applyAlignment="1">
      <alignment wrapText="1"/>
    </xf>
    <xf numFmtId="0" fontId="19" fillId="0" borderId="24" xfId="3" applyFont="1" applyBorder="1" applyAlignment="1">
      <alignment wrapText="1"/>
    </xf>
    <xf numFmtId="0" fontId="20" fillId="8" borderId="1" xfId="3" applyFont="1" applyFill="1" applyBorder="1" applyAlignment="1">
      <alignment horizontal="left" vertical="center" wrapText="1"/>
    </xf>
    <xf numFmtId="0" fontId="20" fillId="8" borderId="2" xfId="3" applyFont="1" applyFill="1" applyBorder="1" applyAlignment="1">
      <alignment horizontal="left" vertical="center" wrapText="1"/>
    </xf>
    <xf numFmtId="0" fontId="20" fillId="8" borderId="3" xfId="3" applyFont="1" applyFill="1" applyBorder="1" applyAlignment="1">
      <alignment horizontal="left" vertical="center" wrapText="1"/>
    </xf>
    <xf numFmtId="0" fontId="27" fillId="0" borderId="22" xfId="8" applyFont="1" applyBorder="1" applyAlignment="1">
      <alignment horizontal="center"/>
    </xf>
    <xf numFmtId="0" fontId="27" fillId="0" borderId="24" xfId="8" applyFont="1" applyBorder="1" applyAlignment="1">
      <alignment horizontal="center"/>
    </xf>
    <xf numFmtId="0" fontId="2" fillId="0" borderId="25" xfId="6" applyFont="1" applyBorder="1" applyAlignment="1">
      <alignment horizontal="center"/>
    </xf>
    <xf numFmtId="0" fontId="26" fillId="0" borderId="0" xfId="6" applyFont="1" applyAlignment="1">
      <alignment horizontal="center"/>
    </xf>
    <xf numFmtId="0" fontId="2" fillId="0" borderId="0" xfId="6" applyFont="1" applyAlignment="1">
      <alignment horizontal="center" vertical="center"/>
    </xf>
    <xf numFmtId="0" fontId="27" fillId="16" borderId="22" xfId="8" applyFont="1" applyFill="1" applyBorder="1" applyAlignment="1">
      <alignment horizontal="center"/>
    </xf>
    <xf numFmtId="0" fontId="27" fillId="16" borderId="23" xfId="8" applyFont="1" applyFill="1" applyBorder="1" applyAlignment="1">
      <alignment horizontal="center"/>
    </xf>
    <xf numFmtId="0" fontId="27" fillId="16" borderId="24" xfId="8" applyFont="1" applyFill="1" applyBorder="1" applyAlignment="1">
      <alignment horizontal="center"/>
    </xf>
    <xf numFmtId="0" fontId="27" fillId="0" borderId="23" xfId="8" applyFont="1" applyBorder="1" applyAlignment="1">
      <alignment horizontal="center"/>
    </xf>
    <xf numFmtId="0" fontId="5" fillId="2" borderId="45" xfId="0" applyFont="1" applyFill="1" applyBorder="1" applyAlignment="1">
      <alignment horizontal="center" wrapText="1"/>
    </xf>
    <xf numFmtId="0" fontId="5" fillId="2" borderId="0" xfId="0" applyFont="1" applyFill="1" applyBorder="1" applyAlignment="1">
      <alignment horizontal="center"/>
    </xf>
    <xf numFmtId="0" fontId="5" fillId="2" borderId="67" xfId="0" applyFont="1" applyFill="1" applyBorder="1" applyAlignment="1">
      <alignment horizontal="center"/>
    </xf>
    <xf numFmtId="3" fontId="9" fillId="2" borderId="6" xfId="3" applyNumberFormat="1" applyFont="1" applyFill="1" applyBorder="1" applyAlignment="1">
      <alignment horizontal="left" wrapText="1"/>
    </xf>
    <xf numFmtId="3" fontId="9" fillId="2" borderId="7" xfId="3" applyNumberFormat="1" applyFont="1" applyFill="1" applyBorder="1" applyAlignment="1">
      <alignment horizontal="left" wrapText="1"/>
    </xf>
    <xf numFmtId="3" fontId="9" fillId="2" borderId="6" xfId="3" applyNumberFormat="1" applyFont="1" applyFill="1" applyBorder="1" applyAlignment="1">
      <alignment wrapText="1"/>
    </xf>
    <xf numFmtId="3" fontId="9" fillId="2" borderId="7" xfId="3" applyNumberFormat="1" applyFont="1" applyFill="1" applyBorder="1" applyAlignment="1">
      <alignment wrapText="1"/>
    </xf>
    <xf numFmtId="49" fontId="8" fillId="0" borderId="15" xfId="3" applyNumberFormat="1" applyFont="1" applyBorder="1" applyAlignment="1">
      <alignment horizontal="left" vertical="center" wrapText="1"/>
    </xf>
    <xf numFmtId="3" fontId="8" fillId="0" borderId="15" xfId="3" applyNumberFormat="1" applyFont="1" applyBorder="1" applyAlignment="1">
      <alignment horizontal="left" vertical="center" wrapText="1"/>
    </xf>
    <xf numFmtId="0" fontId="6" fillId="0" borderId="39" xfId="3" applyFont="1" applyBorder="1" applyAlignment="1">
      <alignment horizontal="left" vertical="center"/>
    </xf>
    <xf numFmtId="0" fontId="6" fillId="0" borderId="40" xfId="3" applyFont="1" applyBorder="1" applyAlignment="1">
      <alignment horizontal="left" vertical="center"/>
    </xf>
    <xf numFmtId="0" fontId="5" fillId="2" borderId="0"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75"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86" xfId="0" applyFont="1" applyFill="1" applyBorder="1" applyAlignment="1">
      <alignment horizontal="center" vertical="center"/>
    </xf>
    <xf numFmtId="49" fontId="8" fillId="0" borderId="37" xfId="3" applyNumberFormat="1" applyFont="1" applyBorder="1" applyAlignment="1">
      <alignment horizontal="left" vertical="center" wrapText="1"/>
    </xf>
    <xf numFmtId="49" fontId="8" fillId="0" borderId="38" xfId="3" applyNumberFormat="1" applyFont="1" applyBorder="1" applyAlignment="1">
      <alignment horizontal="left" vertical="center" wrapText="1"/>
    </xf>
    <xf numFmtId="3" fontId="9" fillId="2" borderId="6" xfId="3" applyNumberFormat="1" applyFont="1" applyFill="1" applyBorder="1" applyAlignment="1">
      <alignment horizontal="left" vertical="top" wrapText="1"/>
    </xf>
    <xf numFmtId="3" fontId="9" fillId="2" borderId="7" xfId="3" applyNumberFormat="1" applyFont="1" applyFill="1" applyBorder="1" applyAlignment="1">
      <alignment horizontal="left" vertical="top" wrapText="1"/>
    </xf>
    <xf numFmtId="0" fontId="42" fillId="0" borderId="1"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32" xfId="0" applyFont="1" applyBorder="1" applyAlignment="1">
      <alignment horizontal="center" vertical="center" wrapText="1"/>
    </xf>
    <xf numFmtId="43" fontId="0" fillId="0" borderId="0" xfId="1" applyFont="1" applyAlignment="1">
      <alignment horizontal="center" vertical="center"/>
    </xf>
    <xf numFmtId="43" fontId="0" fillId="0" borderId="0" xfId="1" applyFont="1" applyAlignment="1">
      <alignment horizontal="center"/>
    </xf>
    <xf numFmtId="164" fontId="0" fillId="0" borderId="0" xfId="1" applyNumberFormat="1" applyFont="1" applyAlignment="1">
      <alignment horizontal="center" vertical="center"/>
    </xf>
    <xf numFmtId="0" fontId="19" fillId="20" borderId="22" xfId="3" applyFont="1" applyFill="1" applyBorder="1"/>
    <xf numFmtId="0" fontId="19" fillId="20" borderId="23" xfId="3" applyFont="1" applyFill="1" applyBorder="1"/>
    <xf numFmtId="0" fontId="19" fillId="20" borderId="24" xfId="3" applyFont="1" applyFill="1" applyBorder="1"/>
    <xf numFmtId="0" fontId="20" fillId="20" borderId="22" xfId="3" applyFont="1" applyFill="1" applyBorder="1" applyAlignment="1">
      <alignment horizontal="left" vertical="center" wrapText="1"/>
    </xf>
    <xf numFmtId="0" fontId="20" fillId="20" borderId="23" xfId="3" applyFont="1" applyFill="1" applyBorder="1" applyAlignment="1">
      <alignment horizontal="left" vertical="center" wrapText="1"/>
    </xf>
    <xf numFmtId="0" fontId="20" fillId="20" borderId="24" xfId="3" applyFont="1" applyFill="1" applyBorder="1" applyAlignment="1">
      <alignment horizontal="left" vertical="center" wrapText="1"/>
    </xf>
    <xf numFmtId="0" fontId="20" fillId="5" borderId="22" xfId="3" applyFont="1" applyFill="1" applyBorder="1" applyAlignment="1">
      <alignment horizontal="left" vertical="center" wrapText="1"/>
    </xf>
    <xf numFmtId="0" fontId="20" fillId="5" borderId="23" xfId="3" applyFont="1" applyFill="1" applyBorder="1" applyAlignment="1">
      <alignment horizontal="left" vertical="center" wrapText="1"/>
    </xf>
    <xf numFmtId="0" fontId="20" fillId="5" borderId="24" xfId="3" applyFont="1" applyFill="1" applyBorder="1" applyAlignment="1">
      <alignment horizontal="left" vertical="center" wrapText="1"/>
    </xf>
    <xf numFmtId="0" fontId="2" fillId="0" borderId="25" xfId="0" applyFont="1" applyBorder="1" applyAlignment="1">
      <alignment horizontal="center"/>
    </xf>
    <xf numFmtId="0" fontId="26" fillId="0" borderId="0" xfId="0" applyFont="1" applyAlignment="1">
      <alignment horizontal="center"/>
    </xf>
    <xf numFmtId="0" fontId="2" fillId="0" borderId="0" xfId="0" applyFont="1" applyAlignment="1">
      <alignment horizontal="center" vertical="center"/>
    </xf>
    <xf numFmtId="3" fontId="47" fillId="2" borderId="46" xfId="3" applyNumberFormat="1" applyFont="1" applyFill="1" applyBorder="1" applyAlignment="1">
      <alignment horizontal="center" vertical="center" wrapText="1"/>
    </xf>
    <xf numFmtId="0" fontId="60" fillId="2" borderId="47" xfId="3" applyFont="1" applyFill="1" applyBorder="1" applyAlignment="1">
      <alignment horizontal="center" vertical="center" wrapText="1"/>
    </xf>
    <xf numFmtId="0" fontId="60" fillId="2" borderId="48" xfId="3" applyFont="1" applyFill="1" applyBorder="1" applyAlignment="1">
      <alignment horizontal="center" vertical="center" wrapText="1"/>
    </xf>
    <xf numFmtId="3" fontId="8" fillId="0" borderId="35" xfId="3" applyNumberFormat="1" applyFont="1" applyBorder="1" applyAlignment="1">
      <alignment horizontal="left" vertical="center"/>
    </xf>
    <xf numFmtId="3" fontId="8" fillId="0" borderId="51" xfId="3" applyNumberFormat="1" applyFont="1" applyBorder="1" applyAlignment="1">
      <alignment horizontal="left" vertical="center"/>
    </xf>
    <xf numFmtId="3" fontId="47" fillId="0" borderId="57" xfId="3" applyNumberFormat="1" applyFont="1" applyBorder="1" applyAlignment="1">
      <alignment horizontal="left" vertical="center" wrapText="1"/>
    </xf>
    <xf numFmtId="3" fontId="47" fillId="0" borderId="58" xfId="3" applyNumberFormat="1" applyFont="1" applyBorder="1" applyAlignment="1">
      <alignment horizontal="left" vertical="center" wrapText="1"/>
    </xf>
    <xf numFmtId="3" fontId="47" fillId="0" borderId="59" xfId="3" applyNumberFormat="1" applyFont="1" applyBorder="1" applyAlignment="1">
      <alignment horizontal="left" vertical="center" wrapText="1"/>
    </xf>
    <xf numFmtId="3" fontId="47" fillId="2" borderId="12" xfId="3" applyNumberFormat="1" applyFont="1" applyFill="1" applyBorder="1" applyAlignment="1">
      <alignment horizontal="left" vertical="center"/>
    </xf>
    <xf numFmtId="3" fontId="47" fillId="2" borderId="6" xfId="3" applyNumberFormat="1" applyFont="1" applyFill="1" applyBorder="1" applyAlignment="1">
      <alignment horizontal="left" vertical="center"/>
    </xf>
    <xf numFmtId="3" fontId="48" fillId="2" borderId="6" xfId="3" applyNumberFormat="1" applyFont="1" applyFill="1" applyBorder="1" applyAlignment="1">
      <alignment horizontal="left" vertical="center" wrapText="1"/>
    </xf>
    <xf numFmtId="3" fontId="48" fillId="2" borderId="7" xfId="3" applyNumberFormat="1" applyFont="1" applyFill="1" applyBorder="1" applyAlignment="1">
      <alignment horizontal="left" vertical="center" wrapText="1"/>
    </xf>
    <xf numFmtId="3" fontId="6" fillId="0" borderId="52" xfId="3" applyNumberFormat="1" applyFont="1" applyBorder="1" applyAlignment="1">
      <alignment horizontal="center" vertical="center" wrapText="1"/>
    </xf>
    <xf numFmtId="3" fontId="6" fillId="0" borderId="26" xfId="3" applyNumberFormat="1" applyFont="1" applyBorder="1" applyAlignment="1">
      <alignment horizontal="center" vertical="center" wrapText="1"/>
    </xf>
    <xf numFmtId="3" fontId="6" fillId="0" borderId="16" xfId="3" applyNumberFormat="1" applyFont="1" applyFill="1" applyBorder="1" applyAlignment="1">
      <alignment horizontal="center" vertical="center" wrapText="1"/>
    </xf>
    <xf numFmtId="3" fontId="6" fillId="0" borderId="15" xfId="3" applyNumberFormat="1" applyFont="1" applyFill="1" applyBorder="1" applyAlignment="1">
      <alignment horizontal="center" vertical="center" wrapText="1"/>
    </xf>
    <xf numFmtId="43" fontId="6" fillId="0" borderId="16" xfId="2" applyFont="1" applyBorder="1" applyAlignment="1">
      <alignment horizontal="center" vertical="center" wrapText="1"/>
    </xf>
    <xf numFmtId="43" fontId="6" fillId="0" borderId="53" xfId="2" applyFont="1" applyBorder="1" applyAlignment="1">
      <alignment horizontal="center" vertical="center" wrapText="1"/>
    </xf>
    <xf numFmtId="0" fontId="6" fillId="0" borderId="16" xfId="2" applyNumberFormat="1" applyFont="1" applyFill="1" applyBorder="1" applyAlignment="1">
      <alignment horizontal="center" vertical="center" wrapText="1"/>
    </xf>
    <xf numFmtId="0" fontId="6" fillId="0" borderId="15" xfId="2" applyNumberFormat="1" applyFont="1" applyFill="1" applyBorder="1" applyAlignment="1">
      <alignment horizontal="center" vertical="center" wrapText="1"/>
    </xf>
    <xf numFmtId="0" fontId="6" fillId="0" borderId="16" xfId="3" applyFont="1" applyFill="1" applyBorder="1" applyAlignment="1">
      <alignment horizontal="center" vertical="center" wrapText="1"/>
    </xf>
    <xf numFmtId="0" fontId="6" fillId="0" borderId="15" xfId="3" applyFont="1" applyFill="1" applyBorder="1" applyAlignment="1">
      <alignment horizontal="center" vertical="center" wrapText="1"/>
    </xf>
    <xf numFmtId="3" fontId="6" fillId="5" borderId="79" xfId="5" applyNumberFormat="1" applyFont="1" applyFill="1" applyBorder="1" applyAlignment="1">
      <alignment horizontal="center" vertical="center"/>
    </xf>
    <xf numFmtId="3" fontId="6" fillId="5" borderId="80" xfId="5" applyNumberFormat="1" applyFont="1" applyFill="1" applyBorder="1" applyAlignment="1">
      <alignment horizontal="center" vertical="center"/>
    </xf>
    <xf numFmtId="3" fontId="5" fillId="4" borderId="57" xfId="5" applyNumberFormat="1" applyFont="1" applyFill="1" applyBorder="1" applyAlignment="1">
      <alignment horizontal="center" vertical="center" wrapText="1"/>
    </xf>
    <xf numFmtId="3" fontId="5" fillId="4" borderId="58" xfId="5" applyNumberFormat="1" applyFont="1" applyFill="1" applyBorder="1" applyAlignment="1">
      <alignment horizontal="center" vertical="center" wrapText="1"/>
    </xf>
  </cellXfs>
  <cellStyles count="14">
    <cellStyle name="Comma" xfId="1" builtinId="3"/>
    <cellStyle name="Comma 2" xfId="2" xr:uid="{5C346446-D6C1-48BA-BEEA-FC5B9EE00C9A}"/>
    <cellStyle name="Comma 6" xfId="7" xr:uid="{86456BA0-E018-4F25-98F5-27062D1143B6}"/>
    <cellStyle name="Normal" xfId="0" builtinId="0"/>
    <cellStyle name="Normal 2" xfId="3" xr:uid="{A51312C8-C15A-4A0E-99FF-81F8043AB4B4}"/>
    <cellStyle name="Normal 2 10" xfId="9" xr:uid="{6539B5CA-0B78-49BF-AC86-E4B25208680C}"/>
    <cellStyle name="Normal 2 5 2" xfId="5" xr:uid="{3AD7B4CB-312F-4F7D-B6A9-C955105BAD12}"/>
    <cellStyle name="Normal 2 5 2 2" xfId="8" xr:uid="{B9C1D7A9-A1F2-4D21-9B47-10637367E457}"/>
    <cellStyle name="Normal 2 5 2 2 2" xfId="11" xr:uid="{B4EF3173-8E31-4AE4-9CF6-A534B829C804}"/>
    <cellStyle name="Normal 2 6" xfId="12" xr:uid="{273D0459-373C-416F-9892-AEC4F74A56D0}"/>
    <cellStyle name="Normal 2 7" xfId="13" xr:uid="{7DEA4332-F13D-493E-8177-FB75009083ED}"/>
    <cellStyle name="Normal 6" xfId="6" xr:uid="{66FA055D-96B5-4C18-A51B-C04534C1FA4C}"/>
    <cellStyle name="Percent" xfId="10" builtinId="5"/>
    <cellStyle name="Percent 2" xfId="4" xr:uid="{5037CC58-73BD-4A58-9066-3D4480F171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3.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6.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2.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191800</xdr:colOff>
      <xdr:row>18</xdr:row>
      <xdr:rowOff>78582</xdr:rowOff>
    </xdr:from>
    <xdr:to>
      <xdr:col>10</xdr:col>
      <xdr:colOff>426245</xdr:colOff>
      <xdr:row>45</xdr:row>
      <xdr:rowOff>101381</xdr:rowOff>
    </xdr:to>
    <xdr:pic>
      <xdr:nvPicPr>
        <xdr:cNvPr id="2" name="Picture 1">
          <a:extLst>
            <a:ext uri="{FF2B5EF4-FFF2-40B4-BE49-F238E27FC236}">
              <a16:creationId xmlns:a16="http://schemas.microsoft.com/office/drawing/2014/main" id="{FED0349F-7AE7-4FEC-8B9D-CB5143B2BD33}"/>
            </a:ext>
          </a:extLst>
        </xdr:cNvPr>
        <xdr:cNvPicPr>
          <a:picLocks noChangeAspect="1"/>
        </xdr:cNvPicPr>
      </xdr:nvPicPr>
      <xdr:blipFill>
        <a:blip xmlns:r="http://schemas.openxmlformats.org/officeDocument/2006/relationships" r:embed="rId1"/>
        <a:stretch>
          <a:fillRect/>
        </a:stretch>
      </xdr:blipFill>
      <xdr:spPr>
        <a:xfrm>
          <a:off x="3354100" y="3759042"/>
          <a:ext cx="3671065" cy="4960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jith\shareddocs\AJITH\FORMATS\SuStructure%20Conc%20Take%20o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pc\users\CCC\INDIKA\Pre%20contract\MMGS\Graphitec\Evaluation%20Graphitec\AJITH\FORMATS\SuStructure%20Conc%20Take%20o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NANDA-PC\PROJECTS%20-%20SUNANDA\PROPOSALS\Sunanda\Projects\Archimedia\Central-province\Budget%20Estimate-%20PC%20Kandy\AJITH\FORMATS\SuStructure%20Conc%20Take%20o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IIB%20new/Group%2003%20new/New%20Designs%20after%20revision%20on%20-march%202021/BOQ%20by%20Amila/7D/Combined%20BOQ%20-7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IIB%20new/Group%2003%20new/New%20Designs%20after%20revision%20on%20-march%202021/BOQ%20by%20Amila/7F/Preli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ihan/AIIB%20EE/GORUP%2003/RLVMMP%20-%20Group%203%20-%20Engineering%20Estimates/Group%203%20S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Off"/>
      <sheetName val="Schedules"/>
      <sheetName val="Sheet3"/>
      <sheetName val="B-3.2 EB"/>
      <sheetName val="PLT-SUM"/>
      <sheetName val="Factor Sheet"/>
      <sheetName val="Price Sheet"/>
      <sheetName val="B-2"/>
      <sheetName val="Rates"/>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Off"/>
      <sheetName val="Schedules"/>
      <sheetName val="Sheet3"/>
      <sheetName val="B-2"/>
      <sheetName val="Option"/>
      <sheetName val="Details"/>
      <sheetName val=" GULF"/>
      <sheetName val="BOQ"/>
      <sheetName val="CCS summary "/>
      <sheetName val="16 Consum's"/>
      <sheetName val="24 B'up"/>
      <sheetName val="SuStructure Conc Take off"/>
      <sheetName val="Det_Des"/>
      <sheetName val="Ra  stair"/>
      <sheetName val="9600-T1"/>
      <sheetName val="C&amp;IEVA"/>
      <sheetName val="EC(Rev)"/>
      <sheetName val="#REF"/>
      <sheetName val="Bill 1"/>
      <sheetName val="Bill 2"/>
      <sheetName val="Bill 3"/>
      <sheetName val="Bill 4"/>
      <sheetName val="Bill 5"/>
      <sheetName val="Bill 6"/>
      <sheetName val="Bill 7"/>
      <sheetName val="Summary"/>
      <sheetName val="#3E1_GCR"/>
      <sheetName val="_GULF"/>
      <sheetName val="CCS_summary_"/>
      <sheetName val="16_Consum's"/>
      <sheetName val="24_B'up"/>
      <sheetName val="SuStructure_Conc_Take_off"/>
      <sheetName val="Ra__stair"/>
      <sheetName val="Bill_1"/>
      <sheetName val="Bill_2"/>
      <sheetName val="Bill_3"/>
      <sheetName val="Bill_4"/>
      <sheetName val="Bill_5"/>
      <sheetName val="Bill_6"/>
      <sheetName val="Bill_7"/>
      <sheetName val="설계서"/>
      <sheetName val="기준액"/>
      <sheetName val="B-3"/>
      <sheetName val="Calculation"/>
      <sheetName val="Factors"/>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Off"/>
      <sheetName val="Schedules"/>
      <sheetName val="Sheet3"/>
      <sheetName val="B-3"/>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 Summary"/>
      <sheetName val="Bill No 1"/>
      <sheetName val="Bill No. 2"/>
      <sheetName val="Bill 2.1"/>
      <sheetName val="Bill 2.2"/>
      <sheetName val="Bill 2.3"/>
      <sheetName val="Bill 2.4"/>
      <sheetName val="QTY53"/>
      <sheetName val="Drains53"/>
      <sheetName val="Bill No. 3"/>
      <sheetName val="Bill 3.1"/>
      <sheetName val="Bill 3.2"/>
      <sheetName val="Bill 3.3"/>
      <sheetName val="Bill 3.4"/>
      <sheetName val="QTY105"/>
      <sheetName val="Drains105"/>
      <sheetName val="Sheet105"/>
      <sheetName val="Bill No. 4"/>
      <sheetName val="Bill 4.1"/>
      <sheetName val="Bill 4.2"/>
      <sheetName val="Bill 4.3"/>
      <sheetName val="Bill 4.4"/>
      <sheetName val="QTY113"/>
      <sheetName val="Drains113 "/>
      <sheetName val="Grid Beam113 "/>
      <sheetName val="Box Culvert113"/>
      <sheetName val="Bill No. 5"/>
      <sheetName val="Bill 5.1"/>
      <sheetName val="Bill 5.2"/>
      <sheetName val="Bill 5.3"/>
      <sheetName val="QTY114"/>
      <sheetName val="Drains114"/>
      <sheetName val="Sheet114"/>
      <sheetName val="Bill No. 6"/>
      <sheetName val="Bill 6.1"/>
      <sheetName val="Bill 6.2"/>
      <sheetName val="Bill 6.3"/>
      <sheetName val="QTY116"/>
      <sheetName val="Drains116"/>
      <sheetName val="Sheet116"/>
      <sheetName val="Bill No. 7"/>
      <sheetName val="Bill 7.1"/>
      <sheetName val="Bill 7.2"/>
      <sheetName val="Bill 7.3"/>
      <sheetName val="QTY117"/>
      <sheetName val="Drains117"/>
      <sheetName val="Sheet117"/>
      <sheetName val="Bill No.Dayworks"/>
    </sheetNames>
    <sheetDataSet>
      <sheetData sheetId="0"/>
      <sheetData sheetId="1">
        <row r="10">
          <cell r="G10">
            <v>200000</v>
          </cell>
        </row>
        <row r="14">
          <cell r="G14">
            <v>600000</v>
          </cell>
        </row>
        <row r="17">
          <cell r="G17">
            <v>1000000</v>
          </cell>
        </row>
        <row r="24">
          <cell r="G24">
            <v>1070000</v>
          </cell>
        </row>
        <row r="30">
          <cell r="G30">
            <v>120000</v>
          </cell>
        </row>
        <row r="33">
          <cell r="G33">
            <v>1000000</v>
          </cell>
        </row>
        <row r="38">
          <cell r="G38">
            <v>5000000</v>
          </cell>
        </row>
        <row r="42">
          <cell r="G42">
            <v>600000</v>
          </cell>
        </row>
        <row r="45">
          <cell r="G45">
            <v>2000000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ors staff 7F"/>
      <sheetName val="Establishment of contractr"/>
      <sheetName val="Mobilization ,de mob"/>
      <sheetName val="Health and safety measures duri"/>
      <sheetName val="EHSH -1.6 7F"/>
      <sheetName val="Settingout &amp; cs. 7F"/>
    </sheetNames>
    <sheetDataSet>
      <sheetData sheetId="0"/>
      <sheetData sheetId="1"/>
      <sheetData sheetId="2"/>
      <sheetData sheetId="3"/>
      <sheetData sheetId="4">
        <row r="40">
          <cell r="F40">
            <v>1500000</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 Sum"/>
    </sheetNames>
    <sheetDataSet>
      <sheetData sheetId="0"/>
      <sheetData sheetId="1">
        <row r="14">
          <cell r="C14">
            <v>2269584629.0524998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4BB92-1D6C-4470-BA55-07A4CF8B67C7}">
  <sheetPr>
    <tabColor rgb="FFFF0066"/>
  </sheetPr>
  <dimension ref="A1:AA75"/>
  <sheetViews>
    <sheetView showGridLines="0" view="pageBreakPreview" topLeftCell="C2" zoomScaleNormal="100" zoomScaleSheetLayoutView="100" workbookViewId="0">
      <selection activeCell="I18" sqref="I1:M1048576"/>
    </sheetView>
  </sheetViews>
  <sheetFormatPr defaultColWidth="9.109375" defaultRowHeight="13.2"/>
  <cols>
    <col min="1" max="1" width="2.6640625" style="22" hidden="1" customWidth="1"/>
    <col min="2" max="2" width="1.6640625" style="22" hidden="1" customWidth="1"/>
    <col min="3" max="3" width="6.6640625" style="21" customWidth="1"/>
    <col min="4" max="4" width="40.6640625" style="22" customWidth="1"/>
    <col min="5" max="5" width="6.6640625" style="21" customWidth="1"/>
    <col min="6" max="6" width="8.6640625" style="23" customWidth="1"/>
    <col min="7" max="7" width="39.109375" style="24" customWidth="1"/>
    <col min="8" max="8" width="25.109375" style="24" customWidth="1"/>
    <col min="9" max="10" width="19.109375" style="24" hidden="1" customWidth="1"/>
    <col min="11" max="11" width="20.109375" style="22" hidden="1" customWidth="1"/>
    <col min="12" max="12" width="1.6640625" style="22" hidden="1" customWidth="1"/>
    <col min="13" max="13" width="21.6640625" style="22" hidden="1" customWidth="1"/>
    <col min="14" max="14" width="14.33203125" style="25" bestFit="1" customWidth="1"/>
    <col min="15" max="16" width="1.6640625" style="22" customWidth="1"/>
    <col min="17" max="17" width="19.33203125" style="22" customWidth="1"/>
    <col min="18" max="18" width="7.5546875" style="22" customWidth="1"/>
    <col min="19" max="19" width="14.109375" style="22" customWidth="1"/>
    <col min="20" max="23" width="1.6640625" style="22" customWidth="1"/>
    <col min="24" max="24" width="14.33203125" style="22" bestFit="1" customWidth="1"/>
    <col min="25" max="25" width="14.33203125" style="26" bestFit="1" customWidth="1"/>
    <col min="26" max="26" width="11.6640625" style="22" bestFit="1" customWidth="1"/>
    <col min="27" max="27" width="9.88671875" style="22" bestFit="1" customWidth="1"/>
    <col min="28" max="16384" width="9.109375" style="22"/>
  </cols>
  <sheetData>
    <row r="1" spans="2:25" ht="5.25" hidden="1" customHeight="1">
      <c r="C1" s="268"/>
      <c r="D1" s="269"/>
      <c r="E1" s="270"/>
      <c r="F1" s="271"/>
      <c r="G1" s="272"/>
      <c r="H1" s="273"/>
      <c r="I1" s="274"/>
      <c r="J1" s="274"/>
    </row>
    <row r="2" spans="2:25" s="275" customFormat="1" ht="17.25" customHeight="1">
      <c r="C2" s="842" t="s">
        <v>276</v>
      </c>
      <c r="D2" s="843"/>
      <c r="E2" s="843"/>
      <c r="F2" s="843"/>
      <c r="G2" s="843"/>
      <c r="H2" s="844"/>
      <c r="I2" s="276"/>
      <c r="J2" s="276"/>
      <c r="N2" s="277"/>
      <c r="Y2" s="278"/>
    </row>
    <row r="3" spans="2:25" s="275" customFormat="1" ht="17.25" customHeight="1">
      <c r="C3" s="853" t="s">
        <v>1478</v>
      </c>
      <c r="D3" s="854"/>
      <c r="E3" s="854"/>
      <c r="F3" s="854"/>
      <c r="G3" s="854"/>
      <c r="H3" s="855"/>
      <c r="I3" s="276"/>
      <c r="J3" s="276"/>
      <c r="N3" s="277"/>
      <c r="Y3" s="278"/>
    </row>
    <row r="4" spans="2:25" s="275" customFormat="1" ht="17.25" customHeight="1">
      <c r="C4" s="853" t="s">
        <v>1479</v>
      </c>
      <c r="D4" s="854"/>
      <c r="E4" s="854"/>
      <c r="F4" s="854"/>
      <c r="G4" s="854"/>
      <c r="H4" s="855"/>
      <c r="I4" s="276"/>
      <c r="J4" s="276"/>
      <c r="N4" s="277"/>
      <c r="Y4" s="278"/>
    </row>
    <row r="5" spans="2:25" s="275" customFormat="1" ht="8.4" customHeight="1">
      <c r="C5" s="729"/>
      <c r="D5" s="730"/>
      <c r="E5" s="730"/>
      <c r="F5" s="730"/>
      <c r="G5" s="730"/>
      <c r="H5" s="731"/>
      <c r="I5" s="276"/>
      <c r="J5" s="276"/>
      <c r="N5" s="277"/>
      <c r="Y5" s="278"/>
    </row>
    <row r="6" spans="2:25" s="275" customFormat="1" ht="29.4" customHeight="1" thickBot="1">
      <c r="C6" s="856" t="s">
        <v>1480</v>
      </c>
      <c r="D6" s="857"/>
      <c r="E6" s="857"/>
      <c r="F6" s="857"/>
      <c r="G6" s="857"/>
      <c r="H6" s="858"/>
      <c r="I6" s="276"/>
      <c r="J6" s="276"/>
      <c r="N6" s="277"/>
      <c r="Y6" s="278"/>
    </row>
    <row r="7" spans="2:25" ht="26.4" customHeight="1">
      <c r="C7" s="845" t="s">
        <v>385</v>
      </c>
      <c r="D7" s="846"/>
      <c r="E7" s="846"/>
      <c r="F7" s="846"/>
      <c r="G7" s="846"/>
      <c r="H7" s="847"/>
      <c r="I7" s="279"/>
      <c r="J7" s="279"/>
    </row>
    <row r="8" spans="2:25" ht="10.8" hidden="1" customHeight="1">
      <c r="C8" s="711"/>
      <c r="D8" s="709"/>
      <c r="E8" s="709"/>
      <c r="F8" s="709"/>
      <c r="G8" s="710"/>
      <c r="H8" s="712"/>
      <c r="I8" s="282"/>
      <c r="J8" s="282"/>
    </row>
    <row r="9" spans="2:25" ht="26.4">
      <c r="B9" s="283" t="s">
        <v>277</v>
      </c>
      <c r="C9" s="848" t="s">
        <v>278</v>
      </c>
      <c r="D9" s="849"/>
      <c r="E9" s="849"/>
      <c r="F9" s="849"/>
      <c r="G9" s="849"/>
      <c r="H9" s="850"/>
      <c r="I9" s="284"/>
      <c r="J9" s="285" t="e">
        <f>H11/H25</f>
        <v>#DIV/0!</v>
      </c>
      <c r="M9" s="26" t="e">
        <f>H11/H25</f>
        <v>#DIV/0!</v>
      </c>
    </row>
    <row r="10" spans="2:25" ht="23.25" customHeight="1">
      <c r="B10" s="283" t="s">
        <v>277</v>
      </c>
      <c r="C10" s="713"/>
      <c r="D10" s="286" t="s">
        <v>8</v>
      </c>
      <c r="E10" s="280"/>
      <c r="F10" s="287"/>
      <c r="G10" s="281"/>
      <c r="H10" s="714" t="s">
        <v>9</v>
      </c>
      <c r="I10" s="282"/>
      <c r="J10" s="282"/>
    </row>
    <row r="11" spans="2:25" s="11" customFormat="1" ht="40.200000000000003" customHeight="1">
      <c r="C11" s="715">
        <v>1</v>
      </c>
      <c r="D11" s="840" t="s">
        <v>279</v>
      </c>
      <c r="E11" s="851"/>
      <c r="F11" s="851"/>
      <c r="G11" s="852"/>
      <c r="H11" s="716"/>
      <c r="I11" s="290"/>
      <c r="J11" s="290"/>
      <c r="K11" s="12"/>
      <c r="M11" s="14"/>
      <c r="N11" s="12"/>
      <c r="Q11" s="13"/>
      <c r="Y11" s="17"/>
    </row>
    <row r="12" spans="2:25" s="11" customFormat="1" ht="40.200000000000003" customHeight="1">
      <c r="C12" s="715">
        <v>2</v>
      </c>
      <c r="D12" s="840" t="s">
        <v>1490</v>
      </c>
      <c r="E12" s="840"/>
      <c r="F12" s="840"/>
      <c r="G12" s="841"/>
      <c r="H12" s="716"/>
      <c r="I12" s="290"/>
      <c r="J12" s="290"/>
      <c r="K12" s="12"/>
      <c r="M12" s="14"/>
      <c r="N12" s="12"/>
      <c r="Q12" s="12"/>
      <c r="S12" s="14"/>
      <c r="Y12" s="291"/>
    </row>
    <row r="13" spans="2:25" s="11" customFormat="1" ht="40.200000000000003" customHeight="1">
      <c r="C13" s="715">
        <v>3</v>
      </c>
      <c r="D13" s="863" t="s">
        <v>1496</v>
      </c>
      <c r="E13" s="864"/>
      <c r="F13" s="864"/>
      <c r="G13" s="865"/>
      <c r="H13" s="716"/>
      <c r="I13" s="290"/>
      <c r="J13" s="290"/>
      <c r="K13" s="12"/>
      <c r="M13" s="14"/>
      <c r="N13" s="12"/>
      <c r="Q13" s="12"/>
      <c r="S13" s="14"/>
      <c r="Y13" s="292"/>
    </row>
    <row r="14" spans="2:25" s="11" customFormat="1" ht="40.200000000000003" customHeight="1">
      <c r="C14" s="715">
        <v>4</v>
      </c>
      <c r="D14" s="840" t="s">
        <v>1497</v>
      </c>
      <c r="E14" s="840"/>
      <c r="F14" s="840"/>
      <c r="G14" s="841"/>
      <c r="H14" s="716"/>
      <c r="I14" s="293"/>
      <c r="J14" s="293"/>
      <c r="K14" s="12"/>
      <c r="M14" s="14"/>
      <c r="N14" s="12"/>
      <c r="Q14" s="12"/>
      <c r="S14" s="14"/>
      <c r="Y14" s="13"/>
    </row>
    <row r="15" spans="2:25" s="11" customFormat="1" ht="40.200000000000003" customHeight="1">
      <c r="C15" s="715">
        <v>5</v>
      </c>
      <c r="D15" s="862" t="s">
        <v>1491</v>
      </c>
      <c r="E15" s="840"/>
      <c r="F15" s="840"/>
      <c r="G15" s="841"/>
      <c r="H15" s="716"/>
      <c r="I15" s="293"/>
      <c r="J15" s="293"/>
      <c r="K15" s="12"/>
      <c r="M15" s="14"/>
      <c r="N15" s="12"/>
      <c r="Q15" s="12"/>
      <c r="S15" s="14"/>
      <c r="Y15" s="13"/>
    </row>
    <row r="16" spans="2:25" s="11" customFormat="1" ht="40.200000000000003" customHeight="1">
      <c r="C16" s="715">
        <v>6</v>
      </c>
      <c r="D16" s="862" t="s">
        <v>1492</v>
      </c>
      <c r="E16" s="840"/>
      <c r="F16" s="840"/>
      <c r="G16" s="841"/>
      <c r="H16" s="716"/>
      <c r="I16" s="293"/>
      <c r="J16" s="293"/>
      <c r="K16" s="12"/>
      <c r="M16" s="14"/>
      <c r="N16" s="12"/>
      <c r="Q16" s="12"/>
      <c r="S16" s="14"/>
      <c r="Y16" s="13"/>
    </row>
    <row r="17" spans="3:27" s="11" customFormat="1" ht="40.200000000000003" customHeight="1">
      <c r="C17" s="715">
        <v>7</v>
      </c>
      <c r="D17" s="862" t="s">
        <v>1493</v>
      </c>
      <c r="E17" s="840"/>
      <c r="F17" s="840"/>
      <c r="G17" s="841"/>
      <c r="H17" s="716"/>
      <c r="I17" s="293"/>
      <c r="J17" s="294"/>
      <c r="K17" s="12"/>
      <c r="M17" s="14"/>
      <c r="N17" s="12"/>
      <c r="Q17" s="12"/>
      <c r="S17" s="14"/>
      <c r="Y17" s="13"/>
    </row>
    <row r="18" spans="3:27" s="11" customFormat="1" ht="40.200000000000003" customHeight="1">
      <c r="C18" s="715">
        <v>8</v>
      </c>
      <c r="D18" s="862" t="s">
        <v>1494</v>
      </c>
      <c r="E18" s="840"/>
      <c r="F18" s="840"/>
      <c r="G18" s="841"/>
      <c r="H18" s="716"/>
      <c r="I18" s="293"/>
      <c r="J18" s="294"/>
      <c r="K18" s="12"/>
      <c r="M18" s="14"/>
      <c r="N18" s="12"/>
      <c r="Q18" s="12"/>
      <c r="S18" s="14"/>
      <c r="Y18" s="13"/>
    </row>
    <row r="19" spans="3:27" s="11" customFormat="1" ht="40.200000000000003" customHeight="1">
      <c r="C19" s="715">
        <v>9</v>
      </c>
      <c r="D19" s="862" t="s">
        <v>1495</v>
      </c>
      <c r="E19" s="840"/>
      <c r="F19" s="840"/>
      <c r="G19" s="841"/>
      <c r="H19" s="716"/>
      <c r="I19" s="293"/>
      <c r="J19" s="294"/>
      <c r="K19" s="12"/>
      <c r="M19" s="14"/>
      <c r="N19" s="12"/>
      <c r="Q19" s="12"/>
      <c r="S19" s="14"/>
      <c r="Y19" s="13"/>
    </row>
    <row r="20" spans="3:27" s="11" customFormat="1" ht="40.200000000000003" customHeight="1">
      <c r="C20" s="715">
        <v>10</v>
      </c>
      <c r="D20" s="707" t="str">
        <f>'Bill No.Dayworks'!$A$1</f>
        <v>BILL NO. 10- DAYWORKS</v>
      </c>
      <c r="E20" s="707"/>
      <c r="F20" s="707"/>
      <c r="G20" s="708"/>
      <c r="H20" s="716"/>
      <c r="I20" s="290"/>
      <c r="J20" s="290"/>
      <c r="K20" s="12"/>
      <c r="M20" s="14"/>
      <c r="N20" s="12"/>
      <c r="Q20" s="12"/>
      <c r="S20" s="14"/>
      <c r="X20" s="14"/>
      <c r="Y20" s="292"/>
    </row>
    <row r="21" spans="3:27" s="11" customFormat="1" ht="40.200000000000003" customHeight="1">
      <c r="C21" s="715">
        <v>11</v>
      </c>
      <c r="D21" s="707" t="s">
        <v>1356</v>
      </c>
      <c r="E21" s="707"/>
      <c r="F21" s="707"/>
      <c r="G21" s="708" t="s">
        <v>123</v>
      </c>
      <c r="H21" s="716"/>
      <c r="I21" s="290"/>
      <c r="J21" s="290"/>
      <c r="K21" s="12"/>
      <c r="M21" s="14"/>
      <c r="N21" s="12"/>
      <c r="X21" s="14"/>
      <c r="Y21" s="295"/>
      <c r="Z21" s="296"/>
    </row>
    <row r="22" spans="3:27" s="11" customFormat="1" ht="40.200000000000003" customHeight="1">
      <c r="C22" s="715">
        <v>12</v>
      </c>
      <c r="D22" s="707" t="s">
        <v>280</v>
      </c>
      <c r="E22" s="707"/>
      <c r="F22" s="707"/>
      <c r="G22" s="297">
        <v>0.1</v>
      </c>
      <c r="H22" s="716"/>
      <c r="I22" s="290"/>
      <c r="J22" s="290"/>
      <c r="K22" s="12"/>
      <c r="M22" s="14"/>
      <c r="N22" s="13"/>
      <c r="X22" s="14"/>
      <c r="Y22" s="13"/>
    </row>
    <row r="23" spans="3:27" s="11" customFormat="1" ht="40.200000000000003" customHeight="1">
      <c r="C23" s="715">
        <v>13</v>
      </c>
      <c r="D23" s="707" t="s">
        <v>281</v>
      </c>
      <c r="E23" s="298"/>
      <c r="F23" s="298"/>
      <c r="G23" s="297">
        <v>0.1</v>
      </c>
      <c r="H23" s="716"/>
      <c r="I23" s="290"/>
      <c r="J23" s="290"/>
      <c r="K23" s="12"/>
      <c r="M23" s="14"/>
      <c r="N23" s="13"/>
      <c r="X23" s="14"/>
      <c r="Y23" s="13"/>
    </row>
    <row r="24" spans="3:27" s="11" customFormat="1" ht="40.200000000000003" customHeight="1">
      <c r="C24" s="715">
        <v>14</v>
      </c>
      <c r="D24" s="299" t="s">
        <v>282</v>
      </c>
      <c r="E24" s="300"/>
      <c r="F24" s="300"/>
      <c r="G24" s="301"/>
      <c r="H24" s="717">
        <f>'[4]Bill No 1'!G10+'[4]Bill No 1'!G14+'[4]Bill No 1'!G17+'[4]Bill No 1'!G24+'[4]Bill No 1'!G30+'[4]Bill No 1'!G33+'[4]Bill No 1'!G38+'[4]Bill No 1'!G42+'[4]Bill No 1'!G45</f>
        <v>11590000</v>
      </c>
      <c r="I24" s="290">
        <v>11590000</v>
      </c>
      <c r="J24" s="290"/>
      <c r="K24" s="12"/>
      <c r="M24" s="14"/>
      <c r="N24" s="12"/>
      <c r="Y24" s="12"/>
      <c r="Z24" s="296"/>
    </row>
    <row r="25" spans="3:27" s="11" customFormat="1" ht="40.200000000000003" customHeight="1">
      <c r="C25" s="715">
        <v>15</v>
      </c>
      <c r="D25" s="866" t="s">
        <v>1514</v>
      </c>
      <c r="E25" s="867"/>
      <c r="F25" s="867"/>
      <c r="G25" s="868" t="s">
        <v>283</v>
      </c>
      <c r="H25" s="718"/>
      <c r="I25" s="303"/>
      <c r="J25" s="303"/>
      <c r="K25" s="12"/>
      <c r="M25" s="12"/>
      <c r="N25" s="12"/>
      <c r="X25" s="14"/>
      <c r="Y25" s="12"/>
      <c r="Z25" s="304"/>
      <c r="AA25" s="304"/>
    </row>
    <row r="26" spans="3:27" s="11" customFormat="1" ht="40.200000000000003" customHeight="1">
      <c r="C26" s="715">
        <v>16</v>
      </c>
      <c r="D26" s="837" t="s">
        <v>1516</v>
      </c>
      <c r="E26" s="838"/>
      <c r="F26" s="838"/>
      <c r="G26" s="839"/>
      <c r="H26" s="718"/>
      <c r="I26" s="303"/>
      <c r="J26" s="303"/>
      <c r="K26" s="12"/>
      <c r="M26" s="12"/>
      <c r="N26" s="12"/>
      <c r="X26" s="14"/>
      <c r="Y26" s="12"/>
      <c r="Z26" s="304"/>
      <c r="AA26" s="304"/>
    </row>
    <row r="27" spans="3:27" s="11" customFormat="1" ht="40.200000000000003" customHeight="1">
      <c r="C27" s="715">
        <v>17</v>
      </c>
      <c r="D27" s="837" t="s">
        <v>1517</v>
      </c>
      <c r="E27" s="838"/>
      <c r="F27" s="838"/>
      <c r="G27" s="839"/>
      <c r="H27" s="718"/>
      <c r="I27" s="303"/>
      <c r="J27" s="303"/>
      <c r="K27" s="12"/>
      <c r="M27" s="12"/>
      <c r="N27" s="12"/>
      <c r="X27" s="14"/>
      <c r="Y27" s="12"/>
      <c r="Z27" s="304"/>
      <c r="AA27" s="304"/>
    </row>
    <row r="28" spans="3:27" s="11" customFormat="1" ht="40.200000000000003" customHeight="1">
      <c r="C28" s="715">
        <v>18</v>
      </c>
      <c r="D28" s="305" t="s">
        <v>284</v>
      </c>
      <c r="E28" s="306"/>
      <c r="F28" s="306"/>
      <c r="G28" s="307" t="s">
        <v>283</v>
      </c>
      <c r="H28" s="719"/>
      <c r="I28" s="290"/>
      <c r="J28" s="290"/>
      <c r="K28" s="14"/>
      <c r="N28" s="12"/>
      <c r="X28" s="14"/>
      <c r="Y28" s="12"/>
    </row>
    <row r="29" spans="3:27" s="11" customFormat="1" ht="40.200000000000003" customHeight="1" thickBot="1">
      <c r="C29" s="715">
        <v>19</v>
      </c>
      <c r="D29" s="859" t="s">
        <v>1515</v>
      </c>
      <c r="E29" s="860"/>
      <c r="F29" s="860"/>
      <c r="G29" s="860" t="s">
        <v>283</v>
      </c>
      <c r="H29" s="720"/>
      <c r="I29" s="303"/>
      <c r="J29" s="303"/>
      <c r="N29" s="12"/>
      <c r="X29" s="14"/>
      <c r="Y29" s="13"/>
    </row>
    <row r="30" spans="3:27" s="11" customFormat="1" ht="19.5" customHeight="1">
      <c r="C30" s="861"/>
      <c r="D30" s="861"/>
      <c r="E30" s="861"/>
      <c r="F30" s="861"/>
      <c r="G30" s="861"/>
      <c r="H30" s="861"/>
      <c r="I30" s="308"/>
      <c r="J30" s="308"/>
      <c r="K30" s="17"/>
      <c r="N30" s="12"/>
      <c r="Y30" s="13"/>
    </row>
    <row r="31" spans="3:27" s="11" customFormat="1" ht="19.5" customHeight="1">
      <c r="C31" s="308"/>
      <c r="D31" s="308"/>
      <c r="E31" s="308"/>
      <c r="F31" s="308"/>
      <c r="G31" s="308"/>
      <c r="H31" s="309"/>
      <c r="I31" s="309"/>
      <c r="J31" s="309"/>
      <c r="N31" s="12"/>
      <c r="Y31" s="13"/>
    </row>
    <row r="32" spans="3:27" s="11" customFormat="1" ht="19.5" customHeight="1">
      <c r="C32" s="308"/>
      <c r="D32" s="308"/>
      <c r="E32" s="308"/>
      <c r="F32" s="308"/>
      <c r="G32" s="308"/>
      <c r="H32" s="310"/>
      <c r="I32" s="310"/>
      <c r="J32" s="310"/>
      <c r="K32" s="14"/>
      <c r="N32" s="12"/>
      <c r="Y32" s="13"/>
    </row>
    <row r="33" spans="3:25" s="11" customFormat="1" ht="19.5" customHeight="1">
      <c r="C33" s="308"/>
      <c r="D33" s="308"/>
      <c r="E33" s="308"/>
      <c r="F33" s="308"/>
      <c r="G33" s="308"/>
      <c r="H33" s="309"/>
      <c r="I33" s="308"/>
      <c r="J33" s="308"/>
      <c r="M33" s="14"/>
      <c r="N33" s="12"/>
      <c r="Y33" s="13"/>
    </row>
    <row r="34" spans="3:25" s="11" customFormat="1" ht="19.5" customHeight="1">
      <c r="C34" s="308"/>
      <c r="D34" s="308"/>
      <c r="E34" s="308"/>
      <c r="F34" s="308"/>
      <c r="G34" s="308"/>
      <c r="H34" s="309"/>
      <c r="I34" s="309"/>
      <c r="J34" s="309"/>
      <c r="K34" s="12"/>
      <c r="N34" s="12"/>
      <c r="Q34" s="13"/>
      <c r="Y34" s="13"/>
    </row>
    <row r="35" spans="3:25" s="11" customFormat="1" ht="19.5" customHeight="1">
      <c r="C35" s="308"/>
      <c r="D35" s="308"/>
      <c r="E35" s="308"/>
      <c r="F35" s="308"/>
      <c r="G35" s="308"/>
      <c r="H35" s="308"/>
      <c r="I35" s="308"/>
      <c r="J35" s="308"/>
      <c r="K35" s="14"/>
      <c r="M35" s="14"/>
      <c r="N35" s="12"/>
      <c r="Y35" s="13"/>
    </row>
    <row r="36" spans="3:25" s="11" customFormat="1">
      <c r="C36" s="311"/>
      <c r="D36" s="311"/>
      <c r="E36" s="311"/>
      <c r="F36" s="311"/>
      <c r="G36" s="302"/>
      <c r="H36" s="311"/>
      <c r="I36" s="311"/>
      <c r="J36" s="311"/>
      <c r="N36" s="12"/>
      <c r="Y36" s="13"/>
    </row>
    <row r="37" spans="3:25" s="11" customFormat="1">
      <c r="C37" s="18"/>
      <c r="E37" s="18"/>
      <c r="F37" s="19"/>
      <c r="G37" s="20"/>
      <c r="H37" s="20"/>
      <c r="I37" s="20"/>
      <c r="J37" s="20"/>
      <c r="N37" s="12"/>
      <c r="Y37" s="13"/>
    </row>
    <row r="38" spans="3:25" s="11" customFormat="1">
      <c r="C38" s="18"/>
      <c r="E38" s="18"/>
      <c r="F38" s="19"/>
      <c r="G38" s="20"/>
      <c r="H38" s="20"/>
      <c r="I38" s="20"/>
      <c r="J38" s="20"/>
      <c r="K38" s="14"/>
      <c r="N38" s="13"/>
      <c r="Y38" s="13"/>
    </row>
    <row r="39" spans="3:25" s="11" customFormat="1">
      <c r="C39" s="18"/>
      <c r="E39" s="18"/>
      <c r="F39" s="19"/>
      <c r="G39" s="20"/>
      <c r="H39" s="20"/>
      <c r="I39" s="20"/>
      <c r="J39" s="20"/>
      <c r="N39" s="12"/>
      <c r="Y39" s="13"/>
    </row>
    <row r="40" spans="3:25" s="11" customFormat="1">
      <c r="C40" s="18"/>
      <c r="E40" s="18"/>
      <c r="F40" s="19"/>
      <c r="G40" s="20"/>
      <c r="H40" s="20"/>
      <c r="I40" s="20"/>
      <c r="J40" s="20"/>
      <c r="N40" s="12"/>
      <c r="Y40" s="13"/>
    </row>
    <row r="41" spans="3:25" s="11" customFormat="1">
      <c r="C41" s="18"/>
      <c r="E41" s="18"/>
      <c r="F41" s="19"/>
      <c r="G41" s="20"/>
      <c r="H41" s="20"/>
      <c r="I41" s="20"/>
      <c r="J41" s="20"/>
      <c r="N41" s="12"/>
      <c r="Y41" s="13"/>
    </row>
    <row r="42" spans="3:25" s="11" customFormat="1">
      <c r="C42" s="18"/>
      <c r="E42" s="18"/>
      <c r="F42" s="19"/>
      <c r="G42" s="312"/>
      <c r="H42" s="20"/>
      <c r="I42" s="20"/>
      <c r="J42" s="20"/>
      <c r="K42" s="304"/>
      <c r="N42" s="12"/>
      <c r="Y42" s="13"/>
    </row>
    <row r="43" spans="3:25" s="11" customFormat="1">
      <c r="C43" s="18"/>
      <c r="E43" s="18"/>
      <c r="F43" s="19"/>
      <c r="G43" s="312"/>
      <c r="H43" s="20"/>
      <c r="I43" s="20"/>
      <c r="J43" s="20"/>
      <c r="N43" s="12"/>
      <c r="Y43" s="13"/>
    </row>
    <row r="44" spans="3:25" s="11" customFormat="1">
      <c r="C44" s="18"/>
      <c r="E44" s="18"/>
      <c r="F44" s="19"/>
      <c r="G44" s="20"/>
      <c r="H44" s="20"/>
      <c r="I44" s="20"/>
      <c r="J44" s="20"/>
      <c r="N44" s="12"/>
      <c r="Y44" s="13"/>
    </row>
    <row r="45" spans="3:25" s="11" customFormat="1">
      <c r="C45" s="18"/>
      <c r="E45" s="18"/>
      <c r="F45" s="19"/>
      <c r="G45" s="20"/>
      <c r="H45" s="20"/>
      <c r="I45" s="20"/>
      <c r="J45" s="20"/>
      <c r="N45" s="12"/>
      <c r="Y45" s="13"/>
    </row>
    <row r="46" spans="3:25" s="11" customFormat="1">
      <c r="C46" s="18"/>
      <c r="E46" s="18"/>
      <c r="F46" s="19"/>
      <c r="G46" s="20"/>
      <c r="H46" s="20"/>
      <c r="I46" s="20"/>
      <c r="J46" s="20"/>
      <c r="N46" s="12"/>
      <c r="Y46" s="13"/>
    </row>
    <row r="47" spans="3:25" s="11" customFormat="1">
      <c r="C47" s="18"/>
      <c r="E47" s="18"/>
      <c r="F47" s="19"/>
      <c r="G47" s="20"/>
      <c r="H47" s="20"/>
      <c r="I47" s="20"/>
      <c r="J47" s="20"/>
      <c r="N47" s="12"/>
      <c r="Y47" s="13"/>
    </row>
    <row r="48" spans="3:25" s="11" customFormat="1">
      <c r="C48" s="18"/>
      <c r="E48" s="18"/>
      <c r="F48" s="19"/>
      <c r="G48" s="20"/>
      <c r="H48" s="20"/>
      <c r="I48" s="20"/>
      <c r="J48" s="20"/>
      <c r="N48" s="12"/>
      <c r="Y48" s="13"/>
    </row>
    <row r="49" spans="3:25" s="11" customFormat="1">
      <c r="C49" s="18"/>
      <c r="E49" s="18"/>
      <c r="F49" s="19"/>
      <c r="G49" s="20"/>
      <c r="H49" s="20"/>
      <c r="I49" s="20"/>
      <c r="J49" s="20"/>
      <c r="N49" s="12"/>
      <c r="Y49" s="13"/>
    </row>
    <row r="50" spans="3:25" s="11" customFormat="1">
      <c r="C50" s="18"/>
      <c r="E50" s="18"/>
      <c r="F50" s="19"/>
      <c r="G50" s="20"/>
      <c r="H50" s="20"/>
      <c r="I50" s="20"/>
      <c r="J50" s="20"/>
      <c r="N50" s="12"/>
      <c r="Y50" s="13"/>
    </row>
    <row r="51" spans="3:25" s="11" customFormat="1">
      <c r="C51" s="18"/>
      <c r="E51" s="18"/>
      <c r="F51" s="19"/>
      <c r="G51" s="20"/>
      <c r="H51" s="20"/>
      <c r="I51" s="20"/>
      <c r="J51" s="20"/>
      <c r="N51" s="12"/>
      <c r="Y51" s="13"/>
    </row>
    <row r="52" spans="3:25" s="11" customFormat="1">
      <c r="C52" s="18"/>
      <c r="E52" s="18"/>
      <c r="F52" s="19"/>
      <c r="G52" s="20"/>
      <c r="H52" s="20"/>
      <c r="I52" s="20"/>
      <c r="J52" s="20"/>
      <c r="N52" s="12"/>
      <c r="Y52" s="13"/>
    </row>
    <row r="53" spans="3:25" s="11" customFormat="1">
      <c r="C53" s="18"/>
      <c r="E53" s="18"/>
      <c r="F53" s="19"/>
      <c r="G53" s="20"/>
      <c r="H53" s="20"/>
      <c r="I53" s="20"/>
      <c r="J53" s="20"/>
      <c r="N53" s="12"/>
      <c r="Y53" s="13"/>
    </row>
    <row r="54" spans="3:25" s="11" customFormat="1">
      <c r="C54" s="18"/>
      <c r="E54" s="18"/>
      <c r="F54" s="19"/>
      <c r="G54" s="20"/>
      <c r="H54" s="20"/>
      <c r="I54" s="20"/>
      <c r="J54" s="20"/>
      <c r="N54" s="12"/>
      <c r="Y54" s="13"/>
    </row>
    <row r="55" spans="3:25" s="11" customFormat="1">
      <c r="C55" s="18"/>
      <c r="E55" s="18"/>
      <c r="F55" s="19"/>
      <c r="G55" s="20"/>
      <c r="H55" s="20"/>
      <c r="I55" s="20"/>
      <c r="J55" s="20"/>
      <c r="N55" s="12"/>
      <c r="Y55" s="13"/>
    </row>
    <row r="56" spans="3:25" s="11" customFormat="1">
      <c r="C56" s="18"/>
      <c r="E56" s="18"/>
      <c r="F56" s="19"/>
      <c r="G56" s="20"/>
      <c r="H56" s="20"/>
      <c r="I56" s="20"/>
      <c r="J56" s="20"/>
      <c r="N56" s="12"/>
      <c r="Y56" s="13"/>
    </row>
    <row r="57" spans="3:25" s="11" customFormat="1">
      <c r="C57" s="18"/>
      <c r="E57" s="18"/>
      <c r="F57" s="19"/>
      <c r="G57" s="20"/>
      <c r="H57" s="20"/>
      <c r="I57" s="20"/>
      <c r="J57" s="20"/>
      <c r="N57" s="12"/>
      <c r="Y57" s="13"/>
    </row>
    <row r="58" spans="3:25" s="11" customFormat="1">
      <c r="C58" s="18"/>
      <c r="E58" s="18"/>
      <c r="F58" s="19"/>
      <c r="G58" s="20"/>
      <c r="H58" s="20"/>
      <c r="I58" s="20"/>
      <c r="J58" s="20"/>
      <c r="N58" s="12"/>
      <c r="Y58" s="13"/>
    </row>
    <row r="59" spans="3:25" s="11" customFormat="1">
      <c r="C59" s="18"/>
      <c r="E59" s="18"/>
      <c r="F59" s="19"/>
      <c r="G59" s="20"/>
      <c r="H59" s="20"/>
      <c r="I59" s="20"/>
      <c r="J59" s="20"/>
      <c r="N59" s="12"/>
      <c r="Y59" s="13"/>
    </row>
    <row r="60" spans="3:25" s="11" customFormat="1">
      <c r="C60" s="18"/>
      <c r="E60" s="18"/>
      <c r="F60" s="19"/>
      <c r="G60" s="20"/>
      <c r="H60" s="20"/>
      <c r="I60" s="20"/>
      <c r="J60" s="20"/>
      <c r="N60" s="12"/>
      <c r="Y60" s="13"/>
    </row>
    <row r="61" spans="3:25" s="11" customFormat="1">
      <c r="C61" s="18"/>
      <c r="E61" s="18"/>
      <c r="F61" s="19"/>
      <c r="G61" s="20"/>
      <c r="H61" s="20"/>
      <c r="I61" s="20"/>
      <c r="J61" s="20"/>
      <c r="N61" s="12"/>
      <c r="Y61" s="13"/>
    </row>
    <row r="62" spans="3:25" s="11" customFormat="1">
      <c r="C62" s="18"/>
      <c r="E62" s="18"/>
      <c r="F62" s="19"/>
      <c r="G62" s="20"/>
      <c r="H62" s="20"/>
      <c r="I62" s="20"/>
      <c r="J62" s="20"/>
      <c r="N62" s="12"/>
      <c r="Y62" s="13"/>
    </row>
    <row r="63" spans="3:25" s="11" customFormat="1">
      <c r="C63" s="18"/>
      <c r="E63" s="18"/>
      <c r="F63" s="19"/>
      <c r="G63" s="20"/>
      <c r="H63" s="20"/>
      <c r="I63" s="20"/>
      <c r="J63" s="20"/>
      <c r="N63" s="12"/>
      <c r="Y63" s="13"/>
    </row>
    <row r="64" spans="3:25" s="11" customFormat="1">
      <c r="C64" s="18"/>
      <c r="E64" s="18"/>
      <c r="F64" s="19"/>
      <c r="G64" s="20"/>
      <c r="H64" s="20"/>
      <c r="I64" s="20"/>
      <c r="J64" s="20"/>
      <c r="N64" s="12"/>
      <c r="Y64" s="13"/>
    </row>
    <row r="65" spans="3:25" s="11" customFormat="1">
      <c r="C65" s="18"/>
      <c r="E65" s="18"/>
      <c r="F65" s="19"/>
      <c r="G65" s="20"/>
      <c r="H65" s="20"/>
      <c r="I65" s="20"/>
      <c r="J65" s="20"/>
      <c r="N65" s="12"/>
      <c r="Y65" s="13"/>
    </row>
    <row r="66" spans="3:25" s="11" customFormat="1">
      <c r="C66" s="18"/>
      <c r="E66" s="18"/>
      <c r="F66" s="19"/>
      <c r="G66" s="20"/>
      <c r="H66" s="20"/>
      <c r="I66" s="20"/>
      <c r="J66" s="20"/>
      <c r="N66" s="12"/>
      <c r="Y66" s="13"/>
    </row>
    <row r="67" spans="3:25" s="11" customFormat="1">
      <c r="C67" s="18"/>
      <c r="E67" s="18"/>
      <c r="F67" s="19"/>
      <c r="G67" s="20"/>
      <c r="H67" s="20"/>
      <c r="I67" s="20"/>
      <c r="J67" s="20"/>
      <c r="N67" s="12"/>
      <c r="Y67" s="13"/>
    </row>
    <row r="68" spans="3:25" s="11" customFormat="1">
      <c r="C68" s="18"/>
      <c r="E68" s="18"/>
      <c r="F68" s="19"/>
      <c r="G68" s="20"/>
      <c r="H68" s="20"/>
      <c r="I68" s="20"/>
      <c r="J68" s="20"/>
      <c r="N68" s="12"/>
      <c r="Y68" s="13"/>
    </row>
    <row r="69" spans="3:25" s="11" customFormat="1">
      <c r="C69" s="18"/>
      <c r="E69" s="18"/>
      <c r="F69" s="19"/>
      <c r="G69" s="20"/>
      <c r="H69" s="20"/>
      <c r="I69" s="20"/>
      <c r="J69" s="20"/>
      <c r="N69" s="12"/>
      <c r="Y69" s="13"/>
    </row>
    <row r="70" spans="3:25" s="11" customFormat="1">
      <c r="C70" s="18"/>
      <c r="E70" s="18"/>
      <c r="F70" s="19"/>
      <c r="G70" s="20"/>
      <c r="H70" s="20"/>
      <c r="I70" s="20"/>
      <c r="J70" s="20"/>
      <c r="N70" s="12"/>
      <c r="Y70" s="13"/>
    </row>
    <row r="71" spans="3:25" s="11" customFormat="1">
      <c r="C71" s="18"/>
      <c r="E71" s="18"/>
      <c r="F71" s="19"/>
      <c r="G71" s="20"/>
      <c r="H71" s="20"/>
      <c r="I71" s="20"/>
      <c r="J71" s="20"/>
      <c r="N71" s="12"/>
      <c r="Y71" s="13"/>
    </row>
    <row r="72" spans="3:25" s="11" customFormat="1">
      <c r="C72" s="18"/>
      <c r="E72" s="18"/>
      <c r="F72" s="19"/>
      <c r="G72" s="20"/>
      <c r="H72" s="20"/>
      <c r="I72" s="20"/>
      <c r="J72" s="20"/>
      <c r="N72" s="12"/>
      <c r="Y72" s="13"/>
    </row>
    <row r="73" spans="3:25" s="11" customFormat="1">
      <c r="C73" s="18"/>
      <c r="E73" s="18"/>
      <c r="F73" s="19"/>
      <c r="G73" s="20"/>
      <c r="H73" s="20"/>
      <c r="I73" s="20"/>
      <c r="J73" s="20"/>
      <c r="N73" s="12"/>
      <c r="Y73" s="13"/>
    </row>
    <row r="74" spans="3:25" s="11" customFormat="1">
      <c r="C74" s="18"/>
      <c r="E74" s="18"/>
      <c r="F74" s="19"/>
      <c r="G74" s="20"/>
      <c r="H74" s="20"/>
      <c r="I74" s="20"/>
      <c r="J74" s="20"/>
      <c r="N74" s="12"/>
      <c r="Y74" s="13"/>
    </row>
    <row r="75" spans="3:25" s="11" customFormat="1">
      <c r="C75" s="18"/>
      <c r="E75" s="18"/>
      <c r="F75" s="19"/>
      <c r="G75" s="20"/>
      <c r="H75" s="20"/>
      <c r="I75" s="20"/>
      <c r="J75" s="20"/>
      <c r="N75" s="12"/>
      <c r="Y75" s="13"/>
    </row>
  </sheetData>
  <mergeCells count="18">
    <mergeCell ref="D29:G29"/>
    <mergeCell ref="C30:H30"/>
    <mergeCell ref="D15:G15"/>
    <mergeCell ref="D16:G16"/>
    <mergeCell ref="D13:G13"/>
    <mergeCell ref="D14:G14"/>
    <mergeCell ref="D17:G17"/>
    <mergeCell ref="D18:G18"/>
    <mergeCell ref="D19:G19"/>
    <mergeCell ref="D25:G25"/>
    <mergeCell ref="D12:G12"/>
    <mergeCell ref="C2:H2"/>
    <mergeCell ref="C7:H7"/>
    <mergeCell ref="C9:H9"/>
    <mergeCell ref="D11:G11"/>
    <mergeCell ref="C3:H3"/>
    <mergeCell ref="C4:H4"/>
    <mergeCell ref="C6:H6"/>
  </mergeCells>
  <printOptions horizontalCentered="1"/>
  <pageMargins left="0.75" right="0.4" top="0.75" bottom="0.5" header="0" footer="0"/>
  <pageSetup paperSize="9" scale="7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EC4FB-A326-4B6F-B13F-8D6333E15C09}">
  <dimension ref="A1:O11"/>
  <sheetViews>
    <sheetView workbookViewId="0">
      <selection activeCell="I8" sqref="I8"/>
    </sheetView>
  </sheetViews>
  <sheetFormatPr defaultColWidth="9.109375" defaultRowHeight="14.4"/>
  <cols>
    <col min="1" max="1" width="17"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5.5546875" style="1" bestFit="1" customWidth="1"/>
    <col min="11" max="11" width="17.88671875" style="1" bestFit="1" customWidth="1"/>
    <col min="12" max="12" width="11.5546875" style="1" bestFit="1" customWidth="1"/>
    <col min="13" max="14" width="9.109375" style="1"/>
    <col min="15" max="15" width="11.5546875" style="1" bestFit="1" customWidth="1"/>
    <col min="16" max="16384" width="9.109375" style="1"/>
  </cols>
  <sheetData>
    <row r="1" spans="1:15">
      <c r="A1" s="1" t="s">
        <v>207</v>
      </c>
    </row>
    <row r="3" spans="1:15">
      <c r="A3" s="2" t="s">
        <v>0</v>
      </c>
      <c r="B3" s="2"/>
      <c r="C3" s="2" t="s">
        <v>1</v>
      </c>
      <c r="D3" s="2"/>
      <c r="E3" s="2"/>
      <c r="F3" s="2"/>
      <c r="G3" s="2"/>
      <c r="H3" s="2"/>
      <c r="I3" s="3"/>
      <c r="M3" s="2"/>
      <c r="N3" s="2"/>
      <c r="O3" s="2"/>
    </row>
    <row r="5" spans="1:15">
      <c r="A5" s="1" t="s">
        <v>208</v>
      </c>
      <c r="C5" s="1">
        <v>106</v>
      </c>
    </row>
    <row r="6" spans="1:15">
      <c r="A6" s="1" t="s">
        <v>3</v>
      </c>
      <c r="C6" s="1">
        <v>71.66</v>
      </c>
    </row>
    <row r="7" spans="1:15">
      <c r="A7" s="1" t="s">
        <v>4</v>
      </c>
      <c r="C7" s="1">
        <v>84.71</v>
      </c>
    </row>
    <row r="8" spans="1:15">
      <c r="A8" s="1" t="s">
        <v>2</v>
      </c>
      <c r="C8" s="1">
        <v>210.47</v>
      </c>
    </row>
    <row r="10" spans="1:15">
      <c r="F10" s="2"/>
      <c r="G10" s="2"/>
      <c r="H10" s="2"/>
      <c r="J10" s="4"/>
      <c r="K10" s="5"/>
    </row>
    <row r="11" spans="1:15">
      <c r="A11" s="1" t="s">
        <v>209</v>
      </c>
      <c r="C11" s="1">
        <f>51.91+31.12</f>
        <v>83.03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D7B2-460C-47D5-87E0-EEC02B57FF55}">
  <sheetPr>
    <tabColor rgb="FF002060"/>
  </sheetPr>
  <dimension ref="A1:M37"/>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3"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t="str">
        <f>'Bill No. 2'!A1:F1</f>
        <v>LOT -06 - BILLS OF QUANTITIES</v>
      </c>
      <c r="B1" s="870"/>
      <c r="C1" s="870"/>
      <c r="D1" s="870"/>
      <c r="E1" s="870"/>
      <c r="F1" s="871"/>
    </row>
    <row r="2" spans="1:13" customFormat="1" ht="57.6" customHeight="1">
      <c r="A2" s="935" t="s">
        <v>1511</v>
      </c>
      <c r="B2" s="936"/>
      <c r="C2" s="936"/>
      <c r="D2" s="936"/>
      <c r="E2" s="936"/>
      <c r="F2" s="937"/>
    </row>
    <row r="3" spans="1:13" customFormat="1" ht="2.25" customHeight="1" thickBot="1">
      <c r="A3" s="748"/>
      <c r="B3" s="749"/>
      <c r="C3" s="749"/>
      <c r="D3" s="749"/>
      <c r="E3" s="750"/>
      <c r="F3" s="751"/>
    </row>
    <row r="4" spans="1:13" customFormat="1" ht="15" thickBot="1">
      <c r="A4" s="752"/>
      <c r="B4" s="6" t="s">
        <v>8</v>
      </c>
      <c r="C4" s="6"/>
      <c r="D4" s="7"/>
      <c r="E4" s="8"/>
      <c r="F4" s="753" t="s">
        <v>9</v>
      </c>
    </row>
    <row r="5" spans="1:13" s="11" customFormat="1" ht="31.8" customHeight="1">
      <c r="A5" s="9"/>
      <c r="B5" s="875" t="s">
        <v>386</v>
      </c>
      <c r="C5" s="875"/>
      <c r="D5" s="875"/>
      <c r="E5" s="876"/>
      <c r="F5" s="10"/>
      <c r="H5" s="12"/>
      <c r="I5" s="13"/>
      <c r="J5" s="12"/>
      <c r="L5" s="14"/>
    </row>
    <row r="6" spans="1:13" s="11" customFormat="1" ht="31.8" customHeight="1">
      <c r="A6" s="9"/>
      <c r="B6" s="890" t="s">
        <v>387</v>
      </c>
      <c r="C6" s="890"/>
      <c r="D6" s="890"/>
      <c r="E6" s="891"/>
      <c r="F6" s="10"/>
      <c r="H6" s="12"/>
      <c r="I6" s="13"/>
      <c r="J6" s="12"/>
      <c r="L6" s="14"/>
    </row>
    <row r="7" spans="1:13" s="11" customFormat="1" ht="31.8" customHeight="1">
      <c r="A7" s="9"/>
      <c r="B7" s="890" t="s">
        <v>388</v>
      </c>
      <c r="C7" s="890"/>
      <c r="D7" s="890"/>
      <c r="E7" s="891"/>
      <c r="F7" s="10"/>
      <c r="H7" s="12"/>
      <c r="I7" s="13"/>
      <c r="J7" s="12"/>
      <c r="L7" s="14"/>
    </row>
    <row r="8" spans="1:13" s="11" customFormat="1" ht="31.8" customHeight="1" thickBot="1">
      <c r="A8" s="9"/>
      <c r="B8" s="721" t="str">
        <f>'Bill 3.4'!A1</f>
        <v>BILL No. 3.4 - HORIZONTAL DRAINS &amp; VEGETATION</v>
      </c>
      <c r="C8" s="721"/>
      <c r="D8" s="721"/>
      <c r="E8" s="721"/>
      <c r="F8" s="10"/>
      <c r="H8" s="12"/>
      <c r="I8" s="13"/>
      <c r="J8" s="12"/>
      <c r="L8" s="14"/>
    </row>
    <row r="9" spans="1:13" s="11" customFormat="1" ht="30" customHeight="1" thickBot="1">
      <c r="A9" s="15"/>
      <c r="B9" s="877" t="s">
        <v>10</v>
      </c>
      <c r="C9" s="877"/>
      <c r="D9" s="877"/>
      <c r="E9" s="878"/>
      <c r="F9" s="16"/>
      <c r="H9" s="12"/>
      <c r="I9" s="17"/>
      <c r="J9" s="12"/>
      <c r="K9" s="14"/>
      <c r="M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row r="35" spans="1:10" s="11" customFormat="1">
      <c r="A35" s="18"/>
      <c r="C35" s="18"/>
      <c r="D35" s="19"/>
      <c r="E35" s="20"/>
      <c r="F35" s="20"/>
      <c r="H35" s="12"/>
      <c r="I35" s="13"/>
      <c r="J35" s="12"/>
    </row>
    <row r="36" spans="1:10" s="11" customFormat="1">
      <c r="A36" s="18"/>
      <c r="C36" s="18"/>
      <c r="D36" s="19"/>
      <c r="E36" s="20"/>
      <c r="F36" s="20"/>
      <c r="H36" s="12"/>
      <c r="I36" s="13"/>
      <c r="J36" s="12"/>
    </row>
    <row r="37" spans="1:10" s="11" customFormat="1">
      <c r="A37" s="18"/>
      <c r="C37" s="18"/>
      <c r="D37" s="19"/>
      <c r="E37" s="20"/>
      <c r="F37" s="20"/>
      <c r="H37" s="12"/>
      <c r="I37" s="13"/>
      <c r="J37" s="12"/>
    </row>
  </sheetData>
  <mergeCells count="6">
    <mergeCell ref="B9:E9"/>
    <mergeCell ref="A1:F1"/>
    <mergeCell ref="A2:F2"/>
    <mergeCell ref="B5:E5"/>
    <mergeCell ref="B6:E6"/>
    <mergeCell ref="B7:E7"/>
  </mergeCells>
  <printOptions horizontalCentered="1"/>
  <pageMargins left="0.75" right="0.4" top="0.75" bottom="0.5" header="0" footer="0"/>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C25A5-0A55-457F-A513-4DD9C4448D51}">
  <sheetPr>
    <tabColor rgb="FFFF9933"/>
  </sheetPr>
  <dimension ref="A1:O14"/>
  <sheetViews>
    <sheetView view="pageBreakPreview" zoomScaleNormal="100" zoomScaleSheetLayoutView="100" workbookViewId="0">
      <selection activeCell="I1" sqref="I1:M1048576"/>
    </sheetView>
  </sheetViews>
  <sheetFormatPr defaultColWidth="9.109375" defaultRowHeight="13.2"/>
  <cols>
    <col min="1" max="1" width="7.6640625" style="31" customWidth="1"/>
    <col min="2" max="2" width="9.6640625" style="31" customWidth="1"/>
    <col min="3" max="3" width="50.6640625" style="31" customWidth="1"/>
    <col min="4" max="4" width="7.6640625" style="31" customWidth="1"/>
    <col min="5" max="5" width="8.6640625" style="31" customWidth="1"/>
    <col min="6" max="6" width="12.77734375" style="31" customWidth="1"/>
    <col min="7" max="7" width="18.6640625" style="31" customWidth="1"/>
    <col min="8" max="8" width="9.109375" style="31"/>
    <col min="9" max="13" width="0" style="31" hidden="1" customWidth="1"/>
    <col min="14" max="16384" width="9.109375" style="31"/>
  </cols>
  <sheetData>
    <row r="1" spans="1:15" s="27" customFormat="1" ht="60" customHeight="1" thickBot="1">
      <c r="A1" s="892" t="s">
        <v>386</v>
      </c>
      <c r="B1" s="893"/>
      <c r="C1" s="893"/>
      <c r="D1" s="938" t="s">
        <v>1486</v>
      </c>
      <c r="E1" s="938"/>
      <c r="F1" s="938"/>
      <c r="G1" s="939"/>
    </row>
    <row r="2" spans="1:15" ht="26.4">
      <c r="A2" s="754" t="s">
        <v>11</v>
      </c>
      <c r="B2" s="28" t="s">
        <v>12</v>
      </c>
      <c r="C2" s="29" t="s">
        <v>8</v>
      </c>
      <c r="D2" s="28" t="s">
        <v>13</v>
      </c>
      <c r="E2" s="28" t="s">
        <v>14</v>
      </c>
      <c r="F2" s="30" t="s">
        <v>15</v>
      </c>
      <c r="G2" s="755" t="s">
        <v>16</v>
      </c>
    </row>
    <row r="3" spans="1:15" ht="30" customHeight="1">
      <c r="A3" s="756" t="s">
        <v>389</v>
      </c>
      <c r="B3" s="32"/>
      <c r="C3" s="219" t="s">
        <v>17</v>
      </c>
      <c r="D3" s="32"/>
      <c r="E3" s="32"/>
      <c r="F3" s="32"/>
      <c r="G3" s="757"/>
      <c r="I3" s="220" t="s">
        <v>0</v>
      </c>
      <c r="J3" s="345" t="s">
        <v>390</v>
      </c>
      <c r="K3" s="346"/>
    </row>
    <row r="4" spans="1:15" ht="26.4">
      <c r="A4" s="758" t="s">
        <v>391</v>
      </c>
      <c r="B4" s="33" t="s">
        <v>18</v>
      </c>
      <c r="C4" s="34" t="s">
        <v>19</v>
      </c>
      <c r="D4" s="33" t="s">
        <v>20</v>
      </c>
      <c r="E4" s="241">
        <v>1920</v>
      </c>
      <c r="F4" s="35"/>
      <c r="G4" s="759"/>
      <c r="I4" s="44">
        <f>Drains!G109+Drains!G164</f>
        <v>401.923</v>
      </c>
      <c r="J4" s="44">
        <f>QTY!J9</f>
        <v>1509.1599999999999</v>
      </c>
      <c r="K4" s="347"/>
      <c r="L4" s="44">
        <f>SUM(I4:K4)</f>
        <v>1911.0829999999999</v>
      </c>
    </row>
    <row r="5" spans="1:15" s="27" customFormat="1" ht="30" customHeight="1">
      <c r="A5" s="758" t="s">
        <v>392</v>
      </c>
      <c r="B5" s="36" t="s">
        <v>21</v>
      </c>
      <c r="C5" s="37" t="s">
        <v>22</v>
      </c>
      <c r="D5" s="36" t="s">
        <v>23</v>
      </c>
      <c r="E5" s="348">
        <v>40</v>
      </c>
      <c r="F5" s="38"/>
      <c r="G5" s="39"/>
      <c r="H5" s="40"/>
    </row>
    <row r="6" spans="1:15" s="27" customFormat="1" ht="30" customHeight="1">
      <c r="A6" s="758" t="s">
        <v>393</v>
      </c>
      <c r="B6" s="36" t="s">
        <v>24</v>
      </c>
      <c r="C6" s="37" t="s">
        <v>25</v>
      </c>
      <c r="D6" s="36" t="s">
        <v>23</v>
      </c>
      <c r="E6" s="348">
        <v>20</v>
      </c>
      <c r="F6" s="38"/>
      <c r="G6" s="39"/>
      <c r="H6" s="40"/>
    </row>
    <row r="7" spans="1:15" s="27" customFormat="1" ht="30" customHeight="1">
      <c r="A7" s="222" t="s">
        <v>394</v>
      </c>
      <c r="B7" s="56" t="s">
        <v>200</v>
      </c>
      <c r="C7" s="223" t="s">
        <v>201</v>
      </c>
      <c r="D7" s="36" t="s">
        <v>23</v>
      </c>
      <c r="E7" s="348">
        <v>10</v>
      </c>
      <c r="F7" s="57"/>
      <c r="G7" s="39"/>
      <c r="H7" s="40"/>
      <c r="I7" s="40"/>
      <c r="J7" s="349"/>
    </row>
    <row r="8" spans="1:15" s="27" customFormat="1" ht="30" customHeight="1">
      <c r="A8" s="222" t="s">
        <v>395</v>
      </c>
      <c r="B8" s="56" t="s">
        <v>202</v>
      </c>
      <c r="C8" s="223" t="s">
        <v>203</v>
      </c>
      <c r="D8" s="36" t="s">
        <v>23</v>
      </c>
      <c r="E8" s="348">
        <v>10</v>
      </c>
      <c r="F8" s="57"/>
      <c r="G8" s="39"/>
      <c r="H8" s="40"/>
      <c r="I8" s="40"/>
      <c r="J8" s="349"/>
    </row>
    <row r="9" spans="1:15" s="27" customFormat="1" ht="30" customHeight="1">
      <c r="A9" s="222" t="s">
        <v>396</v>
      </c>
      <c r="B9" s="56" t="s">
        <v>26</v>
      </c>
      <c r="C9" s="223" t="s">
        <v>204</v>
      </c>
      <c r="D9" s="36" t="s">
        <v>23</v>
      </c>
      <c r="E9" s="348">
        <v>10</v>
      </c>
      <c r="F9" s="57"/>
      <c r="G9" s="39"/>
      <c r="H9" s="40"/>
      <c r="I9" s="40"/>
      <c r="J9" s="349"/>
    </row>
    <row r="10" spans="1:15" s="27" customFormat="1" ht="30" customHeight="1">
      <c r="A10" s="222" t="s">
        <v>397</v>
      </c>
      <c r="B10" s="56" t="s">
        <v>205</v>
      </c>
      <c r="C10" s="223" t="s">
        <v>206</v>
      </c>
      <c r="D10" s="36" t="s">
        <v>23</v>
      </c>
      <c r="E10" s="348">
        <v>10</v>
      </c>
      <c r="F10" s="57"/>
      <c r="G10" s="39"/>
      <c r="H10" s="40"/>
      <c r="I10" s="40"/>
      <c r="J10" s="349"/>
      <c r="O10" s="27">
        <v>0</v>
      </c>
    </row>
    <row r="11" spans="1:15" customFormat="1" ht="30" customHeight="1">
      <c r="A11" s="770" t="s">
        <v>398</v>
      </c>
      <c r="B11" s="350"/>
      <c r="C11" s="351" t="s">
        <v>399</v>
      </c>
      <c r="D11" s="350"/>
      <c r="E11" s="352"/>
      <c r="F11" s="57"/>
      <c r="G11" s="771"/>
    </row>
    <row r="12" spans="1:15" customFormat="1" ht="30" customHeight="1">
      <c r="A12" s="222" t="s">
        <v>400</v>
      </c>
      <c r="B12" s="350" t="s">
        <v>401</v>
      </c>
      <c r="C12" s="353" t="s">
        <v>402</v>
      </c>
      <c r="D12" s="350" t="s">
        <v>28</v>
      </c>
      <c r="E12" s="352">
        <v>5</v>
      </c>
      <c r="F12" s="57"/>
      <c r="G12" s="771"/>
    </row>
    <row r="13" spans="1:15" customFormat="1" ht="30" customHeight="1">
      <c r="A13" s="222" t="s">
        <v>403</v>
      </c>
      <c r="B13" s="354" t="s">
        <v>404</v>
      </c>
      <c r="C13" s="355" t="s">
        <v>405</v>
      </c>
      <c r="D13" s="354" t="s">
        <v>28</v>
      </c>
      <c r="E13" s="356">
        <v>5</v>
      </c>
      <c r="F13" s="357"/>
      <c r="G13" s="771"/>
    </row>
    <row r="14" spans="1:15" ht="22.5" customHeight="1" thickBot="1">
      <c r="A14" s="760"/>
      <c r="B14" s="896" t="s">
        <v>406</v>
      </c>
      <c r="C14" s="897"/>
      <c r="D14" s="897"/>
      <c r="E14" s="897"/>
      <c r="F14" s="898"/>
      <c r="G14" s="761"/>
    </row>
  </sheetData>
  <mergeCells count="3">
    <mergeCell ref="A1:C1"/>
    <mergeCell ref="D1:G1"/>
    <mergeCell ref="B14:F14"/>
  </mergeCells>
  <printOptions horizontalCentered="1"/>
  <pageMargins left="0.75" right="0.4" top="0.75" bottom="0.5" header="0" footer="0"/>
  <pageSetup paperSize="9" scale="7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B1000-29EF-49DD-9BF4-19CA3CD56B20}">
  <sheetPr>
    <tabColor rgb="FFFF9933"/>
  </sheetPr>
  <dimension ref="A1:L15"/>
  <sheetViews>
    <sheetView view="pageBreakPreview" topLeftCell="A10" zoomScaleNormal="100" zoomScaleSheetLayoutView="100" workbookViewId="0">
      <selection activeCell="H10" sqref="H1:H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689" customWidth="1"/>
    <col min="6" max="6" width="14.44140625" style="31" customWidth="1"/>
    <col min="7" max="7" width="19.77734375" style="31" customWidth="1"/>
    <col min="8" max="8" width="9.44140625" style="31" hidden="1" customWidth="1"/>
    <col min="9" max="16384" width="9.109375" style="31"/>
  </cols>
  <sheetData>
    <row r="1" spans="1:12" s="27" customFormat="1" ht="60" customHeight="1" thickBot="1">
      <c r="A1" s="892" t="s">
        <v>407</v>
      </c>
      <c r="B1" s="893"/>
      <c r="C1" s="893"/>
      <c r="D1" s="938" t="str">
        <f>+'Bill 3.1'!D1:G1</f>
        <v xml:space="preserve">REDUCTION OF LANDSLIDE 
VULNERABILITY  BY MITIGATION MEASURES
KOBAWAKA KANADA (SITE NO. 81)
</v>
      </c>
      <c r="E1" s="938"/>
      <c r="F1" s="938"/>
      <c r="G1" s="939"/>
    </row>
    <row r="2" spans="1:12" ht="26.4">
      <c r="A2" s="754" t="s">
        <v>11</v>
      </c>
      <c r="B2" s="28" t="s">
        <v>12</v>
      </c>
      <c r="C2" s="29" t="s">
        <v>8</v>
      </c>
      <c r="D2" s="28" t="s">
        <v>13</v>
      </c>
      <c r="E2" s="686" t="s">
        <v>14</v>
      </c>
      <c r="F2" s="30" t="s">
        <v>15</v>
      </c>
      <c r="G2" s="755" t="s">
        <v>16</v>
      </c>
    </row>
    <row r="3" spans="1:12" ht="24.75" customHeight="1">
      <c r="A3" s="762" t="s">
        <v>408</v>
      </c>
      <c r="B3" s="41"/>
      <c r="C3" s="42" t="s">
        <v>229</v>
      </c>
      <c r="D3" s="41"/>
      <c r="E3" s="688"/>
      <c r="F3" s="41"/>
      <c r="G3" s="765"/>
    </row>
    <row r="4" spans="1:12" ht="36" customHeight="1">
      <c r="A4" s="758" t="s">
        <v>409</v>
      </c>
      <c r="B4" s="33" t="s">
        <v>222</v>
      </c>
      <c r="C4" s="248" t="s">
        <v>223</v>
      </c>
      <c r="D4" s="33" t="s">
        <v>27</v>
      </c>
      <c r="E4" s="241">
        <v>2785</v>
      </c>
      <c r="F4" s="35"/>
      <c r="G4" s="764"/>
      <c r="H4" s="44">
        <f>QTY!J19</f>
        <v>2783.83</v>
      </c>
    </row>
    <row r="5" spans="1:12" ht="32.25" customHeight="1">
      <c r="A5" s="758" t="s">
        <v>410</v>
      </c>
      <c r="B5" s="33" t="s">
        <v>224</v>
      </c>
      <c r="C5" s="248" t="s">
        <v>225</v>
      </c>
      <c r="D5" s="33" t="s">
        <v>27</v>
      </c>
      <c r="E5" s="240">
        <v>100</v>
      </c>
      <c r="F5" s="35"/>
      <c r="G5" s="764"/>
      <c r="H5" s="44"/>
    </row>
    <row r="6" spans="1:12" ht="32.25" customHeight="1">
      <c r="A6" s="758" t="s">
        <v>411</v>
      </c>
      <c r="B6" s="46" t="s">
        <v>226</v>
      </c>
      <c r="C6" s="248" t="s">
        <v>227</v>
      </c>
      <c r="D6" s="46" t="s">
        <v>28</v>
      </c>
      <c r="E6" s="238">
        <v>150</v>
      </c>
      <c r="F6" s="35"/>
      <c r="G6" s="764"/>
      <c r="H6" s="44"/>
    </row>
    <row r="7" spans="1:12" ht="32.25" customHeight="1">
      <c r="A7" s="758" t="s">
        <v>412</v>
      </c>
      <c r="B7" s="48" t="s">
        <v>228</v>
      </c>
      <c r="C7" s="249" t="s">
        <v>35</v>
      </c>
      <c r="D7" s="50" t="s">
        <v>27</v>
      </c>
      <c r="E7" s="238">
        <v>2785</v>
      </c>
      <c r="F7" s="35"/>
      <c r="G7" s="764"/>
      <c r="H7" s="44">
        <f>E4</f>
        <v>2785</v>
      </c>
    </row>
    <row r="8" spans="1:12" ht="26.25" customHeight="1">
      <c r="A8" s="762" t="s">
        <v>413</v>
      </c>
      <c r="B8" s="41"/>
      <c r="C8" s="42" t="s">
        <v>29</v>
      </c>
      <c r="D8" s="51"/>
      <c r="E8" s="688"/>
      <c r="F8" s="41"/>
      <c r="G8" s="765"/>
    </row>
    <row r="9" spans="1:12" ht="48" customHeight="1">
      <c r="A9" s="758" t="s">
        <v>414</v>
      </c>
      <c r="B9" s="52" t="s">
        <v>30</v>
      </c>
      <c r="C9" s="53" t="s">
        <v>31</v>
      </c>
      <c r="D9" s="52" t="s">
        <v>28</v>
      </c>
      <c r="E9" s="241">
        <v>126</v>
      </c>
      <c r="F9" s="35"/>
      <c r="G9" s="764"/>
      <c r="H9" s="44">
        <f>Drains!H109+Drains!H112+Drains!H135+Drains!H136+Drains!H164</f>
        <v>125.49470000000001</v>
      </c>
    </row>
    <row r="10" spans="1:12" ht="51" customHeight="1">
      <c r="A10" s="758" t="s">
        <v>415</v>
      </c>
      <c r="B10" s="52" t="s">
        <v>30</v>
      </c>
      <c r="C10" s="53" t="s">
        <v>416</v>
      </c>
      <c r="D10" s="52" t="s">
        <v>28</v>
      </c>
      <c r="E10" s="241">
        <v>740</v>
      </c>
      <c r="F10" s="35"/>
      <c r="G10" s="764"/>
      <c r="H10" s="44">
        <f>QTY!J29</f>
        <v>739.06118000000015</v>
      </c>
      <c r="L10" s="54"/>
    </row>
    <row r="11" spans="1:12" ht="35.25" customHeight="1">
      <c r="A11" s="758" t="s">
        <v>417</v>
      </c>
      <c r="B11" s="52" t="s">
        <v>418</v>
      </c>
      <c r="C11" s="53" t="s">
        <v>419</v>
      </c>
      <c r="D11" s="52" t="s">
        <v>28</v>
      </c>
      <c r="E11" s="241">
        <v>551</v>
      </c>
      <c r="F11" s="35"/>
      <c r="G11" s="764"/>
      <c r="H11" s="44">
        <f>QTY!J36</f>
        <v>550.01804000000004</v>
      </c>
      <c r="L11" s="54"/>
    </row>
    <row r="12" spans="1:12" ht="35.25" customHeight="1">
      <c r="A12" s="758" t="s">
        <v>420</v>
      </c>
      <c r="B12" s="46" t="s">
        <v>32</v>
      </c>
      <c r="C12" s="248" t="s">
        <v>225</v>
      </c>
      <c r="D12" s="46" t="s">
        <v>28</v>
      </c>
      <c r="E12" s="238">
        <v>25</v>
      </c>
      <c r="F12" s="35"/>
      <c r="G12" s="764"/>
      <c r="L12" s="54"/>
    </row>
    <row r="13" spans="1:12" ht="35.25" customHeight="1">
      <c r="A13" s="758" t="s">
        <v>421</v>
      </c>
      <c r="B13" s="46" t="s">
        <v>33</v>
      </c>
      <c r="C13" s="248" t="s">
        <v>227</v>
      </c>
      <c r="D13" s="46" t="s">
        <v>28</v>
      </c>
      <c r="E13" s="238">
        <v>20</v>
      </c>
      <c r="F13" s="35"/>
      <c r="G13" s="764"/>
      <c r="L13" s="54"/>
    </row>
    <row r="14" spans="1:12" ht="35.25" customHeight="1">
      <c r="A14" s="758" t="s">
        <v>422</v>
      </c>
      <c r="B14" s="48" t="s">
        <v>34</v>
      </c>
      <c r="C14" s="49" t="s">
        <v>35</v>
      </c>
      <c r="D14" s="50" t="s">
        <v>27</v>
      </c>
      <c r="E14" s="238">
        <v>315</v>
      </c>
      <c r="F14" s="35"/>
      <c r="G14" s="764"/>
      <c r="H14" s="44">
        <f>(E9+E10)-E11</f>
        <v>315</v>
      </c>
      <c r="L14" s="54"/>
    </row>
    <row r="15" spans="1:12" ht="28.5" customHeight="1" thickBot="1">
      <c r="A15" s="760"/>
      <c r="B15" s="896" t="s">
        <v>423</v>
      </c>
      <c r="C15" s="897"/>
      <c r="D15" s="897"/>
      <c r="E15" s="897"/>
      <c r="F15" s="898"/>
      <c r="G15" s="761"/>
    </row>
  </sheetData>
  <mergeCells count="3">
    <mergeCell ref="A1:C1"/>
    <mergeCell ref="D1:G1"/>
    <mergeCell ref="B15:F15"/>
  </mergeCells>
  <printOptions horizontalCentered="1"/>
  <pageMargins left="0.75" right="0.4" top="0.75" bottom="0.5" header="0" footer="0"/>
  <pageSetup paperSize="9" scale="7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D5991-10DD-4C63-96A2-309A7FC3C3B2}">
  <sheetPr>
    <tabColor rgb="FFFF9933"/>
  </sheetPr>
  <dimension ref="A1:I29"/>
  <sheetViews>
    <sheetView view="pageBreakPreview" zoomScale="85" zoomScaleNormal="110" zoomScaleSheetLayoutView="85" workbookViewId="0">
      <pane ySplit="2" topLeftCell="A9" activePane="bottomLeft" state="frozen"/>
      <selection activeCell="E36" sqref="E36"/>
      <selection pane="bottomLeft" activeCell="H1" sqref="H1:H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689" customWidth="1"/>
    <col min="6" max="6" width="15.44140625" style="31" customWidth="1"/>
    <col min="7" max="7" width="20.77734375" style="31" customWidth="1"/>
    <col min="8" max="8" width="11.44140625" style="59" hidden="1" customWidth="1"/>
    <col min="9" max="16384" width="9.109375" style="31"/>
  </cols>
  <sheetData>
    <row r="1" spans="1:8" s="27" customFormat="1" ht="58.2" customHeight="1" thickBot="1">
      <c r="A1" s="892" t="s">
        <v>388</v>
      </c>
      <c r="B1" s="893"/>
      <c r="C1" s="893"/>
      <c r="D1" s="940" t="str">
        <f>+'Bill 3.1'!D1:G1</f>
        <v xml:space="preserve">REDUCTION OF LANDSLIDE 
VULNERABILITY  BY MITIGATION MEASURES
KOBAWAKA KANADA (SITE NO. 81)
</v>
      </c>
      <c r="E1" s="940"/>
      <c r="F1" s="940"/>
      <c r="G1" s="941"/>
    </row>
    <row r="2" spans="1:8" ht="26.4">
      <c r="A2" s="754" t="s">
        <v>11</v>
      </c>
      <c r="B2" s="28" t="s">
        <v>12</v>
      </c>
      <c r="C2" s="29" t="s">
        <v>8</v>
      </c>
      <c r="D2" s="28" t="s">
        <v>13</v>
      </c>
      <c r="E2" s="686" t="s">
        <v>14</v>
      </c>
      <c r="F2" s="30" t="s">
        <v>15</v>
      </c>
      <c r="G2" s="755" t="s">
        <v>16</v>
      </c>
    </row>
    <row r="3" spans="1:8" ht="29.4" customHeight="1">
      <c r="A3" s="766" t="s">
        <v>424</v>
      </c>
      <c r="B3" s="60"/>
      <c r="C3" s="42" t="s">
        <v>36</v>
      </c>
      <c r="D3" s="61"/>
      <c r="E3" s="242"/>
      <c r="F3" s="61"/>
      <c r="G3" s="767"/>
    </row>
    <row r="4" spans="1:8" ht="29.4" customHeight="1">
      <c r="A4" s="758" t="s">
        <v>425</v>
      </c>
      <c r="B4" s="62" t="s">
        <v>37</v>
      </c>
      <c r="C4" s="45" t="s">
        <v>38</v>
      </c>
      <c r="D4" s="33" t="s">
        <v>27</v>
      </c>
      <c r="E4" s="241">
        <v>3</v>
      </c>
      <c r="F4" s="35"/>
      <c r="G4" s="764"/>
      <c r="H4" s="59">
        <f>Drains!I109</f>
        <v>2.9217500000000003</v>
      </c>
    </row>
    <row r="5" spans="1:8" ht="29.4" customHeight="1">
      <c r="A5" s="758" t="s">
        <v>426</v>
      </c>
      <c r="B5" s="62" t="s">
        <v>39</v>
      </c>
      <c r="C5" s="45" t="s">
        <v>40</v>
      </c>
      <c r="D5" s="33" t="s">
        <v>27</v>
      </c>
      <c r="E5" s="241">
        <v>14</v>
      </c>
      <c r="F5" s="35"/>
      <c r="G5" s="764"/>
      <c r="H5" s="59">
        <f>Drains!J109+Drains!J110</f>
        <v>13.997781250000003</v>
      </c>
    </row>
    <row r="6" spans="1:8" ht="29.4" customHeight="1">
      <c r="A6" s="758" t="s">
        <v>427</v>
      </c>
      <c r="B6" s="62" t="s">
        <v>41</v>
      </c>
      <c r="C6" s="45" t="s">
        <v>42</v>
      </c>
      <c r="D6" s="33" t="s">
        <v>43</v>
      </c>
      <c r="E6" s="241">
        <v>915</v>
      </c>
      <c r="F6" s="35"/>
      <c r="G6" s="764"/>
      <c r="H6" s="59">
        <f>Drains!U110</f>
        <v>911.32304526748976</v>
      </c>
    </row>
    <row r="7" spans="1:8" ht="29.4" customHeight="1">
      <c r="A7" s="758" t="s">
        <v>428</v>
      </c>
      <c r="B7" s="62" t="s">
        <v>44</v>
      </c>
      <c r="C7" s="45" t="s">
        <v>45</v>
      </c>
      <c r="D7" s="33" t="s">
        <v>20</v>
      </c>
      <c r="E7" s="241">
        <v>182</v>
      </c>
      <c r="F7" s="35"/>
      <c r="G7" s="764"/>
      <c r="H7" s="59">
        <f>Drains!K109+Drains!K110</f>
        <v>181.89250000000001</v>
      </c>
    </row>
    <row r="8" spans="1:8" ht="29.4" customHeight="1">
      <c r="A8" s="766" t="s">
        <v>429</v>
      </c>
      <c r="B8" s="60"/>
      <c r="C8" s="42" t="s">
        <v>46</v>
      </c>
      <c r="D8" s="61"/>
      <c r="E8" s="242"/>
      <c r="F8" s="61"/>
      <c r="G8" s="767"/>
    </row>
    <row r="9" spans="1:8" ht="29.4" customHeight="1">
      <c r="A9" s="758" t="s">
        <v>430</v>
      </c>
      <c r="B9" s="62" t="s">
        <v>37</v>
      </c>
      <c r="C9" s="45" t="s">
        <v>38</v>
      </c>
      <c r="D9" s="33" t="s">
        <v>27</v>
      </c>
      <c r="E9" s="241">
        <v>3</v>
      </c>
      <c r="F9" s="35"/>
      <c r="G9" s="764"/>
      <c r="H9" s="59">
        <f>Drains!I112</f>
        <v>2.8264</v>
      </c>
    </row>
    <row r="10" spans="1:8" ht="29.4" customHeight="1">
      <c r="A10" s="758" t="s">
        <v>431</v>
      </c>
      <c r="B10" s="62" t="s">
        <v>39</v>
      </c>
      <c r="C10" s="45" t="s">
        <v>40</v>
      </c>
      <c r="D10" s="33" t="s">
        <v>27</v>
      </c>
      <c r="E10" s="241">
        <v>15</v>
      </c>
      <c r="F10" s="35"/>
      <c r="G10" s="764"/>
      <c r="H10" s="59">
        <f>Drains!J112+Drains!J113</f>
        <v>14.1995</v>
      </c>
    </row>
    <row r="11" spans="1:8" ht="29.4" customHeight="1">
      <c r="A11" s="758" t="s">
        <v>432</v>
      </c>
      <c r="B11" s="62" t="s">
        <v>41</v>
      </c>
      <c r="C11" s="45" t="s">
        <v>42</v>
      </c>
      <c r="D11" s="33" t="s">
        <v>43</v>
      </c>
      <c r="E11" s="241">
        <v>865</v>
      </c>
      <c r="F11" s="35"/>
      <c r="G11" s="764"/>
      <c r="H11" s="59">
        <f>Drains!U113</f>
        <v>864.99691358024677</v>
      </c>
    </row>
    <row r="12" spans="1:8" ht="29.4" customHeight="1">
      <c r="A12" s="758" t="s">
        <v>433</v>
      </c>
      <c r="B12" s="62" t="s">
        <v>44</v>
      </c>
      <c r="C12" s="45" t="s">
        <v>45</v>
      </c>
      <c r="D12" s="33" t="s">
        <v>20</v>
      </c>
      <c r="E12" s="241">
        <v>186</v>
      </c>
      <c r="F12" s="35"/>
      <c r="G12" s="764"/>
      <c r="H12" s="59">
        <f>Drains!K112+Drains!K113</f>
        <v>185.94799999999998</v>
      </c>
    </row>
    <row r="13" spans="1:8" ht="29.4" customHeight="1">
      <c r="A13" s="766" t="s">
        <v>434</v>
      </c>
      <c r="B13" s="51"/>
      <c r="C13" s="55" t="s">
        <v>435</v>
      </c>
      <c r="D13" s="41"/>
      <c r="E13" s="243"/>
      <c r="F13" s="41"/>
      <c r="G13" s="765"/>
    </row>
    <row r="14" spans="1:8" ht="29.4" customHeight="1">
      <c r="A14" s="758" t="s">
        <v>436</v>
      </c>
      <c r="B14" s="62" t="s">
        <v>37</v>
      </c>
      <c r="C14" s="45" t="s">
        <v>38</v>
      </c>
      <c r="D14" s="33" t="s">
        <v>27</v>
      </c>
      <c r="E14" s="241">
        <v>3</v>
      </c>
      <c r="F14" s="35"/>
      <c r="G14" s="764"/>
      <c r="H14" s="59">
        <f>Drains!I135</f>
        <v>2.5027500000000003</v>
      </c>
    </row>
    <row r="15" spans="1:8" ht="29.4" customHeight="1">
      <c r="A15" s="758" t="s">
        <v>437</v>
      </c>
      <c r="B15" s="62" t="s">
        <v>39</v>
      </c>
      <c r="C15" s="45" t="s">
        <v>40</v>
      </c>
      <c r="D15" s="33" t="s">
        <v>27</v>
      </c>
      <c r="E15" s="241">
        <v>27</v>
      </c>
      <c r="F15" s="35"/>
      <c r="G15" s="764"/>
      <c r="H15" s="59">
        <f>Drains!J135+Drains!J136</f>
        <v>27.029700000000002</v>
      </c>
    </row>
    <row r="16" spans="1:8" ht="29.4" customHeight="1">
      <c r="A16" s="758" t="s">
        <v>438</v>
      </c>
      <c r="B16" s="62" t="s">
        <v>41</v>
      </c>
      <c r="C16" s="45" t="s">
        <v>42</v>
      </c>
      <c r="D16" s="33" t="s">
        <v>43</v>
      </c>
      <c r="E16" s="241">
        <v>1790</v>
      </c>
      <c r="F16" s="35"/>
      <c r="G16" s="764"/>
      <c r="H16" s="59">
        <f>Drains!U136</f>
        <v>1788.2299382716049</v>
      </c>
    </row>
    <row r="17" spans="1:9" ht="29.4" customHeight="1">
      <c r="A17" s="758" t="s">
        <v>439</v>
      </c>
      <c r="B17" s="62" t="s">
        <v>44</v>
      </c>
      <c r="C17" s="45" t="s">
        <v>45</v>
      </c>
      <c r="D17" s="33" t="s">
        <v>20</v>
      </c>
      <c r="E17" s="241">
        <v>161</v>
      </c>
      <c r="F17" s="35"/>
      <c r="G17" s="764"/>
      <c r="H17" s="59">
        <f>Drains!K135+Drains!K136</f>
        <v>160.17599999999999</v>
      </c>
    </row>
    <row r="18" spans="1:9" ht="30" customHeight="1">
      <c r="A18" s="766" t="s">
        <v>440</v>
      </c>
      <c r="B18" s="60"/>
      <c r="C18" s="360" t="s">
        <v>441</v>
      </c>
      <c r="D18" s="41"/>
      <c r="E18" s="242"/>
      <c r="F18" s="61"/>
      <c r="G18" s="765"/>
    </row>
    <row r="19" spans="1:9" ht="30" customHeight="1">
      <c r="A19" s="758" t="s">
        <v>442</v>
      </c>
      <c r="B19" s="62" t="s">
        <v>37</v>
      </c>
      <c r="C19" s="45" t="s">
        <v>38</v>
      </c>
      <c r="D19" s="33" t="s">
        <v>27</v>
      </c>
      <c r="E19" s="241">
        <v>2</v>
      </c>
      <c r="F19" s="35"/>
      <c r="G19" s="764"/>
      <c r="H19" s="59">
        <f>Drains!I164</f>
        <v>1.4534000000000002</v>
      </c>
    </row>
    <row r="20" spans="1:9" ht="30" customHeight="1">
      <c r="A20" s="758" t="s">
        <v>443</v>
      </c>
      <c r="B20" s="62" t="s">
        <v>39</v>
      </c>
      <c r="C20" s="45" t="s">
        <v>40</v>
      </c>
      <c r="D20" s="33" t="s">
        <v>27</v>
      </c>
      <c r="E20" s="241">
        <v>8</v>
      </c>
      <c r="F20" s="35"/>
      <c r="G20" s="764"/>
      <c r="H20" s="59">
        <f>Drains!J164+Drains!J165</f>
        <v>7.4424981249999993</v>
      </c>
    </row>
    <row r="21" spans="1:9" ht="30" customHeight="1">
      <c r="A21" s="758" t="s">
        <v>444</v>
      </c>
      <c r="B21" s="62" t="s">
        <v>41</v>
      </c>
      <c r="C21" s="45" t="s">
        <v>42</v>
      </c>
      <c r="D21" s="33" t="s">
        <v>43</v>
      </c>
      <c r="E21" s="241">
        <v>410</v>
      </c>
      <c r="F21" s="35"/>
      <c r="G21" s="764"/>
      <c r="H21" s="59">
        <f>Drains!S164</f>
        <v>407.02057613168728</v>
      </c>
    </row>
    <row r="22" spans="1:9" ht="30" customHeight="1">
      <c r="A22" s="758" t="s">
        <v>445</v>
      </c>
      <c r="B22" s="62" t="s">
        <v>44</v>
      </c>
      <c r="C22" s="45" t="s">
        <v>45</v>
      </c>
      <c r="D22" s="33" t="s">
        <v>20</v>
      </c>
      <c r="E22" s="241">
        <v>105</v>
      </c>
      <c r="F22" s="35"/>
      <c r="G22" s="764"/>
      <c r="H22" s="59">
        <f>Drains!K164+Drains!K165</f>
        <v>103.67125</v>
      </c>
    </row>
    <row r="23" spans="1:9" s="65" customFormat="1" ht="27.75" customHeight="1">
      <c r="A23" s="766" t="s">
        <v>446</v>
      </c>
      <c r="B23" s="46"/>
      <c r="C23" s="66" t="s">
        <v>48</v>
      </c>
      <c r="D23" s="46"/>
      <c r="E23" s="238"/>
      <c r="F23" s="57"/>
      <c r="G23" s="367"/>
      <c r="H23" s="63"/>
      <c r="I23" s="64"/>
    </row>
    <row r="24" spans="1:9" s="65" customFormat="1" ht="31.95" customHeight="1">
      <c r="A24" s="768" t="s">
        <v>447</v>
      </c>
      <c r="B24" s="46" t="s">
        <v>49</v>
      </c>
      <c r="C24" s="58" t="s">
        <v>448</v>
      </c>
      <c r="D24" s="46" t="s">
        <v>5</v>
      </c>
      <c r="E24" s="238">
        <v>100</v>
      </c>
      <c r="F24" s="57"/>
      <c r="G24" s="367"/>
      <c r="H24" s="63">
        <f>Drains!D166</f>
        <v>45</v>
      </c>
      <c r="I24" s="64"/>
    </row>
    <row r="25" spans="1:9" ht="30" customHeight="1">
      <c r="A25" s="766" t="s">
        <v>449</v>
      </c>
      <c r="B25" s="51"/>
      <c r="C25" s="55" t="s">
        <v>450</v>
      </c>
      <c r="D25" s="41"/>
      <c r="E25" s="243"/>
      <c r="F25" s="41"/>
      <c r="G25" s="765"/>
    </row>
    <row r="26" spans="1:9" ht="30" customHeight="1">
      <c r="A26" s="758" t="s">
        <v>451</v>
      </c>
      <c r="B26" s="62" t="s">
        <v>452</v>
      </c>
      <c r="C26" s="45" t="s">
        <v>453</v>
      </c>
      <c r="D26" s="33" t="s">
        <v>27</v>
      </c>
      <c r="E26" s="241">
        <v>445</v>
      </c>
      <c r="F26" s="35"/>
      <c r="G26" s="764"/>
      <c r="H26" s="59">
        <f>QTY!J46</f>
        <v>443.84450000000004</v>
      </c>
    </row>
    <row r="27" spans="1:9" ht="30" customHeight="1">
      <c r="A27" s="758" t="s">
        <v>454</v>
      </c>
      <c r="B27" s="62" t="s">
        <v>50</v>
      </c>
      <c r="C27" s="45" t="s">
        <v>51</v>
      </c>
      <c r="D27" s="33" t="s">
        <v>20</v>
      </c>
      <c r="E27" s="241">
        <v>627</v>
      </c>
      <c r="F27" s="35"/>
      <c r="G27" s="764"/>
      <c r="H27" s="59">
        <f>QTY!J48</f>
        <v>626.60400000000004</v>
      </c>
    </row>
    <row r="28" spans="1:9" ht="30" customHeight="1">
      <c r="A28" s="758" t="s">
        <v>455</v>
      </c>
      <c r="B28" s="62" t="s">
        <v>456</v>
      </c>
      <c r="C28" s="45" t="s">
        <v>457</v>
      </c>
      <c r="D28" s="33" t="s">
        <v>27</v>
      </c>
      <c r="E28" s="241">
        <v>86</v>
      </c>
      <c r="F28" s="35"/>
      <c r="G28" s="764"/>
      <c r="H28" s="59">
        <f>QTY!J47</f>
        <v>85.63588</v>
      </c>
    </row>
    <row r="29" spans="1:9" ht="30" customHeight="1" thickBot="1">
      <c r="A29" s="760"/>
      <c r="B29" s="896" t="s">
        <v>458</v>
      </c>
      <c r="C29" s="897"/>
      <c r="D29" s="897"/>
      <c r="E29" s="897"/>
      <c r="F29" s="898"/>
      <c r="G29" s="761"/>
    </row>
  </sheetData>
  <mergeCells count="3">
    <mergeCell ref="A1:C1"/>
    <mergeCell ref="D1:G1"/>
    <mergeCell ref="B29:F29"/>
  </mergeCells>
  <printOptions horizontalCentered="1"/>
  <pageMargins left="0.75" right="0.4" top="0.75" bottom="0.5" header="0" footer="0"/>
  <pageSetup paperSize="9" scale="7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007AC-AFB3-4666-AE50-C7B78B6B33AA}">
  <sheetPr>
    <tabColor rgb="FFFF9933"/>
  </sheetPr>
  <dimension ref="A1:I7"/>
  <sheetViews>
    <sheetView view="pageBreakPreview" zoomScale="90" zoomScaleNormal="110" zoomScaleSheetLayoutView="90" workbookViewId="0">
      <selection activeCell="H1" sqref="H1:I1048576"/>
    </sheetView>
  </sheetViews>
  <sheetFormatPr defaultColWidth="9.109375" defaultRowHeight="13.2"/>
  <cols>
    <col min="1" max="1" width="7.6640625" style="31" customWidth="1"/>
    <col min="2" max="2" width="9.6640625" style="369" customWidth="1"/>
    <col min="3" max="3" width="54" style="31" customWidth="1"/>
    <col min="4" max="4" width="7.6640625" style="370" customWidth="1"/>
    <col min="5" max="5" width="8.6640625" style="689" customWidth="1"/>
    <col min="6" max="6" width="17" style="31" customWidth="1"/>
    <col min="7" max="7" width="19.77734375" style="31" customWidth="1"/>
    <col min="8" max="8" width="8.109375" style="31" hidden="1" customWidth="1"/>
    <col min="9" max="9" width="0" style="31" hidden="1" customWidth="1"/>
    <col min="10" max="10" width="10.44140625" style="31" bestFit="1" customWidth="1"/>
    <col min="11" max="16384" width="9.109375" style="31"/>
  </cols>
  <sheetData>
    <row r="1" spans="1:9" s="27" customFormat="1" ht="60" customHeight="1" thickBot="1">
      <c r="A1" s="892" t="s">
        <v>459</v>
      </c>
      <c r="B1" s="893"/>
      <c r="C1" s="893"/>
      <c r="D1" s="938" t="str">
        <f>+'Bill 3.1'!D1:G1</f>
        <v xml:space="preserve">REDUCTION OF LANDSLIDE 
VULNERABILITY  BY MITIGATION MEASURES
KOBAWAKA KANADA (SITE NO. 81)
</v>
      </c>
      <c r="E1" s="938"/>
      <c r="F1" s="938"/>
      <c r="G1" s="939"/>
    </row>
    <row r="2" spans="1:9" ht="28.2" customHeight="1">
      <c r="A2" s="754" t="s">
        <v>11</v>
      </c>
      <c r="B2" s="28" t="s">
        <v>12</v>
      </c>
      <c r="C2" s="29" t="s">
        <v>8</v>
      </c>
      <c r="D2" s="28" t="s">
        <v>13</v>
      </c>
      <c r="E2" s="686" t="s">
        <v>14</v>
      </c>
      <c r="F2" s="30" t="s">
        <v>15</v>
      </c>
      <c r="G2" s="755" t="s">
        <v>16</v>
      </c>
    </row>
    <row r="3" spans="1:9" ht="33" customHeight="1">
      <c r="A3" s="770" t="s">
        <v>460</v>
      </c>
      <c r="B3" s="361"/>
      <c r="C3" s="362" t="s">
        <v>461</v>
      </c>
      <c r="D3" s="361"/>
      <c r="E3" s="690"/>
      <c r="F3" s="363"/>
      <c r="G3" s="772"/>
    </row>
    <row r="4" spans="1:9" ht="33" customHeight="1">
      <c r="A4" s="773" t="s">
        <v>462</v>
      </c>
      <c r="B4" s="350"/>
      <c r="C4" s="47" t="s">
        <v>463</v>
      </c>
      <c r="D4" s="365" t="s">
        <v>312</v>
      </c>
      <c r="E4" s="691">
        <v>1330</v>
      </c>
      <c r="F4" s="366"/>
      <c r="G4" s="367"/>
      <c r="I4" s="44">
        <f>QTY!J77</f>
        <v>1328.0620100000001</v>
      </c>
    </row>
    <row r="5" spans="1:9" ht="30" customHeight="1">
      <c r="A5" s="770" t="s">
        <v>464</v>
      </c>
      <c r="B5" s="350"/>
      <c r="C5" s="351" t="s">
        <v>465</v>
      </c>
      <c r="D5" s="350"/>
      <c r="E5" s="243"/>
      <c r="F5" s="41"/>
      <c r="G5" s="765"/>
      <c r="H5" s="347"/>
    </row>
    <row r="6" spans="1:9" ht="58.5" customHeight="1">
      <c r="A6" s="758" t="s">
        <v>466</v>
      </c>
      <c r="B6" s="33" t="s">
        <v>467</v>
      </c>
      <c r="C6" s="368" t="s">
        <v>468</v>
      </c>
      <c r="D6" s="33" t="s">
        <v>5</v>
      </c>
      <c r="E6" s="241">
        <v>110</v>
      </c>
      <c r="F6" s="35"/>
      <c r="G6" s="764"/>
      <c r="H6" s="347">
        <f>QTY!J99</f>
        <v>110</v>
      </c>
    </row>
    <row r="7" spans="1:9" ht="24.75" customHeight="1" thickBot="1">
      <c r="A7" s="760"/>
      <c r="B7" s="896" t="s">
        <v>469</v>
      </c>
      <c r="C7" s="897"/>
      <c r="D7" s="897"/>
      <c r="E7" s="897"/>
      <c r="F7" s="898"/>
      <c r="G7" s="761"/>
    </row>
  </sheetData>
  <mergeCells count="3">
    <mergeCell ref="A1:C1"/>
    <mergeCell ref="D1:G1"/>
    <mergeCell ref="B7:F7"/>
  </mergeCells>
  <printOptions horizontalCentered="1"/>
  <pageMargins left="0.75" right="0.4" top="0.75" bottom="0.5" header="0" footer="0"/>
  <pageSetup paperSize="9" scale="7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45106-7E72-4B2F-8D1E-F5E5E2DE9CC8}">
  <sheetPr>
    <tabColor rgb="FF00B050"/>
  </sheetPr>
  <dimension ref="A1:L109"/>
  <sheetViews>
    <sheetView view="pageBreakPreview" zoomScale="90" zoomScaleNormal="100" zoomScaleSheetLayoutView="90" workbookViewId="0">
      <pane ySplit="2" topLeftCell="A78" activePane="bottomLeft" state="frozen"/>
      <selection activeCell="F9" sqref="F9"/>
      <selection pane="bottomLeft" activeCell="F9" sqref="F9"/>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5" width="9.109375" style="68"/>
    <col min="16" max="16" width="11.109375" style="68" bestFit="1" customWidth="1"/>
    <col min="17" max="16384" width="9.109375" style="68"/>
  </cols>
  <sheetData>
    <row r="1" spans="1:12" ht="20.100000000000001" customHeight="1">
      <c r="A1" s="902" t="s">
        <v>470</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08" t="s">
        <v>62</v>
      </c>
      <c r="B4" s="909"/>
      <c r="C4" s="909"/>
      <c r="D4" s="909"/>
      <c r="E4" s="909"/>
      <c r="F4" s="910"/>
      <c r="G4" s="73"/>
      <c r="H4" s="74"/>
      <c r="I4" s="73"/>
      <c r="J4" s="73"/>
    </row>
    <row r="5" spans="1:12" ht="15">
      <c r="A5" s="75" t="s">
        <v>471</v>
      </c>
      <c r="B5" s="76"/>
      <c r="C5" s="77"/>
      <c r="D5" s="78"/>
      <c r="E5" s="77"/>
      <c r="F5" s="76"/>
      <c r="G5" s="77"/>
      <c r="H5" s="77"/>
      <c r="I5" s="77"/>
      <c r="J5" s="79"/>
      <c r="L5" s="80"/>
    </row>
    <row r="6" spans="1:12" ht="15">
      <c r="A6" s="87" t="s">
        <v>472</v>
      </c>
      <c r="B6" s="88">
        <v>13.36</v>
      </c>
      <c r="C6" s="82">
        <v>29</v>
      </c>
      <c r="D6" s="78"/>
      <c r="E6" s="77"/>
      <c r="F6" s="76">
        <f>B6*C6</f>
        <v>387.44</v>
      </c>
      <c r="G6" s="77"/>
      <c r="H6" s="77" t="s">
        <v>63</v>
      </c>
      <c r="I6" s="79">
        <f>F6*1.1</f>
        <v>426.18400000000003</v>
      </c>
      <c r="J6" s="128">
        <f>ROUNDUP(I6,2)</f>
        <v>426.19</v>
      </c>
      <c r="L6" s="80"/>
    </row>
    <row r="7" spans="1:12" ht="15">
      <c r="A7" s="87" t="s">
        <v>473</v>
      </c>
      <c r="B7" s="88">
        <v>16.7</v>
      </c>
      <c r="C7" s="76">
        <v>28.704999999999998</v>
      </c>
      <c r="D7" s="78"/>
      <c r="E7" s="77"/>
      <c r="F7" s="76">
        <f>B7*C7</f>
        <v>479.37349999999998</v>
      </c>
      <c r="G7" s="77"/>
      <c r="H7" s="77" t="s">
        <v>63</v>
      </c>
      <c r="I7" s="79">
        <f>F7*1.1</f>
        <v>527.31085000000007</v>
      </c>
      <c r="J7" s="128">
        <f>ROUNDUP(I7,2)</f>
        <v>527.31999999999994</v>
      </c>
      <c r="L7" s="80"/>
    </row>
    <row r="8" spans="1:12" ht="15">
      <c r="A8" s="87" t="s">
        <v>474</v>
      </c>
      <c r="B8" s="88">
        <v>17.78</v>
      </c>
      <c r="C8" s="76">
        <v>28.41</v>
      </c>
      <c r="D8" s="78"/>
      <c r="E8" s="77"/>
      <c r="F8" s="76">
        <f>B8*C8</f>
        <v>505.12980000000005</v>
      </c>
      <c r="G8" s="77"/>
      <c r="H8" s="77" t="s">
        <v>63</v>
      </c>
      <c r="I8" s="79">
        <f>F8*1.1</f>
        <v>555.64278000000013</v>
      </c>
      <c r="J8" s="128">
        <f>ROUNDUP(I8,2)</f>
        <v>555.65</v>
      </c>
      <c r="L8" s="80"/>
    </row>
    <row r="9" spans="1:12" ht="15">
      <c r="A9" s="87"/>
      <c r="B9" s="88"/>
      <c r="C9" s="76"/>
      <c r="D9" s="78"/>
      <c r="E9" s="77"/>
      <c r="F9" s="76"/>
      <c r="G9" s="77"/>
      <c r="H9" s="77"/>
      <c r="I9" s="79"/>
      <c r="J9" s="103">
        <f>SUM(J6:J8)</f>
        <v>1509.1599999999999</v>
      </c>
      <c r="L9" s="80"/>
    </row>
    <row r="10" spans="1:12" ht="15">
      <c r="A10" s="87"/>
      <c r="B10" s="88"/>
      <c r="C10" s="89"/>
      <c r="D10" s="90"/>
      <c r="E10" s="91"/>
      <c r="F10" s="88"/>
      <c r="G10" s="91"/>
      <c r="H10" s="91"/>
      <c r="I10" s="92"/>
      <c r="J10" s="93"/>
    </row>
    <row r="11" spans="1:12" ht="15">
      <c r="A11" s="905" t="s">
        <v>64</v>
      </c>
      <c r="B11" s="906"/>
      <c r="C11" s="906"/>
      <c r="D11" s="906"/>
      <c r="E11" s="906"/>
      <c r="F11" s="906"/>
      <c r="G11" s="906"/>
      <c r="H11" s="906"/>
      <c r="I11" s="906"/>
      <c r="J11" s="907"/>
    </row>
    <row r="12" spans="1:12" ht="15">
      <c r="A12" s="911" t="s">
        <v>65</v>
      </c>
      <c r="B12" s="912"/>
      <c r="C12" s="912"/>
      <c r="D12" s="912"/>
      <c r="E12" s="912"/>
      <c r="F12" s="913"/>
      <c r="G12" s="73"/>
      <c r="H12" s="74"/>
      <c r="I12" s="74"/>
      <c r="J12" s="73"/>
      <c r="K12" s="94"/>
    </row>
    <row r="13" spans="1:12" ht="15">
      <c r="A13" s="911" t="s">
        <v>66</v>
      </c>
      <c r="B13" s="912"/>
      <c r="C13" s="912"/>
      <c r="D13" s="912"/>
      <c r="E13" s="912"/>
      <c r="F13" s="913"/>
      <c r="G13" s="73"/>
      <c r="H13" s="74"/>
      <c r="I13" s="73"/>
      <c r="J13" s="73"/>
      <c r="L13" s="80"/>
    </row>
    <row r="14" spans="1:12" ht="15">
      <c r="A14" s="911" t="s">
        <v>67</v>
      </c>
      <c r="B14" s="912"/>
      <c r="C14" s="912"/>
      <c r="D14" s="912"/>
      <c r="E14" s="912"/>
      <c r="F14" s="913"/>
      <c r="G14" s="95"/>
      <c r="H14" s="96"/>
      <c r="I14" s="95"/>
      <c r="J14" s="95"/>
      <c r="L14" s="80"/>
    </row>
    <row r="15" spans="1:12" ht="15">
      <c r="A15" s="84" t="s">
        <v>68</v>
      </c>
      <c r="B15" s="76"/>
      <c r="C15" s="76"/>
      <c r="D15" s="78"/>
      <c r="E15" s="77"/>
      <c r="F15" s="76"/>
      <c r="G15" s="77"/>
      <c r="H15" s="77"/>
      <c r="I15" s="79"/>
      <c r="J15" s="79"/>
      <c r="L15" s="80"/>
    </row>
    <row r="16" spans="1:12" ht="15">
      <c r="A16" s="87" t="str">
        <f>A6</f>
        <v>~CS04A</v>
      </c>
      <c r="B16" s="88">
        <v>48.88</v>
      </c>
      <c r="C16" s="76">
        <v>31.1</v>
      </c>
      <c r="D16" s="78"/>
      <c r="E16" s="77"/>
      <c r="F16" s="76">
        <f t="shared" ref="F16:F18" si="0">B16*C16</f>
        <v>1520.1680000000001</v>
      </c>
      <c r="G16" s="77"/>
      <c r="H16" s="77" t="s">
        <v>63</v>
      </c>
      <c r="I16" s="79">
        <f t="shared" ref="I16:I18" si="1">F16*1.1</f>
        <v>1672.1848000000002</v>
      </c>
      <c r="J16" s="128">
        <f t="shared" ref="J16:J18" si="2">ROUNDUP(I16,2)</f>
        <v>1672.19</v>
      </c>
      <c r="L16" s="80"/>
    </row>
    <row r="17" spans="1:12" ht="15">
      <c r="A17" s="87" t="str">
        <f t="shared" ref="A17:A18" si="3">A7</f>
        <v>CS04A-CS05</v>
      </c>
      <c r="B17" s="88">
        <v>15.52</v>
      </c>
      <c r="C17" s="76">
        <v>29.05</v>
      </c>
      <c r="D17" s="78"/>
      <c r="E17" s="77"/>
      <c r="F17" s="76">
        <f t="shared" si="0"/>
        <v>450.85599999999999</v>
      </c>
      <c r="G17" s="77"/>
      <c r="H17" s="77" t="s">
        <v>63</v>
      </c>
      <c r="I17" s="79">
        <f t="shared" si="1"/>
        <v>495.94160000000005</v>
      </c>
      <c r="J17" s="128">
        <f t="shared" si="2"/>
        <v>495.95</v>
      </c>
      <c r="L17" s="80"/>
    </row>
    <row r="18" spans="1:12" ht="15">
      <c r="A18" s="87" t="str">
        <f t="shared" si="3"/>
        <v>CS05~</v>
      </c>
      <c r="B18" s="88">
        <v>20.73</v>
      </c>
      <c r="C18" s="76">
        <v>27</v>
      </c>
      <c r="D18" s="78"/>
      <c r="E18" s="77"/>
      <c r="F18" s="76">
        <f t="shared" si="0"/>
        <v>559.71</v>
      </c>
      <c r="G18" s="77"/>
      <c r="H18" s="77" t="s">
        <v>63</v>
      </c>
      <c r="I18" s="79">
        <f t="shared" si="1"/>
        <v>615.68100000000004</v>
      </c>
      <c r="J18" s="128">
        <f t="shared" si="2"/>
        <v>615.68999999999994</v>
      </c>
      <c r="L18" s="80"/>
    </row>
    <row r="19" spans="1:12" ht="15">
      <c r="A19" s="87"/>
      <c r="B19" s="88"/>
      <c r="C19" s="76"/>
      <c r="D19" s="78"/>
      <c r="E19" s="77"/>
      <c r="F19" s="76"/>
      <c r="G19" s="77"/>
      <c r="H19" s="77"/>
      <c r="I19" s="79"/>
      <c r="J19" s="103">
        <f>SUM(J15:J18)</f>
        <v>2783.83</v>
      </c>
    </row>
    <row r="20" spans="1:12" ht="15">
      <c r="A20" s="87"/>
      <c r="B20" s="88"/>
      <c r="C20" s="76"/>
      <c r="D20" s="78"/>
      <c r="E20" s="77"/>
      <c r="F20" s="76"/>
      <c r="G20" s="77"/>
      <c r="H20" s="77"/>
      <c r="I20" s="79"/>
      <c r="J20" s="101"/>
    </row>
    <row r="21" spans="1:12" ht="15">
      <c r="A21" s="87"/>
      <c r="B21" s="88"/>
      <c r="C21" s="76"/>
      <c r="D21" s="78"/>
      <c r="E21" s="77"/>
      <c r="F21" s="76"/>
      <c r="G21" s="77"/>
      <c r="H21" s="77"/>
      <c r="I21" s="79"/>
      <c r="J21" s="79"/>
    </row>
    <row r="22" spans="1:12" ht="15">
      <c r="A22" s="911" t="s">
        <v>69</v>
      </c>
      <c r="B22" s="912"/>
      <c r="C22" s="912"/>
      <c r="D22" s="912"/>
      <c r="E22" s="912"/>
      <c r="F22" s="913"/>
      <c r="G22" s="97"/>
      <c r="H22" s="74"/>
      <c r="I22" s="73"/>
      <c r="J22" s="73"/>
      <c r="K22" s="80"/>
      <c r="L22" s="80"/>
    </row>
    <row r="23" spans="1:12" ht="15">
      <c r="A23" s="911" t="s">
        <v>70</v>
      </c>
      <c r="B23" s="912"/>
      <c r="C23" s="912"/>
      <c r="D23" s="912"/>
      <c r="E23" s="912"/>
      <c r="F23" s="913"/>
      <c r="G23" s="97"/>
      <c r="H23" s="74"/>
      <c r="I23" s="73"/>
      <c r="J23" s="73"/>
      <c r="K23" s="80"/>
      <c r="L23" s="80"/>
    </row>
    <row r="24" spans="1:12" ht="15">
      <c r="A24" s="911" t="s">
        <v>71</v>
      </c>
      <c r="B24" s="912"/>
      <c r="C24" s="912"/>
      <c r="D24" s="912"/>
      <c r="E24" s="912"/>
      <c r="F24" s="913"/>
      <c r="G24" s="95"/>
      <c r="H24" s="96"/>
      <c r="I24" s="95"/>
      <c r="J24" s="95"/>
      <c r="K24" s="80"/>
      <c r="L24" s="80"/>
    </row>
    <row r="25" spans="1:12" ht="15">
      <c r="A25" s="98" t="s">
        <v>475</v>
      </c>
      <c r="B25" s="82"/>
      <c r="C25" s="99"/>
      <c r="D25" s="99"/>
      <c r="E25" s="100"/>
      <c r="F25" s="82"/>
      <c r="G25" s="100"/>
      <c r="H25" s="100"/>
      <c r="I25" s="79"/>
      <c r="J25" s="101"/>
      <c r="K25" s="80"/>
      <c r="L25" s="80"/>
    </row>
    <row r="26" spans="1:12" ht="15">
      <c r="A26" s="87" t="str">
        <f>A6</f>
        <v>~CS04A</v>
      </c>
      <c r="B26" s="88">
        <f>B6</f>
        <v>13.36</v>
      </c>
      <c r="C26" s="90">
        <v>15.65</v>
      </c>
      <c r="D26" s="90"/>
      <c r="E26" s="91"/>
      <c r="F26" s="88">
        <f>PRODUCT(B26:E26)</f>
        <v>209.084</v>
      </c>
      <c r="G26" s="102">
        <f>F26</f>
        <v>209.084</v>
      </c>
      <c r="H26" s="77" t="s">
        <v>63</v>
      </c>
      <c r="I26" s="79">
        <f>G26*1.1</f>
        <v>229.99240000000003</v>
      </c>
      <c r="J26" s="128">
        <f>I26</f>
        <v>229.99240000000003</v>
      </c>
      <c r="K26" s="80"/>
      <c r="L26" s="80"/>
    </row>
    <row r="27" spans="1:12" ht="15">
      <c r="A27" s="87" t="str">
        <f t="shared" ref="A27:B28" si="4">A7</f>
        <v>CS04A-CS05</v>
      </c>
      <c r="B27" s="88">
        <f t="shared" si="4"/>
        <v>16.7</v>
      </c>
      <c r="C27" s="90">
        <v>14.18</v>
      </c>
      <c r="D27" s="90"/>
      <c r="E27" s="91"/>
      <c r="F27" s="88">
        <f>PRODUCT(B27:E27)</f>
        <v>236.80599999999998</v>
      </c>
      <c r="G27" s="102">
        <f>F27</f>
        <v>236.80599999999998</v>
      </c>
      <c r="H27" s="77" t="s">
        <v>63</v>
      </c>
      <c r="I27" s="79">
        <f>G27*1.1</f>
        <v>260.48660000000001</v>
      </c>
      <c r="J27" s="128">
        <f>I27</f>
        <v>260.48660000000001</v>
      </c>
      <c r="K27" s="80"/>
      <c r="L27" s="80"/>
    </row>
    <row r="28" spans="1:12" ht="15">
      <c r="A28" s="87" t="str">
        <f t="shared" si="4"/>
        <v>CS05~</v>
      </c>
      <c r="B28" s="88">
        <f t="shared" si="4"/>
        <v>17.78</v>
      </c>
      <c r="C28" s="90">
        <v>12.71</v>
      </c>
      <c r="D28" s="90"/>
      <c r="E28" s="91"/>
      <c r="F28" s="88">
        <f>PRODUCT(B28:E28)</f>
        <v>225.98380000000003</v>
      </c>
      <c r="G28" s="102">
        <f>F28</f>
        <v>225.98380000000003</v>
      </c>
      <c r="H28" s="77" t="s">
        <v>63</v>
      </c>
      <c r="I28" s="79">
        <f>G28*1.1</f>
        <v>248.58218000000005</v>
      </c>
      <c r="J28" s="128">
        <f>I28</f>
        <v>248.58218000000005</v>
      </c>
      <c r="K28" s="80"/>
      <c r="L28" s="80"/>
    </row>
    <row r="29" spans="1:12" ht="15">
      <c r="A29" s="87"/>
      <c r="B29" s="88"/>
      <c r="C29" s="90"/>
      <c r="D29" s="90"/>
      <c r="E29" s="91"/>
      <c r="F29" s="88"/>
      <c r="G29" s="91"/>
      <c r="H29" s="91"/>
      <c r="I29" s="79"/>
      <c r="J29" s="103">
        <f>SUM(J26:J28)</f>
        <v>739.06118000000015</v>
      </c>
      <c r="K29" s="80"/>
      <c r="L29" s="80"/>
    </row>
    <row r="30" spans="1:12" ht="15">
      <c r="A30" s="87"/>
      <c r="B30" s="88"/>
      <c r="C30" s="90"/>
      <c r="D30" s="90"/>
      <c r="E30" s="91"/>
      <c r="F30" s="88"/>
      <c r="G30" s="91"/>
      <c r="H30" s="91"/>
      <c r="I30" s="79"/>
      <c r="J30" s="101"/>
      <c r="K30" s="80"/>
      <c r="L30" s="80"/>
    </row>
    <row r="31" spans="1:12" ht="15">
      <c r="A31" s="914" t="s">
        <v>72</v>
      </c>
      <c r="B31" s="915"/>
      <c r="C31" s="915"/>
      <c r="D31" s="915"/>
      <c r="E31" s="915"/>
      <c r="F31" s="915"/>
      <c r="G31" s="915"/>
      <c r="H31" s="915"/>
      <c r="I31" s="915"/>
      <c r="J31" s="916"/>
      <c r="K31" s="80"/>
      <c r="L31" s="80"/>
    </row>
    <row r="32" spans="1:12" ht="15">
      <c r="A32" s="98" t="s">
        <v>475</v>
      </c>
      <c r="B32" s="76"/>
      <c r="C32" s="78"/>
      <c r="D32" s="78"/>
      <c r="E32" s="77"/>
      <c r="F32" s="76"/>
      <c r="G32" s="77"/>
      <c r="H32" s="77"/>
      <c r="I32" s="79"/>
      <c r="J32" s="79"/>
      <c r="K32" s="80"/>
      <c r="L32" s="80"/>
    </row>
    <row r="33" spans="1:12" ht="15">
      <c r="A33" s="87" t="str">
        <f>A26</f>
        <v>~CS04A</v>
      </c>
      <c r="B33" s="88">
        <f>B26</f>
        <v>13.36</v>
      </c>
      <c r="C33" s="78">
        <v>10.43</v>
      </c>
      <c r="D33" s="78"/>
      <c r="E33" s="77"/>
      <c r="F33" s="88">
        <f>PRODUCT(B33:E33)</f>
        <v>139.34479999999999</v>
      </c>
      <c r="G33" s="102">
        <f>F33</f>
        <v>139.34479999999999</v>
      </c>
      <c r="H33" s="77" t="s">
        <v>63</v>
      </c>
      <c r="I33" s="79">
        <f>G33*1.1</f>
        <v>153.27928</v>
      </c>
      <c r="J33" s="128">
        <f>I33</f>
        <v>153.27928</v>
      </c>
      <c r="K33" s="80"/>
      <c r="L33" s="80"/>
    </row>
    <row r="34" spans="1:12" ht="15">
      <c r="A34" s="87" t="str">
        <f t="shared" ref="A34:B35" si="5">A27</f>
        <v>CS04A-CS05</v>
      </c>
      <c r="B34" s="88">
        <f t="shared" si="5"/>
        <v>16.7</v>
      </c>
      <c r="C34" s="78">
        <v>10.45</v>
      </c>
      <c r="D34" s="78"/>
      <c r="E34" s="77"/>
      <c r="F34" s="88">
        <f>PRODUCT(B34:E34)</f>
        <v>174.51499999999999</v>
      </c>
      <c r="G34" s="102">
        <f>F34</f>
        <v>174.51499999999999</v>
      </c>
      <c r="H34" s="77" t="s">
        <v>63</v>
      </c>
      <c r="I34" s="79">
        <f>G34*1.1</f>
        <v>191.9665</v>
      </c>
      <c r="J34" s="128">
        <f>I34</f>
        <v>191.9665</v>
      </c>
      <c r="K34" s="80"/>
      <c r="L34" s="80"/>
    </row>
    <row r="35" spans="1:12" ht="15">
      <c r="A35" s="87" t="str">
        <f t="shared" si="5"/>
        <v>CS05~</v>
      </c>
      <c r="B35" s="88">
        <f t="shared" si="5"/>
        <v>17.78</v>
      </c>
      <c r="C35" s="78">
        <v>10.47</v>
      </c>
      <c r="D35" s="78"/>
      <c r="E35" s="77"/>
      <c r="F35" s="88">
        <f>PRODUCT(B35:E35)</f>
        <v>186.15660000000003</v>
      </c>
      <c r="G35" s="102">
        <f>F35</f>
        <v>186.15660000000003</v>
      </c>
      <c r="H35" s="77" t="s">
        <v>63</v>
      </c>
      <c r="I35" s="79">
        <f>G35*1.1</f>
        <v>204.77226000000005</v>
      </c>
      <c r="J35" s="128">
        <f>I35</f>
        <v>204.77226000000005</v>
      </c>
      <c r="K35" s="80"/>
      <c r="L35" s="80"/>
    </row>
    <row r="36" spans="1:12" ht="15">
      <c r="A36" s="87"/>
      <c r="B36" s="88"/>
      <c r="C36" s="78"/>
      <c r="D36" s="78"/>
      <c r="E36" s="77"/>
      <c r="F36" s="88"/>
      <c r="G36" s="91"/>
      <c r="H36" s="91"/>
      <c r="I36" s="79"/>
      <c r="J36" s="103">
        <f>SUM(J33:J35)</f>
        <v>550.01804000000004</v>
      </c>
      <c r="K36" s="80"/>
      <c r="L36" s="80"/>
    </row>
    <row r="37" spans="1:12" ht="15">
      <c r="A37" s="87"/>
      <c r="B37" s="88"/>
      <c r="C37" s="78"/>
      <c r="D37" s="78"/>
      <c r="E37" s="77"/>
      <c r="F37" s="76"/>
      <c r="G37" s="77"/>
      <c r="H37" s="77"/>
      <c r="I37" s="79"/>
      <c r="J37" s="79"/>
      <c r="K37" s="80"/>
      <c r="L37" s="80"/>
    </row>
    <row r="38" spans="1:12" ht="15">
      <c r="A38" s="899"/>
      <c r="B38" s="900"/>
      <c r="C38" s="900"/>
      <c r="D38" s="900"/>
      <c r="E38" s="900"/>
      <c r="F38" s="900"/>
      <c r="G38" s="900"/>
      <c r="H38" s="900"/>
      <c r="I38" s="900"/>
      <c r="J38" s="901"/>
      <c r="L38" s="80"/>
    </row>
    <row r="39" spans="1:12" ht="15">
      <c r="A39" s="917" t="s">
        <v>73</v>
      </c>
      <c r="B39" s="918"/>
      <c r="C39" s="918"/>
      <c r="D39" s="918"/>
      <c r="E39" s="918"/>
      <c r="F39" s="918"/>
      <c r="G39" s="918"/>
      <c r="H39" s="918"/>
      <c r="I39" s="918"/>
      <c r="J39" s="919"/>
      <c r="L39" s="80"/>
    </row>
    <row r="40" spans="1:12" ht="15">
      <c r="A40" s="920" t="s">
        <v>74</v>
      </c>
      <c r="B40" s="921"/>
      <c r="C40" s="921"/>
      <c r="D40" s="921"/>
      <c r="E40" s="921"/>
      <c r="F40" s="922"/>
      <c r="G40" s="73"/>
      <c r="H40" s="74"/>
      <c r="I40" s="73"/>
      <c r="J40" s="73"/>
    </row>
    <row r="41" spans="1:12" ht="15">
      <c r="A41" s="75"/>
      <c r="B41" s="82"/>
      <c r="C41" s="99"/>
      <c r="D41" s="104"/>
      <c r="E41" s="105"/>
      <c r="F41" s="82"/>
      <c r="G41" s="106"/>
      <c r="H41" s="100"/>
      <c r="I41" s="79"/>
      <c r="J41" s="101"/>
      <c r="L41" s="107"/>
    </row>
    <row r="42" spans="1:12" s="71" customFormat="1" ht="30" customHeight="1">
      <c r="A42" s="87"/>
      <c r="B42" s="108"/>
      <c r="C42" s="109"/>
      <c r="D42" s="104"/>
      <c r="E42" s="105"/>
      <c r="F42" s="110"/>
      <c r="G42" s="111"/>
      <c r="H42" s="77"/>
      <c r="I42" s="112"/>
      <c r="J42" s="112"/>
    </row>
    <row r="43" spans="1:12" ht="15">
      <c r="A43" s="920" t="s">
        <v>75</v>
      </c>
      <c r="B43" s="921"/>
      <c r="C43" s="921"/>
      <c r="D43" s="921"/>
      <c r="E43" s="921"/>
      <c r="F43" s="922"/>
      <c r="G43" s="73"/>
      <c r="H43" s="74"/>
      <c r="I43" s="73"/>
      <c r="J43" s="73"/>
    </row>
    <row r="44" spans="1:12" ht="15">
      <c r="A44" s="917" t="s">
        <v>76</v>
      </c>
      <c r="B44" s="918"/>
      <c r="C44" s="918"/>
      <c r="D44" s="918"/>
      <c r="E44" s="918"/>
      <c r="F44" s="918"/>
      <c r="G44" s="918"/>
      <c r="H44" s="918"/>
      <c r="I44" s="918"/>
      <c r="J44" s="919"/>
      <c r="L44" s="80"/>
    </row>
    <row r="45" spans="1:12" ht="15">
      <c r="A45" s="98"/>
      <c r="B45" s="76"/>
      <c r="C45" s="78"/>
      <c r="D45" s="78"/>
      <c r="E45" s="77"/>
      <c r="F45" s="76"/>
      <c r="G45" s="77"/>
      <c r="H45" s="77"/>
      <c r="I45" s="79"/>
      <c r="J45" s="79"/>
      <c r="L45" s="80"/>
    </row>
    <row r="46" spans="1:12" ht="15">
      <c r="A46" s="87" t="s">
        <v>476</v>
      </c>
      <c r="B46" s="88">
        <v>47.47</v>
      </c>
      <c r="C46" s="78">
        <v>8.5</v>
      </c>
      <c r="D46" s="78"/>
      <c r="E46" s="77"/>
      <c r="F46" s="88">
        <f>PRODUCT(B46:E46)</f>
        <v>403.495</v>
      </c>
      <c r="G46" s="102">
        <f>F46</f>
        <v>403.495</v>
      </c>
      <c r="H46" s="77" t="s">
        <v>63</v>
      </c>
      <c r="I46" s="79">
        <f>G46*1.1</f>
        <v>443.84450000000004</v>
      </c>
      <c r="J46" s="103">
        <f>I46</f>
        <v>443.84450000000004</v>
      </c>
      <c r="L46" s="80"/>
    </row>
    <row r="47" spans="1:12" ht="15">
      <c r="A47" s="87" t="s">
        <v>477</v>
      </c>
      <c r="B47" s="88">
        <v>47.47</v>
      </c>
      <c r="C47" s="78">
        <v>1.64</v>
      </c>
      <c r="D47" s="78"/>
      <c r="E47" s="77"/>
      <c r="F47" s="88">
        <f>PRODUCT(B47:E47)</f>
        <v>77.850799999999992</v>
      </c>
      <c r="G47" s="102">
        <f>F47</f>
        <v>77.850799999999992</v>
      </c>
      <c r="H47" s="77" t="s">
        <v>63</v>
      </c>
      <c r="I47" s="79">
        <f>G47*1.1</f>
        <v>85.63588</v>
      </c>
      <c r="J47" s="103">
        <f>I47</f>
        <v>85.63588</v>
      </c>
      <c r="L47" s="80"/>
    </row>
    <row r="48" spans="1:12" ht="15">
      <c r="A48" s="87" t="s">
        <v>77</v>
      </c>
      <c r="B48" s="88">
        <v>47.47</v>
      </c>
      <c r="C48" s="78">
        <v>12</v>
      </c>
      <c r="D48" s="78"/>
      <c r="E48" s="77"/>
      <c r="F48" s="88">
        <f>PRODUCT(B48:E48)</f>
        <v>569.64</v>
      </c>
      <c r="G48" s="102">
        <f>F48</f>
        <v>569.64</v>
      </c>
      <c r="H48" s="77" t="s">
        <v>63</v>
      </c>
      <c r="I48" s="79">
        <f>G48*1.1</f>
        <v>626.60400000000004</v>
      </c>
      <c r="J48" s="103">
        <f>I48</f>
        <v>626.60400000000004</v>
      </c>
      <c r="L48" s="80"/>
    </row>
    <row r="49" spans="1:12" ht="15">
      <c r="A49" s="87"/>
      <c r="B49" s="88"/>
      <c r="C49" s="78"/>
      <c r="D49" s="78"/>
      <c r="E49" s="77"/>
      <c r="F49" s="88"/>
      <c r="G49" s="102"/>
      <c r="H49" s="77"/>
      <c r="I49" s="79"/>
      <c r="J49" s="79"/>
      <c r="L49" s="80"/>
    </row>
    <row r="50" spans="1:12" ht="15">
      <c r="A50" s="87"/>
      <c r="B50" s="88"/>
      <c r="C50" s="78"/>
      <c r="D50" s="78"/>
      <c r="E50" s="77"/>
      <c r="F50" s="88"/>
      <c r="G50" s="102"/>
      <c r="H50" s="77"/>
      <c r="I50" s="79"/>
      <c r="J50" s="79"/>
      <c r="L50" s="80"/>
    </row>
    <row r="51" spans="1:12" ht="30">
      <c r="A51" s="114"/>
      <c r="B51" s="115" t="s">
        <v>78</v>
      </c>
      <c r="C51" s="115" t="s">
        <v>55</v>
      </c>
      <c r="D51" s="115" t="s">
        <v>1</v>
      </c>
      <c r="E51" s="116" t="s">
        <v>79</v>
      </c>
      <c r="F51" s="115" t="s">
        <v>80</v>
      </c>
      <c r="G51" s="115"/>
      <c r="H51" s="115"/>
      <c r="I51" s="115"/>
      <c r="J51" s="115"/>
      <c r="L51" s="107"/>
    </row>
    <row r="52" spans="1:12" ht="15">
      <c r="A52" s="920" t="s">
        <v>81</v>
      </c>
      <c r="B52" s="921"/>
      <c r="C52" s="921"/>
      <c r="D52" s="921"/>
      <c r="E52" s="921"/>
      <c r="F52" s="922"/>
      <c r="G52" s="73"/>
      <c r="H52" s="74"/>
      <c r="I52" s="73"/>
      <c r="J52" s="73"/>
    </row>
    <row r="53" spans="1:12" ht="15">
      <c r="A53" s="117"/>
      <c r="B53" s="99"/>
      <c r="C53" s="100"/>
      <c r="D53" s="99"/>
      <c r="E53" s="100"/>
      <c r="F53" s="82"/>
      <c r="G53" s="104"/>
      <c r="H53" s="100"/>
      <c r="I53" s="104"/>
      <c r="J53" s="93"/>
      <c r="L53" s="107"/>
    </row>
    <row r="54" spans="1:12" ht="15">
      <c r="A54" s="117"/>
      <c r="B54" s="99"/>
      <c r="C54" s="100"/>
      <c r="D54" s="99"/>
      <c r="E54" s="100"/>
      <c r="F54" s="82"/>
      <c r="G54" s="104"/>
      <c r="H54" s="100"/>
      <c r="I54" s="104"/>
      <c r="J54" s="93"/>
      <c r="L54" s="107"/>
    </row>
    <row r="55" spans="1:12" ht="15">
      <c r="A55" s="920" t="s">
        <v>82</v>
      </c>
      <c r="B55" s="921"/>
      <c r="C55" s="921"/>
      <c r="D55" s="921"/>
      <c r="E55" s="921"/>
      <c r="F55" s="922"/>
      <c r="G55" s="73"/>
      <c r="H55" s="74"/>
      <c r="I55" s="73"/>
      <c r="J55" s="73"/>
    </row>
    <row r="56" spans="1:12" ht="15">
      <c r="A56" s="75"/>
      <c r="B56" s="82"/>
      <c r="C56" s="100"/>
      <c r="D56" s="99"/>
      <c r="E56" s="100"/>
      <c r="F56" s="82"/>
      <c r="G56" s="92"/>
      <c r="H56" s="100"/>
      <c r="I56" s="92"/>
      <c r="J56" s="93"/>
      <c r="L56" s="80"/>
    </row>
    <row r="57" spans="1:12" ht="15">
      <c r="A57" s="75"/>
      <c r="B57" s="82"/>
      <c r="C57" s="100"/>
      <c r="D57" s="99"/>
      <c r="E57" s="100"/>
      <c r="F57" s="82"/>
      <c r="G57" s="92"/>
      <c r="H57" s="100"/>
      <c r="I57" s="92"/>
      <c r="J57" s="93"/>
      <c r="L57" s="80"/>
    </row>
    <row r="58" spans="1:12" ht="24.9" customHeight="1">
      <c r="A58" s="920" t="s">
        <v>83</v>
      </c>
      <c r="B58" s="921"/>
      <c r="C58" s="921"/>
      <c r="D58" s="921"/>
      <c r="E58" s="921"/>
      <c r="F58" s="922"/>
      <c r="G58" s="73"/>
      <c r="H58" s="74"/>
      <c r="I58" s="73"/>
      <c r="J58" s="73"/>
    </row>
    <row r="59" spans="1:12" ht="15">
      <c r="A59" s="75"/>
      <c r="B59" s="118"/>
      <c r="C59" s="104"/>
      <c r="D59" s="104"/>
      <c r="E59" s="118"/>
      <c r="F59" s="82"/>
      <c r="G59" s="100"/>
      <c r="H59" s="100"/>
      <c r="I59" s="92"/>
      <c r="J59" s="101"/>
    </row>
    <row r="60" spans="1:12" ht="15">
      <c r="A60" s="75"/>
      <c r="B60" s="118"/>
      <c r="C60" s="104"/>
      <c r="D60" s="104"/>
      <c r="E60" s="118"/>
      <c r="F60" s="82"/>
      <c r="G60" s="100"/>
      <c r="H60" s="100"/>
      <c r="I60" s="92"/>
      <c r="J60" s="101"/>
      <c r="L60" s="80"/>
    </row>
    <row r="61" spans="1:12" ht="15">
      <c r="A61" s="917" t="s">
        <v>84</v>
      </c>
      <c r="B61" s="918"/>
      <c r="C61" s="918"/>
      <c r="D61" s="918"/>
      <c r="E61" s="918"/>
      <c r="F61" s="918"/>
      <c r="G61" s="918"/>
      <c r="H61" s="918"/>
      <c r="I61" s="918"/>
      <c r="J61" s="919"/>
      <c r="L61" s="107"/>
    </row>
    <row r="62" spans="1:12" ht="24.9" customHeight="1">
      <c r="A62" s="920"/>
      <c r="B62" s="921"/>
      <c r="C62" s="921"/>
      <c r="D62" s="921"/>
      <c r="E62" s="921"/>
      <c r="F62" s="922"/>
      <c r="G62" s="73"/>
      <c r="H62" s="74"/>
      <c r="I62" s="73"/>
      <c r="J62" s="73"/>
    </row>
    <row r="63" spans="1:12" ht="15">
      <c r="A63" s="75"/>
      <c r="B63" s="118"/>
      <c r="C63" s="100"/>
      <c r="D63" s="99"/>
      <c r="E63" s="100"/>
      <c r="F63" s="82"/>
      <c r="G63" s="100"/>
      <c r="H63" s="100"/>
      <c r="I63" s="92"/>
      <c r="J63" s="79"/>
      <c r="L63" s="80"/>
    </row>
    <row r="64" spans="1:12" ht="15">
      <c r="A64" s="119"/>
      <c r="B64" s="120"/>
      <c r="C64" s="121"/>
      <c r="D64" s="122"/>
      <c r="E64" s="121"/>
      <c r="F64" s="123"/>
      <c r="G64" s="121"/>
      <c r="H64" s="121"/>
      <c r="I64" s="124"/>
      <c r="J64" s="124"/>
      <c r="L64" s="80"/>
    </row>
    <row r="65" spans="1:12" ht="15">
      <c r="A65" s="923" t="s">
        <v>85</v>
      </c>
      <c r="B65" s="924"/>
      <c r="C65" s="924"/>
      <c r="D65" s="924"/>
      <c r="E65" s="924"/>
      <c r="F65" s="924"/>
      <c r="G65" s="924"/>
      <c r="H65" s="924"/>
      <c r="I65" s="924"/>
      <c r="J65" s="925"/>
      <c r="L65" s="80"/>
    </row>
    <row r="66" spans="1:12" ht="15">
      <c r="A66" s="914" t="s">
        <v>86</v>
      </c>
      <c r="B66" s="915"/>
      <c r="C66" s="915"/>
      <c r="D66" s="915"/>
      <c r="E66" s="915"/>
      <c r="F66" s="915"/>
      <c r="G66" s="915"/>
      <c r="H66" s="915"/>
      <c r="I66" s="125"/>
      <c r="J66" s="255"/>
      <c r="L66" s="80"/>
    </row>
    <row r="67" spans="1:12" ht="15">
      <c r="A67" s="371" t="s">
        <v>87</v>
      </c>
      <c r="B67" s="82"/>
      <c r="C67" s="91"/>
      <c r="D67" s="78"/>
      <c r="E67" s="77"/>
      <c r="F67" s="76"/>
      <c r="G67" s="77"/>
      <c r="H67" s="77"/>
      <c r="I67" s="79"/>
      <c r="J67" s="101"/>
      <c r="L67" s="80"/>
    </row>
    <row r="68" spans="1:12" ht="15">
      <c r="A68" s="84"/>
      <c r="B68" s="82"/>
      <c r="C68" s="91"/>
      <c r="D68" s="78"/>
      <c r="E68" s="77"/>
      <c r="F68" s="76">
        <f>PRODUCT(B68:E68)</f>
        <v>0</v>
      </c>
      <c r="G68" s="77"/>
      <c r="H68" s="77" t="s">
        <v>5</v>
      </c>
      <c r="I68" s="79">
        <f>F68*1.1</f>
        <v>0</v>
      </c>
      <c r="J68" s="79">
        <f>I68</f>
        <v>0</v>
      </c>
      <c r="L68" s="80"/>
    </row>
    <row r="69" spans="1:12" ht="15">
      <c r="A69" s="84"/>
      <c r="B69" s="82"/>
      <c r="C69" s="91"/>
      <c r="D69" s="78"/>
      <c r="E69" s="77"/>
      <c r="F69" s="76">
        <f>PRODUCT(B69:E69)</f>
        <v>0</v>
      </c>
      <c r="G69" s="77"/>
      <c r="H69" s="77" t="s">
        <v>5</v>
      </c>
      <c r="I69" s="79">
        <f t="shared" ref="I69:I70" si="6">F69*1.1</f>
        <v>0</v>
      </c>
      <c r="J69" s="79">
        <f t="shared" ref="J69:J70" si="7">I69</f>
        <v>0</v>
      </c>
      <c r="L69" s="80"/>
    </row>
    <row r="70" spans="1:12" ht="15">
      <c r="A70" s="84"/>
      <c r="B70" s="82"/>
      <c r="C70" s="91"/>
      <c r="D70" s="78"/>
      <c r="E70" s="77"/>
      <c r="F70" s="76">
        <f>PRODUCT(B70:E70)</f>
        <v>0</v>
      </c>
      <c r="G70" s="77"/>
      <c r="H70" s="77" t="s">
        <v>5</v>
      </c>
      <c r="I70" s="79">
        <f t="shared" si="6"/>
        <v>0</v>
      </c>
      <c r="J70" s="79">
        <f t="shared" si="7"/>
        <v>0</v>
      </c>
      <c r="L70" s="80"/>
    </row>
    <row r="71" spans="1:12" ht="15">
      <c r="A71" s="371"/>
      <c r="B71" s="82"/>
      <c r="C71" s="91"/>
      <c r="D71" s="78"/>
      <c r="E71" s="77"/>
      <c r="F71" s="76"/>
      <c r="G71" s="77"/>
      <c r="H71" s="77"/>
      <c r="I71" s="79"/>
      <c r="J71" s="101">
        <f>SUM(J68:J70)</f>
        <v>0</v>
      </c>
      <c r="L71" s="80"/>
    </row>
    <row r="72" spans="1:12" ht="15">
      <c r="A72" s="84"/>
      <c r="B72" s="82"/>
      <c r="C72" s="91"/>
      <c r="D72" s="99"/>
      <c r="E72" s="100"/>
      <c r="F72" s="82"/>
      <c r="G72" s="100"/>
      <c r="H72" s="100"/>
      <c r="I72" s="79"/>
      <c r="J72" s="79"/>
      <c r="L72" s="80"/>
    </row>
    <row r="73" spans="1:12" ht="15">
      <c r="A73" s="371" t="s">
        <v>88</v>
      </c>
      <c r="B73" s="88"/>
      <c r="C73" s="91"/>
      <c r="D73" s="90"/>
      <c r="E73" s="91"/>
      <c r="F73" s="82"/>
      <c r="G73" s="91"/>
      <c r="H73" s="91"/>
      <c r="I73" s="79"/>
      <c r="J73" s="79"/>
      <c r="L73" s="80"/>
    </row>
    <row r="74" spans="1:12" ht="15">
      <c r="A74" s="84" t="str">
        <f>A16</f>
        <v>~CS04A</v>
      </c>
      <c r="B74" s="82">
        <f>B16</f>
        <v>48.88</v>
      </c>
      <c r="C74" s="91">
        <v>14.7</v>
      </c>
      <c r="D74" s="78"/>
      <c r="E74" s="77"/>
      <c r="F74" s="76">
        <f>PRODUCT(B74:E74)</f>
        <v>718.53600000000006</v>
      </c>
      <c r="G74" s="77"/>
      <c r="H74" s="77" t="s">
        <v>5</v>
      </c>
      <c r="I74" s="79">
        <f>F74*1.1</f>
        <v>790.38960000000009</v>
      </c>
      <c r="J74" s="128">
        <f>I74</f>
        <v>790.38960000000009</v>
      </c>
      <c r="L74" s="80"/>
    </row>
    <row r="75" spans="1:12" ht="15">
      <c r="A75" s="84" t="str">
        <f t="shared" ref="A75:B76" si="8">A17</f>
        <v>CS04A-CS05</v>
      </c>
      <c r="B75" s="82">
        <f t="shared" si="8"/>
        <v>15.52</v>
      </c>
      <c r="C75" s="91">
        <v>13.93</v>
      </c>
      <c r="D75" s="78"/>
      <c r="E75" s="77"/>
      <c r="F75" s="76">
        <f>PRODUCT(B75:E75)</f>
        <v>216.1936</v>
      </c>
      <c r="G75" s="77"/>
      <c r="H75" s="77" t="s">
        <v>5</v>
      </c>
      <c r="I75" s="79">
        <f t="shared" ref="I75:I76" si="9">F75*1.1</f>
        <v>237.81296000000003</v>
      </c>
      <c r="J75" s="128">
        <f t="shared" ref="J75:J76" si="10">I75</f>
        <v>237.81296000000003</v>
      </c>
      <c r="L75" s="80"/>
    </row>
    <row r="76" spans="1:12" ht="15">
      <c r="A76" s="84" t="str">
        <f t="shared" si="8"/>
        <v>CS05~</v>
      </c>
      <c r="B76" s="82">
        <f t="shared" si="8"/>
        <v>20.73</v>
      </c>
      <c r="C76" s="91">
        <v>13.15</v>
      </c>
      <c r="D76" s="78"/>
      <c r="E76" s="77"/>
      <c r="F76" s="76">
        <f>PRODUCT(B76:E76)</f>
        <v>272.59950000000003</v>
      </c>
      <c r="G76" s="77"/>
      <c r="H76" s="77" t="s">
        <v>5</v>
      </c>
      <c r="I76" s="79">
        <f t="shared" si="9"/>
        <v>299.85945000000004</v>
      </c>
      <c r="J76" s="128">
        <f t="shared" si="10"/>
        <v>299.85945000000004</v>
      </c>
      <c r="L76" s="80"/>
    </row>
    <row r="77" spans="1:12" ht="15">
      <c r="A77" s="84"/>
      <c r="B77" s="82"/>
      <c r="C77" s="91"/>
      <c r="D77" s="78"/>
      <c r="E77" s="77"/>
      <c r="F77" s="76"/>
      <c r="G77" s="77"/>
      <c r="H77" s="77"/>
      <c r="I77" s="79"/>
      <c r="J77" s="103">
        <f>SUM(J74:J76)</f>
        <v>1328.0620100000001</v>
      </c>
      <c r="L77" s="80"/>
    </row>
    <row r="78" spans="1:12" ht="15">
      <c r="A78" s="84"/>
      <c r="B78" s="88"/>
      <c r="C78" s="91"/>
      <c r="D78" s="90"/>
      <c r="E78" s="91"/>
      <c r="F78" s="88"/>
      <c r="G78" s="91"/>
      <c r="H78" s="129"/>
      <c r="I78" s="79"/>
      <c r="J78" s="79"/>
      <c r="L78" s="80"/>
    </row>
    <row r="79" spans="1:12" ht="15">
      <c r="A79" s="84"/>
      <c r="B79" s="88"/>
      <c r="C79" s="91"/>
      <c r="D79" s="90"/>
      <c r="E79" s="91"/>
      <c r="F79" s="88"/>
      <c r="G79" s="91"/>
      <c r="H79" s="77"/>
      <c r="I79" s="79"/>
      <c r="J79" s="79"/>
      <c r="L79" s="80"/>
    </row>
    <row r="80" spans="1:12" ht="15">
      <c r="A80" s="84"/>
      <c r="B80" s="88"/>
      <c r="C80" s="91"/>
      <c r="D80" s="90"/>
      <c r="E80" s="91"/>
      <c r="F80" s="88"/>
      <c r="G80" s="91"/>
      <c r="H80" s="77"/>
      <c r="I80" s="79"/>
      <c r="J80" s="79"/>
      <c r="L80" s="80"/>
    </row>
    <row r="81" spans="1:12" ht="15">
      <c r="A81" s="914" t="s">
        <v>90</v>
      </c>
      <c r="B81" s="915"/>
      <c r="C81" s="915"/>
      <c r="D81" s="915"/>
      <c r="E81" s="915"/>
      <c r="F81" s="915"/>
      <c r="G81" s="915"/>
      <c r="H81" s="915"/>
      <c r="I81" s="915"/>
      <c r="J81" s="916"/>
      <c r="L81" s="80"/>
    </row>
    <row r="82" spans="1:12" ht="15">
      <c r="A82" s="130"/>
      <c r="B82" s="131"/>
      <c r="C82" s="77"/>
      <c r="D82" s="78"/>
      <c r="E82" s="77"/>
      <c r="F82" s="76"/>
      <c r="G82" s="77"/>
      <c r="H82" s="77"/>
      <c r="I82" s="79"/>
      <c r="J82" s="79"/>
      <c r="L82" s="80"/>
    </row>
    <row r="83" spans="1:12" ht="13.5" customHeight="1">
      <c r="A83" s="372" t="s">
        <v>478</v>
      </c>
      <c r="B83" s="131"/>
      <c r="C83" s="77"/>
      <c r="D83" s="78"/>
      <c r="E83" s="77"/>
      <c r="F83" s="76">
        <f t="shared" ref="F83" si="11">PRODUCT(B83:E83)</f>
        <v>0</v>
      </c>
      <c r="G83" s="77"/>
      <c r="H83" s="77" t="s">
        <v>5</v>
      </c>
      <c r="I83" s="79"/>
      <c r="J83" s="101">
        <f t="shared" ref="J83" si="12">F83</f>
        <v>0</v>
      </c>
      <c r="L83" s="80"/>
    </row>
    <row r="84" spans="1:12" ht="15">
      <c r="A84" s="130"/>
      <c r="B84" s="131"/>
      <c r="C84" s="77"/>
      <c r="D84" s="78"/>
      <c r="E84" s="77"/>
      <c r="F84" s="76"/>
      <c r="G84" s="77"/>
      <c r="H84" s="77"/>
      <c r="I84" s="79"/>
      <c r="J84" s="79"/>
      <c r="L84" s="80"/>
    </row>
    <row r="85" spans="1:12" ht="15" customHeight="1">
      <c r="A85" s="372" t="s">
        <v>479</v>
      </c>
      <c r="B85" s="131"/>
      <c r="C85" s="77"/>
      <c r="D85" s="78"/>
      <c r="E85" s="77"/>
      <c r="F85" s="76">
        <f>PRODUCT(B85:E85)</f>
        <v>0</v>
      </c>
      <c r="G85" s="77"/>
      <c r="H85" s="77" t="s">
        <v>5</v>
      </c>
      <c r="I85" s="79"/>
      <c r="J85" s="79">
        <f>F85</f>
        <v>0</v>
      </c>
      <c r="L85" s="80"/>
    </row>
    <row r="86" spans="1:12" ht="15">
      <c r="A86" s="372" t="s">
        <v>480</v>
      </c>
      <c r="B86" s="118"/>
      <c r="C86" s="100"/>
      <c r="D86" s="99"/>
      <c r="E86" s="100"/>
      <c r="F86" s="76">
        <f t="shared" ref="F86:F88" si="13">PRODUCT(B86:E86)</f>
        <v>0</v>
      </c>
      <c r="G86" s="100"/>
      <c r="H86" s="77" t="s">
        <v>5</v>
      </c>
      <c r="I86" s="92"/>
      <c r="J86" s="79">
        <f t="shared" ref="J86:J88" si="14">F86</f>
        <v>0</v>
      </c>
      <c r="L86" s="80"/>
    </row>
    <row r="87" spans="1:12" ht="15">
      <c r="A87" s="372" t="s">
        <v>481</v>
      </c>
      <c r="B87" s="118"/>
      <c r="C87" s="100"/>
      <c r="D87" s="99"/>
      <c r="E87" s="100"/>
      <c r="F87" s="76">
        <f t="shared" si="13"/>
        <v>0</v>
      </c>
      <c r="G87" s="100"/>
      <c r="H87" s="77" t="s">
        <v>5</v>
      </c>
      <c r="I87" s="92"/>
      <c r="J87" s="79">
        <f t="shared" si="14"/>
        <v>0</v>
      </c>
      <c r="L87" s="80"/>
    </row>
    <row r="88" spans="1:12" ht="15">
      <c r="A88" s="372" t="s">
        <v>482</v>
      </c>
      <c r="B88" s="89"/>
      <c r="C88" s="91"/>
      <c r="D88" s="90"/>
      <c r="E88" s="91"/>
      <c r="F88" s="76">
        <f t="shared" si="13"/>
        <v>0</v>
      </c>
      <c r="G88" s="91"/>
      <c r="H88" s="77" t="s">
        <v>5</v>
      </c>
      <c r="I88" s="102"/>
      <c r="J88" s="79">
        <f t="shared" si="14"/>
        <v>0</v>
      </c>
      <c r="L88" s="80"/>
    </row>
    <row r="89" spans="1:12" ht="15">
      <c r="A89" s="372"/>
      <c r="B89" s="89"/>
      <c r="C89" s="91"/>
      <c r="D89" s="90"/>
      <c r="E89" s="91"/>
      <c r="F89" s="88"/>
      <c r="G89" s="91"/>
      <c r="H89" s="91"/>
      <c r="I89" s="102"/>
      <c r="J89" s="134">
        <f>SUM(J85:J88)</f>
        <v>0</v>
      </c>
      <c r="L89" s="80"/>
    </row>
    <row r="90" spans="1:12" ht="15">
      <c r="A90" s="372"/>
      <c r="B90" s="89"/>
      <c r="C90" s="91"/>
      <c r="D90" s="90"/>
      <c r="E90" s="91"/>
      <c r="F90" s="88"/>
      <c r="G90" s="91"/>
      <c r="H90" s="91"/>
      <c r="I90" s="102"/>
      <c r="J90" s="134"/>
      <c r="L90" s="80"/>
    </row>
    <row r="91" spans="1:12" ht="15">
      <c r="A91" s="914" t="s">
        <v>91</v>
      </c>
      <c r="B91" s="915"/>
      <c r="C91" s="915"/>
      <c r="D91" s="915"/>
      <c r="E91" s="915"/>
      <c r="F91" s="915"/>
      <c r="G91" s="915"/>
      <c r="H91" s="915"/>
      <c r="I91" s="915"/>
      <c r="J91" s="916"/>
      <c r="L91" s="80"/>
    </row>
    <row r="92" spans="1:12" ht="15">
      <c r="A92" s="130" t="s">
        <v>6</v>
      </c>
      <c r="B92" s="131"/>
      <c r="C92" s="77"/>
      <c r="D92" s="78"/>
      <c r="E92" s="77"/>
      <c r="F92" s="76">
        <f t="shared" ref="F92:F93" si="15">PRODUCT(B92:E92)</f>
        <v>0</v>
      </c>
      <c r="G92" s="79">
        <f>F92</f>
        <v>0</v>
      </c>
      <c r="H92" s="77" t="s">
        <v>5</v>
      </c>
      <c r="I92" s="79">
        <f>G92*1.1</f>
        <v>0</v>
      </c>
      <c r="J92" s="79">
        <f>I92*1.1</f>
        <v>0</v>
      </c>
      <c r="L92" s="80"/>
    </row>
    <row r="93" spans="1:12" ht="15">
      <c r="A93" s="130" t="s">
        <v>7</v>
      </c>
      <c r="B93" s="131"/>
      <c r="C93" s="77"/>
      <c r="D93" s="78"/>
      <c r="E93" s="77"/>
      <c r="F93" s="76">
        <f t="shared" si="15"/>
        <v>0</v>
      </c>
      <c r="G93" s="79">
        <f>F93</f>
        <v>0</v>
      </c>
      <c r="H93" s="77" t="s">
        <v>5</v>
      </c>
      <c r="I93" s="79">
        <f>G93*1.1</f>
        <v>0</v>
      </c>
      <c r="J93" s="79">
        <f>I93*1.1</f>
        <v>0</v>
      </c>
      <c r="L93" s="80"/>
    </row>
    <row r="94" spans="1:12" ht="15">
      <c r="A94" s="84"/>
      <c r="B94" s="118"/>
      <c r="C94" s="100"/>
      <c r="D94" s="99"/>
      <c r="E94" s="100"/>
      <c r="F94" s="82"/>
      <c r="G94" s="100"/>
      <c r="H94" s="100"/>
      <c r="I94" s="92"/>
      <c r="J94" s="93">
        <f>SUM(J92:J93)</f>
        <v>0</v>
      </c>
      <c r="L94" s="80"/>
    </row>
    <row r="95" spans="1:12" ht="15">
      <c r="A95" s="84"/>
      <c r="B95" s="118"/>
      <c r="C95" s="100"/>
      <c r="D95" s="99"/>
      <c r="E95" s="100"/>
      <c r="F95" s="82"/>
      <c r="G95" s="100"/>
      <c r="H95" s="100"/>
      <c r="I95" s="92"/>
      <c r="J95" s="93"/>
      <c r="L95" s="80"/>
    </row>
    <row r="96" spans="1:12" ht="15">
      <c r="A96" s="920" t="s">
        <v>483</v>
      </c>
      <c r="B96" s="921"/>
      <c r="C96" s="921"/>
      <c r="D96" s="921"/>
      <c r="E96" s="921"/>
      <c r="F96" s="922"/>
      <c r="G96" s="73"/>
      <c r="H96" s="74"/>
      <c r="I96" s="73"/>
      <c r="J96" s="73"/>
      <c r="L96" s="80"/>
    </row>
    <row r="97" spans="1:12" ht="15">
      <c r="A97" s="135" t="s">
        <v>484</v>
      </c>
      <c r="B97" s="89">
        <v>15</v>
      </c>
      <c r="C97" s="90"/>
      <c r="D97" s="136"/>
      <c r="E97" s="91">
        <v>4</v>
      </c>
      <c r="F97" s="82">
        <f>B97*E97</f>
        <v>60</v>
      </c>
      <c r="G97" s="92"/>
      <c r="H97" s="100" t="s">
        <v>5</v>
      </c>
      <c r="I97" s="92"/>
      <c r="J97" s="373">
        <f>F97</f>
        <v>60</v>
      </c>
      <c r="L97" s="80"/>
    </row>
    <row r="98" spans="1:12" ht="15">
      <c r="A98" s="135"/>
      <c r="B98" s="89">
        <v>10</v>
      </c>
      <c r="C98" s="90"/>
      <c r="D98" s="136"/>
      <c r="E98" s="91">
        <v>5</v>
      </c>
      <c r="F98" s="82">
        <f>B98*E98</f>
        <v>50</v>
      </c>
      <c r="G98" s="92"/>
      <c r="H98" s="100" t="s">
        <v>5</v>
      </c>
      <c r="I98" s="92"/>
      <c r="J98" s="373">
        <f>F98</f>
        <v>50</v>
      </c>
    </row>
    <row r="99" spans="1:12" ht="15">
      <c r="A99" s="135"/>
      <c r="B99" s="89"/>
      <c r="C99" s="90"/>
      <c r="D99" s="136"/>
      <c r="E99" s="91"/>
      <c r="F99" s="88"/>
      <c r="G99" s="102"/>
      <c r="H99" s="91"/>
      <c r="I99" s="102"/>
      <c r="J99" s="138">
        <f>SUM(J97:J98)</f>
        <v>110</v>
      </c>
    </row>
    <row r="100" spans="1:12" ht="15">
      <c r="A100" s="87"/>
      <c r="B100" s="89"/>
      <c r="C100" s="90"/>
      <c r="D100" s="136"/>
      <c r="E100" s="91"/>
      <c r="F100" s="88"/>
      <c r="G100" s="102"/>
      <c r="H100" s="91"/>
      <c r="I100" s="102"/>
      <c r="J100" s="102"/>
    </row>
    <row r="101" spans="1:12" ht="15">
      <c r="A101" s="914" t="s">
        <v>485</v>
      </c>
      <c r="B101" s="915"/>
      <c r="C101" s="915"/>
      <c r="D101" s="915"/>
      <c r="E101" s="915"/>
      <c r="F101" s="915"/>
      <c r="G101" s="915"/>
      <c r="H101" s="915"/>
      <c r="I101" s="915"/>
      <c r="J101" s="916"/>
    </row>
    <row r="102" spans="1:12" ht="15">
      <c r="A102" s="250"/>
      <c r="B102" s="251"/>
      <c r="C102" s="251"/>
      <c r="D102" s="251"/>
      <c r="E102" s="251"/>
      <c r="F102" s="251"/>
      <c r="G102" s="251"/>
      <c r="H102" s="251"/>
      <c r="I102" s="251"/>
      <c r="J102" s="252"/>
    </row>
    <row r="103" spans="1:12" ht="15">
      <c r="A103" s="142"/>
      <c r="B103" s="143"/>
      <c r="C103" s="144"/>
      <c r="D103" s="145"/>
      <c r="E103" s="144"/>
      <c r="F103" s="146">
        <f>B103</f>
        <v>0</v>
      </c>
      <c r="G103" s="144"/>
      <c r="H103" s="144" t="s">
        <v>5</v>
      </c>
      <c r="I103" s="147">
        <f>F103*1.1</f>
        <v>0</v>
      </c>
      <c r="J103" s="148">
        <f>I103</f>
        <v>0</v>
      </c>
    </row>
    <row r="105" spans="1:12" ht="15">
      <c r="A105" s="914" t="s">
        <v>92</v>
      </c>
      <c r="B105" s="915"/>
      <c r="C105" s="915"/>
      <c r="D105" s="915"/>
      <c r="E105" s="915"/>
      <c r="F105" s="915"/>
      <c r="G105" s="915"/>
      <c r="H105" s="915"/>
      <c r="I105" s="915"/>
      <c r="J105" s="916"/>
    </row>
    <row r="106" spans="1:12" ht="15">
      <c r="A106" s="149"/>
      <c r="B106" s="82"/>
      <c r="C106" s="91"/>
      <c r="D106" s="82"/>
      <c r="E106" s="91"/>
      <c r="F106" s="82"/>
      <c r="G106" s="92"/>
      <c r="H106" s="100"/>
      <c r="I106" s="92"/>
      <c r="J106" s="92"/>
    </row>
    <row r="107" spans="1:12" ht="15">
      <c r="A107" s="899" t="s">
        <v>93</v>
      </c>
      <c r="B107" s="900"/>
      <c r="C107" s="900"/>
      <c r="D107" s="900"/>
      <c r="E107" s="900"/>
      <c r="F107" s="900"/>
      <c r="G107" s="900"/>
      <c r="H107" s="900"/>
      <c r="I107" s="900"/>
      <c r="J107" s="901"/>
    </row>
    <row r="108" spans="1:12" ht="15">
      <c r="A108" s="84"/>
      <c r="B108" s="82"/>
      <c r="C108" s="91"/>
      <c r="D108" s="82"/>
      <c r="E108" s="91"/>
      <c r="F108" s="82"/>
      <c r="G108" s="92"/>
      <c r="H108" s="100"/>
      <c r="I108" s="92"/>
      <c r="J108" s="92"/>
    </row>
    <row r="109" spans="1:12" ht="15">
      <c r="A109" s="84"/>
      <c r="B109" s="88"/>
      <c r="C109" s="91"/>
      <c r="D109" s="88"/>
      <c r="E109" s="91"/>
      <c r="F109" s="88"/>
      <c r="G109" s="102"/>
      <c r="H109" s="91"/>
      <c r="I109" s="102"/>
      <c r="J109" s="150"/>
    </row>
  </sheetData>
  <mergeCells count="29">
    <mergeCell ref="A91:J91"/>
    <mergeCell ref="A96:F96"/>
    <mergeCell ref="A101:J101"/>
    <mergeCell ref="A105:J105"/>
    <mergeCell ref="A107:J107"/>
    <mergeCell ref="A81:J81"/>
    <mergeCell ref="A39:J39"/>
    <mergeCell ref="A40:F40"/>
    <mergeCell ref="A43:F43"/>
    <mergeCell ref="A44:J44"/>
    <mergeCell ref="A52:F52"/>
    <mergeCell ref="A55:F55"/>
    <mergeCell ref="A58:F58"/>
    <mergeCell ref="A61:J61"/>
    <mergeCell ref="A62:F62"/>
    <mergeCell ref="A65:J65"/>
    <mergeCell ref="A66:H66"/>
    <mergeCell ref="A38:J38"/>
    <mergeCell ref="A1:J1"/>
    <mergeCell ref="A3:J3"/>
    <mergeCell ref="A4:F4"/>
    <mergeCell ref="A11:J11"/>
    <mergeCell ref="A12:F12"/>
    <mergeCell ref="A13:F13"/>
    <mergeCell ref="A14:F14"/>
    <mergeCell ref="A22:F22"/>
    <mergeCell ref="A23:F23"/>
    <mergeCell ref="A24:F24"/>
    <mergeCell ref="A31:J31"/>
  </mergeCells>
  <pageMargins left="0.7" right="0.7" top="0.75" bottom="0.75" header="0.3" footer="0.3"/>
  <pageSetup paperSize="9" scale="63" orientation="portrait" r:id="rId1"/>
  <rowBreaks count="1" manualBreakCount="1">
    <brk id="41"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EE1CE-350F-4BF2-B885-620503F88F50}">
  <dimension ref="B3:W468"/>
  <sheetViews>
    <sheetView zoomScale="70" zoomScaleNormal="70" workbookViewId="0">
      <pane ySplit="1" topLeftCell="A83" activePane="bottomLeft" state="frozen"/>
      <selection activeCell="F9" sqref="F9"/>
      <selection pane="bottomLeft" activeCell="F9" sqref="F9"/>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95</v>
      </c>
      <c r="C3" s="151" t="s">
        <v>96</v>
      </c>
      <c r="D3" s="151" t="s">
        <v>97</v>
      </c>
      <c r="E3" s="151" t="s">
        <v>98</v>
      </c>
      <c r="F3" s="151" t="s">
        <v>99</v>
      </c>
      <c r="G3" s="151"/>
      <c r="H3" s="928" t="s">
        <v>100</v>
      </c>
      <c r="I3" s="928"/>
      <c r="J3" s="928"/>
      <c r="K3" s="151" t="s">
        <v>101</v>
      </c>
      <c r="L3" s="152" t="s">
        <v>102</v>
      </c>
      <c r="M3" s="153"/>
    </row>
    <row r="4" spans="2:23" ht="19.5" customHeight="1">
      <c r="B4" s="155"/>
      <c r="C4" s="155"/>
      <c r="D4" s="155"/>
      <c r="E4" s="155"/>
      <c r="F4" s="156" t="s">
        <v>98</v>
      </c>
      <c r="G4" s="156" t="s">
        <v>103</v>
      </c>
      <c r="H4" s="156" t="s">
        <v>104</v>
      </c>
      <c r="I4" s="156" t="s">
        <v>103</v>
      </c>
      <c r="J4" s="156" t="s">
        <v>105</v>
      </c>
      <c r="K4" s="156" t="s">
        <v>106</v>
      </c>
      <c r="L4" s="157" t="s">
        <v>107</v>
      </c>
      <c r="M4" s="157" t="s">
        <v>108</v>
      </c>
    </row>
    <row r="5" spans="2:23">
      <c r="B5" s="158"/>
      <c r="C5" s="158"/>
      <c r="D5" s="158"/>
      <c r="E5" s="158"/>
      <c r="F5" s="159"/>
      <c r="G5" s="159"/>
      <c r="H5" s="159"/>
      <c r="I5" s="159"/>
      <c r="J5" s="159"/>
      <c r="K5" s="160"/>
      <c r="L5" s="160"/>
      <c r="M5" s="160"/>
    </row>
    <row r="6" spans="2:23" ht="18">
      <c r="B6" s="160" t="s">
        <v>109</v>
      </c>
      <c r="C6" s="161">
        <v>0.3</v>
      </c>
      <c r="D6" s="161">
        <v>0.3</v>
      </c>
      <c r="E6" s="161">
        <v>0.1</v>
      </c>
      <c r="F6" s="161">
        <v>0.05</v>
      </c>
      <c r="G6" s="161">
        <v>10</v>
      </c>
      <c r="H6" s="161">
        <v>0.2</v>
      </c>
      <c r="I6" s="161">
        <v>10</v>
      </c>
      <c r="J6" s="161">
        <v>0.25</v>
      </c>
      <c r="K6" s="161">
        <v>3</v>
      </c>
      <c r="L6" s="160"/>
      <c r="M6" s="160"/>
      <c r="T6" s="929" t="s">
        <v>110</v>
      </c>
      <c r="U6" s="929"/>
    </row>
    <row r="7" spans="2:23">
      <c r="B7" s="160"/>
      <c r="C7" s="161"/>
      <c r="D7" s="161"/>
      <c r="E7" s="161"/>
      <c r="F7" s="161"/>
      <c r="G7" s="161"/>
      <c r="H7" s="160"/>
      <c r="I7" s="160"/>
      <c r="J7" s="160"/>
      <c r="K7" s="161"/>
      <c r="L7" s="160"/>
      <c r="M7" s="160"/>
      <c r="S7" s="162"/>
      <c r="V7" s="162"/>
      <c r="W7" s="930" t="s">
        <v>6</v>
      </c>
    </row>
    <row r="8" spans="2:23">
      <c r="B8" s="160"/>
      <c r="C8" s="161"/>
      <c r="D8" s="161"/>
      <c r="E8" s="161"/>
      <c r="F8" s="161"/>
      <c r="G8" s="161"/>
      <c r="H8" s="160"/>
      <c r="I8" s="160"/>
      <c r="J8" s="160"/>
      <c r="K8" s="161"/>
      <c r="L8" s="160"/>
      <c r="M8" s="160"/>
      <c r="S8" s="162"/>
      <c r="V8" s="162"/>
      <c r="W8" s="930"/>
    </row>
    <row r="9" spans="2:23">
      <c r="B9" s="160" t="s">
        <v>111</v>
      </c>
      <c r="C9" s="161">
        <v>0.45</v>
      </c>
      <c r="D9" s="161">
        <v>0.45</v>
      </c>
      <c r="E9" s="161">
        <v>0.1</v>
      </c>
      <c r="F9" s="161">
        <v>0.05</v>
      </c>
      <c r="G9" s="161">
        <v>10</v>
      </c>
      <c r="H9" s="161">
        <v>0.2</v>
      </c>
      <c r="I9" s="161">
        <v>10</v>
      </c>
      <c r="J9" s="161">
        <v>0.25</v>
      </c>
      <c r="K9" s="161">
        <v>3</v>
      </c>
      <c r="L9" s="160"/>
      <c r="M9" s="160"/>
      <c r="S9" s="162"/>
      <c r="V9" s="162"/>
      <c r="W9" s="930"/>
    </row>
    <row r="10" spans="2:23">
      <c r="B10" s="160"/>
      <c r="C10" s="161"/>
      <c r="D10" s="161"/>
      <c r="E10" s="161"/>
      <c r="F10" s="161"/>
      <c r="G10" s="161"/>
      <c r="H10" s="161"/>
      <c r="I10" s="161"/>
      <c r="J10" s="161"/>
      <c r="K10" s="161"/>
      <c r="L10" s="160"/>
      <c r="M10" s="160"/>
      <c r="S10" s="162"/>
      <c r="V10" s="162"/>
      <c r="W10" s="930"/>
    </row>
    <row r="11" spans="2:23">
      <c r="B11" s="160"/>
      <c r="C11" s="161"/>
      <c r="D11" s="161"/>
      <c r="E11" s="161"/>
      <c r="F11" s="161"/>
      <c r="G11" s="161"/>
      <c r="H11" s="160"/>
      <c r="I11" s="160"/>
      <c r="J11" s="160"/>
      <c r="K11" s="161"/>
      <c r="L11" s="160"/>
      <c r="M11" s="160"/>
      <c r="S11" s="162"/>
      <c r="V11" s="162"/>
      <c r="W11" s="930"/>
    </row>
    <row r="12" spans="2:23">
      <c r="B12" s="160" t="s">
        <v>112</v>
      </c>
      <c r="C12" s="161">
        <v>0.6</v>
      </c>
      <c r="D12" s="161">
        <v>0.6</v>
      </c>
      <c r="E12" s="161">
        <v>0.1</v>
      </c>
      <c r="F12" s="161">
        <v>0.05</v>
      </c>
      <c r="G12" s="161">
        <v>10</v>
      </c>
      <c r="H12" s="160">
        <v>0.2</v>
      </c>
      <c r="I12" s="160">
        <v>10</v>
      </c>
      <c r="J12" s="160">
        <v>0.25</v>
      </c>
      <c r="K12" s="161">
        <v>3</v>
      </c>
      <c r="L12" s="160"/>
      <c r="M12" s="160"/>
      <c r="S12" s="162"/>
      <c r="V12" s="162"/>
      <c r="W12" s="930"/>
    </row>
    <row r="13" spans="2:23">
      <c r="B13" s="160"/>
      <c r="C13" s="161"/>
      <c r="D13" s="161"/>
      <c r="E13" s="161"/>
      <c r="F13" s="161"/>
      <c r="G13" s="161"/>
      <c r="H13" s="160"/>
      <c r="I13" s="160"/>
      <c r="J13" s="160"/>
      <c r="K13" s="161"/>
      <c r="L13" s="160"/>
      <c r="M13" s="160"/>
      <c r="S13" s="162"/>
      <c r="V13" s="162"/>
      <c r="W13" s="930"/>
    </row>
    <row r="14" spans="2:23">
      <c r="B14" s="160"/>
      <c r="C14" s="161"/>
      <c r="D14" s="161"/>
      <c r="E14" s="161"/>
      <c r="F14" s="161"/>
      <c r="G14" s="161"/>
      <c r="H14" s="160"/>
      <c r="I14" s="160"/>
      <c r="J14" s="160"/>
      <c r="K14" s="161"/>
      <c r="L14" s="160"/>
      <c r="M14" s="160"/>
      <c r="S14" s="162"/>
      <c r="V14" s="162"/>
      <c r="W14" s="930"/>
    </row>
    <row r="15" spans="2:23">
      <c r="B15" s="160" t="s">
        <v>113</v>
      </c>
      <c r="C15" s="161">
        <v>0.75</v>
      </c>
      <c r="D15" s="161">
        <v>0.75</v>
      </c>
      <c r="E15" s="163">
        <v>0.125</v>
      </c>
      <c r="F15" s="161">
        <v>0.05</v>
      </c>
      <c r="G15" s="161">
        <v>10</v>
      </c>
      <c r="H15" s="160">
        <v>0.2</v>
      </c>
      <c r="I15" s="160">
        <v>10</v>
      </c>
      <c r="J15" s="160">
        <v>0.25</v>
      </c>
      <c r="K15" s="161">
        <v>3</v>
      </c>
      <c r="L15" s="160"/>
      <c r="M15" s="160"/>
      <c r="S15" s="162"/>
      <c r="V15" s="162"/>
      <c r="W15" s="930"/>
    </row>
    <row r="16" spans="2:23">
      <c r="B16" s="160"/>
      <c r="C16" s="161"/>
      <c r="D16" s="161"/>
      <c r="E16" s="161"/>
      <c r="F16" s="161"/>
      <c r="G16" s="161"/>
      <c r="H16" s="160"/>
      <c r="I16" s="160"/>
      <c r="J16" s="160"/>
      <c r="K16" s="161"/>
      <c r="L16" s="160"/>
      <c r="M16" s="160"/>
      <c r="S16" s="162"/>
      <c r="V16" s="162"/>
      <c r="W16" s="930"/>
    </row>
    <row r="17" spans="2:23">
      <c r="B17" s="160"/>
      <c r="C17" s="161"/>
      <c r="D17" s="161"/>
      <c r="E17" s="161"/>
      <c r="F17" s="161"/>
      <c r="G17" s="161"/>
      <c r="H17" s="160"/>
      <c r="I17" s="160"/>
      <c r="J17" s="160"/>
      <c r="K17" s="161"/>
      <c r="L17" s="160"/>
      <c r="M17" s="160"/>
      <c r="S17" s="162"/>
      <c r="V17" s="162"/>
      <c r="W17" s="930"/>
    </row>
    <row r="18" spans="2:23">
      <c r="B18" s="164" t="s">
        <v>114</v>
      </c>
      <c r="C18" s="161">
        <v>0.9</v>
      </c>
      <c r="D18" s="161">
        <v>0.9</v>
      </c>
      <c r="E18" s="163">
        <v>0.15</v>
      </c>
      <c r="F18" s="161">
        <v>0.05</v>
      </c>
      <c r="G18" s="161">
        <v>10</v>
      </c>
      <c r="H18" s="160">
        <v>0.17499999999999999</v>
      </c>
      <c r="I18" s="160">
        <v>10</v>
      </c>
      <c r="J18" s="160">
        <v>0.25</v>
      </c>
      <c r="K18" s="161">
        <v>3</v>
      </c>
      <c r="L18" s="160"/>
      <c r="M18" s="160"/>
      <c r="S18" s="162"/>
      <c r="T18" s="162"/>
      <c r="U18" s="162"/>
      <c r="V18" s="162"/>
      <c r="W18" s="930" t="s">
        <v>115</v>
      </c>
    </row>
    <row r="19" spans="2:23">
      <c r="B19" s="160"/>
      <c r="C19" s="161"/>
      <c r="D19" s="161"/>
      <c r="E19" s="161"/>
      <c r="F19" s="161"/>
      <c r="G19" s="161"/>
      <c r="H19" s="160"/>
      <c r="I19" s="160"/>
      <c r="J19" s="160"/>
      <c r="K19" s="161"/>
      <c r="L19" s="160"/>
      <c r="M19" s="160"/>
      <c r="S19" s="162"/>
      <c r="T19" s="162"/>
      <c r="U19" s="162"/>
      <c r="V19" s="162"/>
      <c r="W19" s="930"/>
    </row>
    <row r="20" spans="2:23">
      <c r="B20" s="160"/>
      <c r="C20" s="161"/>
      <c r="D20" s="161"/>
      <c r="E20" s="161"/>
      <c r="F20" s="161"/>
      <c r="G20" s="161"/>
      <c r="H20" s="160"/>
      <c r="I20" s="160"/>
      <c r="J20" s="160"/>
      <c r="K20" s="161"/>
      <c r="L20" s="160"/>
      <c r="M20" s="160"/>
      <c r="S20" s="162"/>
      <c r="T20" s="162"/>
      <c r="U20" s="162"/>
      <c r="V20" s="162"/>
      <c r="W20" s="930"/>
    </row>
    <row r="21" spans="2:23">
      <c r="B21" s="160" t="s">
        <v>116</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117</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118</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119</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120</v>
      </c>
      <c r="C30" s="161">
        <v>0.3</v>
      </c>
      <c r="D30" s="161">
        <v>0.3</v>
      </c>
      <c r="E30" s="161">
        <v>0.1</v>
      </c>
      <c r="F30" s="161">
        <v>0.05</v>
      </c>
      <c r="G30" s="161">
        <v>10</v>
      </c>
      <c r="H30" s="160">
        <v>0.25</v>
      </c>
      <c r="I30" s="160">
        <v>10</v>
      </c>
      <c r="J30" s="160">
        <v>0.25</v>
      </c>
      <c r="K30" s="161">
        <v>0</v>
      </c>
      <c r="L30" s="160"/>
      <c r="M30" s="160"/>
    </row>
    <row r="31" spans="2:23">
      <c r="B31" s="166" t="s">
        <v>121</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122</v>
      </c>
      <c r="C33" s="161">
        <v>0.45</v>
      </c>
      <c r="D33" s="161">
        <v>0.45</v>
      </c>
      <c r="E33" s="161">
        <v>0.1</v>
      </c>
      <c r="F33" s="161">
        <v>0.05</v>
      </c>
      <c r="G33" s="161">
        <v>10</v>
      </c>
      <c r="H33" s="160">
        <v>0.25</v>
      </c>
      <c r="I33" s="160">
        <v>10</v>
      </c>
      <c r="J33" s="160">
        <v>0.25</v>
      </c>
      <c r="K33" s="161">
        <v>0</v>
      </c>
      <c r="L33" s="160"/>
      <c r="M33" s="160"/>
    </row>
    <row r="34" spans="2:13">
      <c r="B34" s="166" t="s">
        <v>121</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123</v>
      </c>
      <c r="L35" s="160"/>
      <c r="M35" s="160"/>
    </row>
    <row r="36" spans="2:13">
      <c r="B36" s="168" t="s">
        <v>124</v>
      </c>
      <c r="C36" s="161">
        <v>1</v>
      </c>
      <c r="D36" s="161">
        <v>0.15</v>
      </c>
      <c r="E36" s="161">
        <v>0.1</v>
      </c>
      <c r="F36" s="161">
        <v>0.05</v>
      </c>
      <c r="G36" s="161">
        <v>10</v>
      </c>
      <c r="H36" s="160">
        <v>0.25</v>
      </c>
      <c r="I36" s="160">
        <v>10</v>
      </c>
      <c r="J36" s="160">
        <v>0.25</v>
      </c>
      <c r="K36" s="161">
        <v>0</v>
      </c>
      <c r="L36" s="160"/>
      <c r="M36" s="160"/>
    </row>
    <row r="37" spans="2:13">
      <c r="B37" s="166" t="s">
        <v>121</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125</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126</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127</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128</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129</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130</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131</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132</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133</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134</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135</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136</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137</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138</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139</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140</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141</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142</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143</v>
      </c>
      <c r="L103" s="931" t="s">
        <v>144</v>
      </c>
      <c r="M103" s="932"/>
      <c r="N103" s="932"/>
      <c r="O103" s="932"/>
      <c r="P103" s="932"/>
      <c r="Q103" s="932"/>
      <c r="R103" s="932"/>
      <c r="S103" s="933"/>
    </row>
    <row r="104" spans="2:21">
      <c r="B104" s="178" t="s">
        <v>145</v>
      </c>
      <c r="K104" s="179">
        <v>1</v>
      </c>
      <c r="L104" s="926" t="s">
        <v>7</v>
      </c>
      <c r="M104" s="934"/>
      <c r="N104" s="927"/>
      <c r="O104" s="926" t="s">
        <v>6</v>
      </c>
      <c r="P104" s="934"/>
      <c r="Q104" s="927"/>
      <c r="R104" s="926" t="s">
        <v>146</v>
      </c>
      <c r="S104" s="927"/>
    </row>
    <row r="105" spans="2:21">
      <c r="D105" s="180" t="s">
        <v>147</v>
      </c>
      <c r="E105" s="181" t="s">
        <v>1</v>
      </c>
      <c r="G105" s="182" t="s">
        <v>148</v>
      </c>
      <c r="H105" s="182" t="s">
        <v>149</v>
      </c>
      <c r="I105" s="182" t="s">
        <v>150</v>
      </c>
      <c r="J105" s="182" t="s">
        <v>151</v>
      </c>
      <c r="K105" s="182" t="s">
        <v>152</v>
      </c>
      <c r="L105" s="926" t="s">
        <v>153</v>
      </c>
      <c r="M105" s="927"/>
      <c r="N105" s="183" t="s">
        <v>1</v>
      </c>
      <c r="O105" s="926" t="s">
        <v>153</v>
      </c>
      <c r="P105" s="927"/>
      <c r="Q105" s="183" t="s">
        <v>1</v>
      </c>
      <c r="R105" s="183" t="s">
        <v>1</v>
      </c>
      <c r="S105" s="183" t="s">
        <v>80</v>
      </c>
    </row>
    <row r="106" spans="2:21" ht="20.25" hidden="1" customHeight="1">
      <c r="B106" s="154" t="s">
        <v>154</v>
      </c>
      <c r="C106" s="178" t="s">
        <v>155</v>
      </c>
      <c r="E106" s="184">
        <f>62.33+67.78</f>
        <v>130.11000000000001</v>
      </c>
      <c r="G106" s="185">
        <f>+E106*(C6+E6*2+1.5)</f>
        <v>260.22000000000003</v>
      </c>
      <c r="H106" s="185">
        <f>+E106*(C6+E6*2)*(D6+E6+F6)</f>
        <v>29.274750000000004</v>
      </c>
      <c r="I106" s="186">
        <f>+(C6+E6*2)*E106*F6</f>
        <v>3.2527500000000007</v>
      </c>
      <c r="J106" s="186">
        <f>+E106*((C6+E6*2)*E6+(D6*E6*2))</f>
        <v>14.312100000000001</v>
      </c>
      <c r="K106" s="186">
        <f>+(D6+$K$104*(D6+E6))*E106*2</f>
        <v>182.154</v>
      </c>
      <c r="L106" s="187">
        <f>+(E106)/H6+ IF(E106&gt;0,1,0)</f>
        <v>651.55000000000007</v>
      </c>
      <c r="M106" s="188">
        <f>+ROUNDUP(L106,0)</f>
        <v>652</v>
      </c>
      <c r="N106" s="189">
        <f>+(D6+E6-0.08)*2+(C6+E6*2-0.08)</f>
        <v>1.06</v>
      </c>
      <c r="O106" s="187">
        <f>+N106/J6+1</f>
        <v>5.24</v>
      </c>
      <c r="P106" s="188">
        <f>+ROUNDUP(O106,0)</f>
        <v>6</v>
      </c>
      <c r="Q106" s="188">
        <f>+E106+E106/6*50*(G6/1000)</f>
        <v>140.95250000000001</v>
      </c>
      <c r="R106" s="190">
        <f>+N106*M106+P106*Q106</f>
        <v>1536.835</v>
      </c>
      <c r="S106" s="186">
        <f>((I6*I6)/162)*R106</f>
        <v>948.66358024691351</v>
      </c>
      <c r="T106" s="154" t="s">
        <v>156</v>
      </c>
    </row>
    <row r="107" spans="2:21" ht="17.25" hidden="1" customHeight="1">
      <c r="C107" s="154" t="s">
        <v>101</v>
      </c>
      <c r="D107" s="191">
        <f>ROUNDUP(+E106/K6,0)</f>
        <v>44</v>
      </c>
      <c r="E107" s="184"/>
      <c r="G107" s="192"/>
      <c r="H107" s="192"/>
      <c r="I107" s="191"/>
      <c r="J107" s="191">
        <f>0.5*(0.075+0.05)*0.075*C6*D107</f>
        <v>6.1874999999999999E-2</v>
      </c>
      <c r="K107" s="191">
        <f>+(0.075+0.08)*C6*D107</f>
        <v>2.0459999999999998</v>
      </c>
      <c r="L107" s="193">
        <f>+D107</f>
        <v>44</v>
      </c>
      <c r="M107" s="188">
        <f>+ROUNDUP(L107,0)</f>
        <v>44</v>
      </c>
      <c r="N107" s="194">
        <f>+(C6-0.08)+((0.075+0.05-0.04)*2)</f>
        <v>0.38999999999999996</v>
      </c>
      <c r="O107" s="193"/>
      <c r="P107" s="195"/>
      <c r="Q107" s="195"/>
      <c r="R107" s="190">
        <f>+N107*M107+P107*Q107</f>
        <v>17.159999999999997</v>
      </c>
      <c r="S107" s="186">
        <f>((I6*I6)/162)*R107</f>
        <v>10.59259259259259</v>
      </c>
      <c r="T107" s="154" t="s">
        <v>156</v>
      </c>
      <c r="U107" s="191">
        <f>S106+S107</f>
        <v>959.25617283950612</v>
      </c>
    </row>
    <row r="108" spans="2:21">
      <c r="E108" s="184"/>
    </row>
    <row r="109" spans="2:21">
      <c r="B109" s="374" t="s">
        <v>154</v>
      </c>
      <c r="C109" s="375" t="s">
        <v>157</v>
      </c>
      <c r="E109" s="184">
        <v>89.9</v>
      </c>
      <c r="G109" s="185">
        <f>+E109*(C9+E9*2+3)</f>
        <v>328.13499999999999</v>
      </c>
      <c r="H109" s="185">
        <f>+E109*(C9+E9*2)*(D9+E9+F9)</f>
        <v>35.061000000000007</v>
      </c>
      <c r="I109" s="186">
        <f>+(C9+E9*2)*E109*F9</f>
        <v>2.9217500000000003</v>
      </c>
      <c r="J109" s="186">
        <f>+E109*((C9+E9*2)*E9+(D9*E9*2))</f>
        <v>13.934500000000003</v>
      </c>
      <c r="K109" s="186">
        <f>+(D9+$K$104*(D9+E9))*E109*2</f>
        <v>179.8</v>
      </c>
      <c r="L109" s="187">
        <f>+(E109)/H9+ IF(E109&gt;0,1,0)</f>
        <v>450.5</v>
      </c>
      <c r="M109" s="188">
        <f>+ROUNDUP(L109,0)</f>
        <v>451</v>
      </c>
      <c r="N109" s="189">
        <f>+(D9+E9-0.08)*2+(C9+E9*2-0.08)</f>
        <v>1.5100000000000002</v>
      </c>
      <c r="O109" s="187">
        <f>+N109/J9+1</f>
        <v>7.0400000000000009</v>
      </c>
      <c r="P109" s="188">
        <f>+ROUNDUP(O109,0)</f>
        <v>8</v>
      </c>
      <c r="Q109" s="188">
        <f>+E109+E109/6*50*(G9/1000)</f>
        <v>97.39166666666668</v>
      </c>
      <c r="R109" s="190">
        <f>+N109*M109+P109*Q109</f>
        <v>1460.1433333333334</v>
      </c>
      <c r="S109" s="186">
        <f>((I9*I9)/162)*R109</f>
        <v>901.32304526748976</v>
      </c>
      <c r="T109" s="154" t="s">
        <v>156</v>
      </c>
    </row>
    <row r="110" spans="2:21">
      <c r="C110" s="154" t="s">
        <v>101</v>
      </c>
      <c r="D110" s="191">
        <f>ROUNDUP(+E109/K9,0)</f>
        <v>30</v>
      </c>
      <c r="E110" s="184"/>
      <c r="G110" s="192"/>
      <c r="H110" s="192"/>
      <c r="I110" s="191"/>
      <c r="J110" s="191">
        <f>0.5*(0.075+0.05)*0.075*C9*D110</f>
        <v>6.3281250000000011E-2</v>
      </c>
      <c r="K110" s="191">
        <f>+(0.075+0.08)*C9*D110</f>
        <v>2.0925000000000002</v>
      </c>
      <c r="L110" s="193">
        <f>+D110</f>
        <v>30</v>
      </c>
      <c r="M110" s="188">
        <f>+ROUNDUP(L110,0)</f>
        <v>30</v>
      </c>
      <c r="N110" s="194">
        <f>+(C9-0.08)+((0.075+0.05-0.04)*2)</f>
        <v>0.54</v>
      </c>
      <c r="O110" s="193"/>
      <c r="P110" s="195"/>
      <c r="Q110" s="195"/>
      <c r="R110" s="190">
        <f>+N110*M110+P110*Q110</f>
        <v>16.200000000000003</v>
      </c>
      <c r="S110" s="186">
        <f>((I9*I9)/162)*R110</f>
        <v>10.000000000000002</v>
      </c>
      <c r="T110" s="154" t="s">
        <v>156</v>
      </c>
      <c r="U110" s="191">
        <f>S109+S110</f>
        <v>911.32304526748976</v>
      </c>
    </row>
    <row r="111" spans="2:21">
      <c r="E111" s="184"/>
    </row>
    <row r="112" spans="2:21">
      <c r="B112" s="374" t="s">
        <v>154</v>
      </c>
      <c r="C112" s="375" t="s">
        <v>158</v>
      </c>
      <c r="E112" s="184">
        <v>70.66</v>
      </c>
      <c r="G112" s="185"/>
      <c r="H112" s="185">
        <f>+E112*(C12+E12*2)*(D12+E12+F12)</f>
        <v>42.396000000000001</v>
      </c>
      <c r="I112" s="186">
        <f>+(C12+E12*2)*E112*F12</f>
        <v>2.8264</v>
      </c>
      <c r="J112" s="186">
        <f>+E112*((C12+E12*2)*E12+(D12*E12*2))</f>
        <v>14.132</v>
      </c>
      <c r="K112" s="186">
        <f>+(D12+$K$104*(D12+E12))*E112*2</f>
        <v>183.71599999999998</v>
      </c>
      <c r="L112" s="187">
        <f>+(E112)/H12+ IF(E112&gt;0,1,0)</f>
        <v>354.29999999999995</v>
      </c>
      <c r="M112" s="188">
        <f>+ROUNDUP(L112,0)</f>
        <v>355</v>
      </c>
      <c r="N112" s="189">
        <f>+(D12+E12-0.08)*2+(C12+E12*2-0.08)</f>
        <v>1.96</v>
      </c>
      <c r="O112" s="187">
        <f>+N112/J12+1</f>
        <v>8.84</v>
      </c>
      <c r="P112" s="188">
        <f>+ROUNDUP(O112,0)</f>
        <v>9</v>
      </c>
      <c r="Q112" s="188">
        <f>+E112+E112/6*50*(G12/1000)</f>
        <v>76.548333333333332</v>
      </c>
      <c r="R112" s="190">
        <f>+N112*M112+P112*Q112</f>
        <v>1384.7349999999999</v>
      </c>
      <c r="S112" s="186">
        <f>((I12*I12)/162)*R112</f>
        <v>854.7746913580246</v>
      </c>
      <c r="T112" s="154" t="s">
        <v>156</v>
      </c>
    </row>
    <row r="113" spans="2:21">
      <c r="C113" s="154" t="s">
        <v>101</v>
      </c>
      <c r="D113" s="191">
        <f>ROUNDUP(+E112/K12,0)</f>
        <v>24</v>
      </c>
      <c r="E113" s="184"/>
      <c r="G113" s="192"/>
      <c r="H113" s="192"/>
      <c r="I113" s="191"/>
      <c r="J113" s="191">
        <f>0.5*(0.075+0.05)*0.075*C12*D113</f>
        <v>6.7500000000000004E-2</v>
      </c>
      <c r="K113" s="191">
        <f>+(0.075+0.08)*C12*D113</f>
        <v>2.2320000000000002</v>
      </c>
      <c r="L113" s="193">
        <f>+D113</f>
        <v>24</v>
      </c>
      <c r="M113" s="188">
        <f>+ROUNDUP(L113,0)</f>
        <v>24</v>
      </c>
      <c r="N113" s="194">
        <f>+(C12-0.08)+((0.075+0.05-0.04)*2)</f>
        <v>0.69</v>
      </c>
      <c r="O113" s="193"/>
      <c r="P113" s="195"/>
      <c r="Q113" s="195"/>
      <c r="R113" s="190">
        <f>+N113*M113+P113*Q113</f>
        <v>16.559999999999999</v>
      </c>
      <c r="S113" s="186">
        <f>((I12*I12)/162)*R113</f>
        <v>10.222222222222221</v>
      </c>
      <c r="T113" s="154" t="s">
        <v>156</v>
      </c>
      <c r="U113" s="191">
        <f>S112+S113</f>
        <v>864.99691358024677</v>
      </c>
    </row>
    <row r="114" spans="2:21" hidden="1">
      <c r="E114" s="184"/>
    </row>
    <row r="115" spans="2:21" hidden="1">
      <c r="B115" s="154" t="s">
        <v>154</v>
      </c>
      <c r="C115" s="178" t="s">
        <v>159</v>
      </c>
      <c r="E115" s="184">
        <f>38.37+14.75+46.92</f>
        <v>100.03999999999999</v>
      </c>
      <c r="G115" s="185">
        <f>+E115*(C15+E15*2+1.5)</f>
        <v>250.09999999999997</v>
      </c>
      <c r="H115" s="185">
        <f>+E115*(C15+E15*2)*(D15+E15+F15)</f>
        <v>92.536999999999992</v>
      </c>
      <c r="I115" s="186">
        <f>+(C15+E15*2)*E115*F15</f>
        <v>5.0019999999999998</v>
      </c>
      <c r="J115" s="186">
        <f>+E115*((C15+E15*2)*E15+(D15*E15*2))</f>
        <v>31.262499999999996</v>
      </c>
      <c r="K115" s="186">
        <f>+(D15+$K$104*(D15+E15))*E115*2</f>
        <v>325.13</v>
      </c>
      <c r="L115" s="187">
        <f>+(E115)/H15+ IF(E115&gt;0,1,0)</f>
        <v>501.19999999999993</v>
      </c>
      <c r="M115" s="188">
        <f>+ROUNDUP(L115,0)</f>
        <v>502</v>
      </c>
      <c r="N115" s="189">
        <f>+(D15+E15-0.08)*2+(C15+E15*2-0.08)</f>
        <v>2.5100000000000002</v>
      </c>
      <c r="O115" s="187">
        <f>+N115/J15+1</f>
        <v>11.040000000000001</v>
      </c>
      <c r="P115" s="188">
        <f>+ROUNDUP(O115,0)</f>
        <v>12</v>
      </c>
      <c r="Q115" s="188">
        <f>+E115+E115/6*50*(G15/1000)</f>
        <v>108.37666666666667</v>
      </c>
      <c r="R115" s="190">
        <f>+N115*M115+P115*Q115</f>
        <v>2560.54</v>
      </c>
      <c r="S115" s="186">
        <f>((I15*I15)/162)*R115</f>
        <v>1580.5802469135801</v>
      </c>
      <c r="T115" s="154" t="s">
        <v>156</v>
      </c>
    </row>
    <row r="116" spans="2:21" hidden="1">
      <c r="C116" s="154" t="s">
        <v>101</v>
      </c>
      <c r="D116" s="191">
        <f>ROUNDUP(+E115/K15,0)</f>
        <v>34</v>
      </c>
      <c r="E116" s="184"/>
      <c r="G116" s="192"/>
      <c r="H116" s="192"/>
      <c r="I116" s="191"/>
      <c r="J116" s="191">
        <f>0.5*(0.075+0.05)*0.075*C15*D116</f>
        <v>0.11953124999999999</v>
      </c>
      <c r="K116" s="191">
        <f>+(0.075+0.08)*C15*D116</f>
        <v>3.9524999999999997</v>
      </c>
      <c r="L116" s="193">
        <f>+D116</f>
        <v>34</v>
      </c>
      <c r="M116" s="188">
        <f>+ROUNDUP(L116,0)</f>
        <v>34</v>
      </c>
      <c r="N116" s="194">
        <f>+(C15-0.08)+((0.075+0.05-0.04)*2)</f>
        <v>0.84000000000000008</v>
      </c>
      <c r="O116" s="193"/>
      <c r="P116" s="195"/>
      <c r="Q116" s="195"/>
      <c r="R116" s="190">
        <f>+N116*M116+P116*Q116</f>
        <v>28.560000000000002</v>
      </c>
      <c r="S116" s="186">
        <f>((I15*I15)/162)*R116</f>
        <v>17.62962962962963</v>
      </c>
      <c r="T116" s="154" t="s">
        <v>156</v>
      </c>
      <c r="U116" s="191">
        <f>S115+S116</f>
        <v>1598.2098765432097</v>
      </c>
    </row>
    <row r="117" spans="2:21" hidden="1">
      <c r="B117" s="154" t="s">
        <v>154</v>
      </c>
      <c r="C117" s="178" t="s">
        <v>160</v>
      </c>
      <c r="E117" s="184">
        <v>73.95</v>
      </c>
      <c r="G117" s="196">
        <f>+E117*(C15+E15*2+1.5)</f>
        <v>184.875</v>
      </c>
      <c r="H117" s="196">
        <f>+E117*(C15+E15*2)*(D15+E15+F15)</f>
        <v>68.403750000000002</v>
      </c>
      <c r="I117" s="197">
        <f>+(C15+E15*2)*E117*F15</f>
        <v>3.6975000000000002</v>
      </c>
      <c r="J117" s="197">
        <f>+E117*((C15+E15*2)*E15+(D15*E15*2))</f>
        <v>23.109375</v>
      </c>
      <c r="K117" s="197">
        <f>+(D15+$K$104*(D15+E15))*E117*2</f>
        <v>240.33750000000001</v>
      </c>
      <c r="L117" s="187">
        <f>+(E117)/H15+ IF(E117&gt;0,1,0)</f>
        <v>370.75</v>
      </c>
      <c r="M117" s="198">
        <f>+ROUNDUP(L117,0)</f>
        <v>371</v>
      </c>
      <c r="N117" s="189">
        <f>+(D15+E15-0.08)*2+(C15+E15*2-0.08)</f>
        <v>2.5100000000000002</v>
      </c>
      <c r="O117" s="187">
        <f>+N117/J15+1</f>
        <v>11.040000000000001</v>
      </c>
      <c r="P117" s="198">
        <f>+ROUNDUP(O117,0)</f>
        <v>12</v>
      </c>
      <c r="Q117" s="188">
        <f>+E117+E117/6*50*(G15/1000)</f>
        <v>80.112499999999997</v>
      </c>
      <c r="R117" s="190">
        <f>+N117*M117+P117*Q117</f>
        <v>1892.56</v>
      </c>
      <c r="S117" s="197">
        <f>((I15*I15)/162)*R117</f>
        <v>1168.2469135802469</v>
      </c>
      <c r="T117" s="154" t="s">
        <v>156</v>
      </c>
    </row>
    <row r="118" spans="2:21" hidden="1">
      <c r="C118" s="154" t="s">
        <v>101</v>
      </c>
      <c r="D118" s="191">
        <f>ROUNDUP(+E117/K15,0)</f>
        <v>25</v>
      </c>
      <c r="E118" s="184"/>
      <c r="G118" s="199"/>
      <c r="H118" s="199"/>
      <c r="I118" s="200"/>
      <c r="J118" s="200">
        <f>0.5*(0.075+0.05)*0.075*C15*D118</f>
        <v>8.7890624999999986E-2</v>
      </c>
      <c r="K118" s="200">
        <f>+(0.075+0.08)*C15*D118</f>
        <v>2.90625</v>
      </c>
      <c r="L118" s="193">
        <f>+D118</f>
        <v>25</v>
      </c>
      <c r="M118" s="198">
        <f>+ROUNDUP(L118,0)</f>
        <v>25</v>
      </c>
      <c r="N118" s="194">
        <f>+(C15-0.08)+((0.075+0.05-0.04)*2)</f>
        <v>0.84000000000000008</v>
      </c>
      <c r="O118" s="193"/>
      <c r="P118" s="201"/>
      <c r="Q118" s="195"/>
      <c r="R118" s="190">
        <f>+N118*M118+P118*Q118</f>
        <v>21.000000000000004</v>
      </c>
      <c r="S118" s="197">
        <f>((I15*I15)/162)*R118</f>
        <v>12.962962962962964</v>
      </c>
      <c r="T118" s="154" t="s">
        <v>156</v>
      </c>
    </row>
    <row r="119" spans="2:21" hidden="1">
      <c r="B119" s="202" t="s">
        <v>161</v>
      </c>
      <c r="D119" s="191"/>
      <c r="E119" s="184"/>
      <c r="G119" s="192"/>
      <c r="H119" s="192"/>
      <c r="I119" s="191"/>
      <c r="J119" s="191"/>
      <c r="K119" s="191"/>
      <c r="L119" s="193"/>
      <c r="M119" s="195"/>
      <c r="N119" s="194"/>
      <c r="O119" s="193"/>
      <c r="P119" s="195"/>
      <c r="Q119" s="195"/>
      <c r="R119" s="203"/>
      <c r="S119" s="191"/>
    </row>
    <row r="120" spans="2:21" hidden="1">
      <c r="C120" s="202" t="s">
        <v>162</v>
      </c>
      <c r="D120" s="191"/>
      <c r="E120" s="184">
        <f>E117*1.1</f>
        <v>81.345000000000013</v>
      </c>
      <c r="G120" s="192"/>
      <c r="H120" s="192"/>
      <c r="I120" s="191"/>
      <c r="J120" s="191"/>
      <c r="K120" s="191"/>
      <c r="L120" s="193"/>
      <c r="M120" s="195"/>
      <c r="N120" s="194"/>
      <c r="O120" s="193"/>
      <c r="P120" s="195"/>
      <c r="Q120" s="195"/>
      <c r="R120" s="203"/>
      <c r="S120" s="191"/>
    </row>
    <row r="121" spans="2:21" hidden="1">
      <c r="C121" s="202" t="s">
        <v>163</v>
      </c>
      <c r="D121" s="191"/>
      <c r="E121" s="184">
        <f>((E117*0.6*0.6)*1.1)-(3.142*0.55*0.055*E117)</f>
        <v>22.255585274999998</v>
      </c>
      <c r="G121" s="192"/>
      <c r="H121" s="192"/>
      <c r="I121" s="191"/>
      <c r="J121" s="191"/>
      <c r="K121" s="191"/>
      <c r="L121" s="193"/>
      <c r="M121" s="195"/>
      <c r="N121" s="194"/>
      <c r="O121" s="193"/>
      <c r="P121" s="195"/>
      <c r="Q121" s="195"/>
      <c r="R121" s="203"/>
      <c r="S121" s="191"/>
    </row>
    <row r="122" spans="2:21" hidden="1"/>
    <row r="123" spans="2:21" hidden="1">
      <c r="B123" s="154" t="s">
        <v>154</v>
      </c>
      <c r="C123" s="178" t="s">
        <v>164</v>
      </c>
      <c r="E123" s="184">
        <f>205*1.1</f>
        <v>225.50000000000003</v>
      </c>
      <c r="G123" s="196">
        <f>+E123*(C18+E18*2+1.5)</f>
        <v>608.85000000000014</v>
      </c>
      <c r="H123" s="196">
        <f>+E123*(C18+E18*2)*(D18+E18+F18)</f>
        <v>297.66000000000003</v>
      </c>
      <c r="I123" s="197">
        <f>+(C18+E18*2)*E123*F18</f>
        <v>13.530000000000001</v>
      </c>
      <c r="J123" s="197">
        <f>+E123*((C18+E18*2)*E18+(D18*E18*2))</f>
        <v>101.47500000000001</v>
      </c>
      <c r="K123" s="197">
        <f>+(D18+$K$104*(D18+E18))*E123*2</f>
        <v>879.45000000000016</v>
      </c>
      <c r="L123" s="187">
        <f>+(E123)/H18+ IF(E123&gt;0,1,0)</f>
        <v>1289.5714285714289</v>
      </c>
      <c r="M123" s="198">
        <f>+ROUNDUP(L123,0)</f>
        <v>1290</v>
      </c>
      <c r="N123" s="189">
        <f>+(D18+E18-0.08)*2+(C18+E18*2-0.08)</f>
        <v>3.06</v>
      </c>
      <c r="O123" s="187">
        <f>+N123/J18+1</f>
        <v>13.24</v>
      </c>
      <c r="P123" s="198">
        <f>+ROUNDUP(O123,0)</f>
        <v>14</v>
      </c>
      <c r="Q123" s="188">
        <f>+E123+E123/6*50*(G18/1000)</f>
        <v>244.29166666666669</v>
      </c>
      <c r="R123" s="190">
        <f>+N123*M123+P123*Q123</f>
        <v>7367.4833333333336</v>
      </c>
      <c r="S123" s="197">
        <f>((I18*I18)/162)*R123</f>
        <v>4547.8292181069955</v>
      </c>
      <c r="T123" s="154" t="s">
        <v>156</v>
      </c>
    </row>
    <row r="124" spans="2:21" hidden="1">
      <c r="C124" s="154" t="s">
        <v>101</v>
      </c>
      <c r="D124" s="191">
        <f>ROUNDUP(+E123/K18,0)</f>
        <v>76</v>
      </c>
      <c r="E124" s="184"/>
      <c r="G124" s="199"/>
      <c r="H124" s="199"/>
      <c r="I124" s="200"/>
      <c r="J124" s="200">
        <f>0.5*(0.075+0.05)*0.075*C18*D124</f>
        <v>0.32062500000000005</v>
      </c>
      <c r="K124" s="200">
        <f>+(0.075+0.08)*C18*D124</f>
        <v>10.602</v>
      </c>
      <c r="L124" s="193">
        <f>+D124</f>
        <v>76</v>
      </c>
      <c r="M124" s="198">
        <f>+ROUNDUP(L124,0)</f>
        <v>76</v>
      </c>
      <c r="N124" s="194">
        <f>+(C18-0.08)+((0.075+0.05-0.04)*2)</f>
        <v>0.99</v>
      </c>
      <c r="O124" s="193"/>
      <c r="P124" s="201"/>
      <c r="Q124" s="195"/>
      <c r="R124" s="190">
        <f>+N124*M124+P124*Q124</f>
        <v>75.239999999999995</v>
      </c>
      <c r="S124" s="197">
        <f>((I18*I18)/162)*R124</f>
        <v>46.444444444444436</v>
      </c>
      <c r="T124" s="154" t="s">
        <v>156</v>
      </c>
    </row>
    <row r="125" spans="2:21" hidden="1"/>
    <row r="126" spans="2:21" hidden="1">
      <c r="B126" s="154" t="s">
        <v>154</v>
      </c>
      <c r="C126" s="178" t="s">
        <v>165</v>
      </c>
      <c r="E126" s="184">
        <f>32.19+61.79</f>
        <v>93.97999999999999</v>
      </c>
      <c r="G126" s="185">
        <f>+E126*(C21+E21*2+3)</f>
        <v>404.11399999999992</v>
      </c>
      <c r="H126" s="185">
        <f>+E126*(C21+E21*2)*(D21+E21+F21)</f>
        <v>146.60879999999997</v>
      </c>
      <c r="I126" s="186">
        <f>+(C21+E21*2)*E126*F21</f>
        <v>6.1086999999999998</v>
      </c>
      <c r="J126" s="186">
        <f>+E126*((C21+E21*2)*E21+(D21*E21*2))</f>
        <v>46.520099999999992</v>
      </c>
      <c r="K126" s="186">
        <f>+(D21+$K$104*(D21+E21))*E126*2</f>
        <v>404.11399999999992</v>
      </c>
      <c r="L126" s="187">
        <f>+(E126)/H21+ IF(E126&gt;0,1,0)</f>
        <v>538.02857142857135</v>
      </c>
      <c r="M126" s="188">
        <f>+ROUNDUP(L126,0)</f>
        <v>539</v>
      </c>
      <c r="N126" s="189">
        <f>+(D21+E21-0.08)*2+(C21+E21*2-0.08)</f>
        <v>3.3599999999999994</v>
      </c>
      <c r="O126" s="187">
        <f>+N126/J21+1</f>
        <v>14.439999999999998</v>
      </c>
      <c r="P126" s="188">
        <f>+ROUNDUP(O126,0)</f>
        <v>15</v>
      </c>
      <c r="Q126" s="188">
        <f>+E126+E126/6*50*(G21/1000)</f>
        <v>101.81166666666665</v>
      </c>
      <c r="R126" s="190">
        <f>+N126*M126+P126*Q126</f>
        <v>3338.2149999999992</v>
      </c>
      <c r="S126" s="186">
        <f>((I21*I21)/162)*R126</f>
        <v>2060.6265432098758</v>
      </c>
      <c r="T126" s="154" t="s">
        <v>156</v>
      </c>
    </row>
    <row r="127" spans="2:21" hidden="1">
      <c r="C127" s="154" t="s">
        <v>101</v>
      </c>
      <c r="D127" s="191">
        <f>ROUNDUP(+E126/K21,0)</f>
        <v>32</v>
      </c>
      <c r="E127" s="184"/>
      <c r="G127" s="192"/>
      <c r="H127" s="192"/>
      <c r="I127" s="191"/>
      <c r="J127" s="191">
        <f>0.5*(0.075+0.05)*0.075*C21*D127</f>
        <v>0.15</v>
      </c>
      <c r="K127" s="191">
        <f>+(0.075+0.08)*C21*D127</f>
        <v>4.96</v>
      </c>
      <c r="L127" s="193">
        <f>+D127</f>
        <v>32</v>
      </c>
      <c r="M127" s="188">
        <f>+ROUNDUP(L127,0)</f>
        <v>32</v>
      </c>
      <c r="N127" s="194">
        <f>+(C21-0.08)+((0.075+0.05-0.04)*2)</f>
        <v>1.0900000000000001</v>
      </c>
      <c r="O127" s="193"/>
      <c r="P127" s="195"/>
      <c r="Q127" s="195"/>
      <c r="R127" s="190">
        <f>+N127*M127+P127*Q127</f>
        <v>34.880000000000003</v>
      </c>
      <c r="S127" s="186">
        <f>((I21*I21)/162)*R127</f>
        <v>21.530864197530864</v>
      </c>
      <c r="T127" s="154" t="s">
        <v>156</v>
      </c>
    </row>
    <row r="128" spans="2:21" hidden="1"/>
    <row r="129" spans="2:21" hidden="1">
      <c r="B129" s="154" t="s">
        <v>154</v>
      </c>
      <c r="C129" s="178" t="s">
        <v>166</v>
      </c>
      <c r="E129" s="184">
        <f>205*1.1</f>
        <v>225.50000000000003</v>
      </c>
      <c r="G129" s="196">
        <f>+E129*(C24+E24*2+1.5)</f>
        <v>451.00000000000006</v>
      </c>
      <c r="H129" s="196">
        <f>+E129*(C24+E24*2)*(((D24+E24+F24)*2+0.1)/2)</f>
        <v>56.375000000000007</v>
      </c>
      <c r="I129" s="197">
        <f>+(C24+E24*2)*E129*F24</f>
        <v>5.6375000000000011</v>
      </c>
      <c r="J129" s="197">
        <f>+E129*((C24+E24*2)*E24+(D24*E24)+((D24+0.1)*E24))</f>
        <v>27.060000000000006</v>
      </c>
      <c r="K129" s="197">
        <f>+((D24*2)+$K$104*((D24+E24)+(D24+E24+0.1)))*E129</f>
        <v>338.25000000000006</v>
      </c>
      <c r="L129" s="187">
        <f>+(E129)/H24+ IF(E129&gt;0,1,0)</f>
        <v>1128.5</v>
      </c>
      <c r="M129" s="198">
        <f>+ROUNDUP(L129,0)</f>
        <v>1129</v>
      </c>
      <c r="N129" s="189">
        <f>+(D24+E24-0.08)+(D24+E24+0.1-0.08)+(C24+E24*2-0.08)</f>
        <v>1.1599999999999999</v>
      </c>
      <c r="O129" s="187">
        <f>+N129/J24+1</f>
        <v>5.64</v>
      </c>
      <c r="P129" s="198">
        <f>+ROUNDUP(O129,0)</f>
        <v>6</v>
      </c>
      <c r="Q129" s="188">
        <f>+E129+E129/6*50*(G24/1000)</f>
        <v>244.29166666666669</v>
      </c>
      <c r="R129" s="190">
        <f>+N129*M129+P129*Q129</f>
        <v>2775.39</v>
      </c>
      <c r="S129" s="197">
        <f>((I24*I24)/162)*R129</f>
        <v>1713.2037037037035</v>
      </c>
      <c r="T129" s="154" t="s">
        <v>156</v>
      </c>
    </row>
    <row r="130" spans="2:21" hidden="1">
      <c r="C130" s="154" t="s">
        <v>101</v>
      </c>
      <c r="D130" s="191">
        <f>ROUNDUP(+E129/K24,0)</f>
        <v>76</v>
      </c>
      <c r="E130" s="184"/>
      <c r="G130" s="199"/>
      <c r="H130" s="199"/>
      <c r="I130" s="200"/>
      <c r="J130" s="200">
        <f>0.5*(0.075+0.05)*0.075*C24*D130</f>
        <v>0.106875</v>
      </c>
      <c r="K130" s="200">
        <f>+(0.075+0.08)*C24*D130</f>
        <v>3.5339999999999998</v>
      </c>
      <c r="L130" s="193">
        <f>+D130</f>
        <v>76</v>
      </c>
      <c r="M130" s="198">
        <f>+ROUNDUP(L130,0)</f>
        <v>76</v>
      </c>
      <c r="N130" s="194">
        <f>+(C24-0.08)+((0.075+0.05-0.04)*2)</f>
        <v>0.38999999999999996</v>
      </c>
      <c r="O130" s="193"/>
      <c r="P130" s="201"/>
      <c r="Q130" s="195"/>
      <c r="R130" s="190">
        <f>+N130*M130+P130*Q130</f>
        <v>29.639999999999997</v>
      </c>
      <c r="S130" s="197">
        <f>((I24*I24)/162)*R130</f>
        <v>18.296296296296294</v>
      </c>
      <c r="T130" s="154" t="s">
        <v>156</v>
      </c>
    </row>
    <row r="131" spans="2:21" hidden="1"/>
    <row r="132" spans="2:21" hidden="1">
      <c r="B132" s="154" t="s">
        <v>154</v>
      </c>
      <c r="C132" s="178" t="s">
        <v>167</v>
      </c>
      <c r="E132" s="184">
        <f>41.61*1.1</f>
        <v>45.771000000000001</v>
      </c>
      <c r="G132" s="185">
        <f>+E132*(C27+E27*2+1.5)</f>
        <v>105.27329999999999</v>
      </c>
      <c r="H132" s="185">
        <f>+E132*(C27+E27*2)*(((D27+E27+F27)*2+0.1)/2)</f>
        <v>29.293440000000004</v>
      </c>
      <c r="I132" s="186">
        <f>+(C27+E27*2)*E132*F27</f>
        <v>1.8308400000000002</v>
      </c>
      <c r="J132" s="186">
        <f>+E132*((C27+E27*2)*E27+(D27*E27)+((D27+0.1)*E27))</f>
        <v>9.6119100000000017</v>
      </c>
      <c r="K132" s="186">
        <f>+((D27*2)+$K$104*((D27+E27)+(D27+E27+0.1)))*E132</f>
        <v>123.58170000000001</v>
      </c>
      <c r="L132" s="187">
        <f>+(E132)/H27+ IF(E132&gt;0,1,0)</f>
        <v>229.85499999999999</v>
      </c>
      <c r="M132" s="188">
        <f>+ROUNDUP(L132,0)</f>
        <v>230</v>
      </c>
      <c r="N132" s="189">
        <f>+(D27+E27-0.08)+(D27+E27+0.1-0.08)+(C27+E27*2-0.08)</f>
        <v>2.06</v>
      </c>
      <c r="O132" s="187">
        <f>+N132/J27+1</f>
        <v>9.24</v>
      </c>
      <c r="P132" s="188">
        <f>+ROUNDUP(O132,0)</f>
        <v>10</v>
      </c>
      <c r="Q132" s="188">
        <f>+E132+E132/6*50*(G27/1000)</f>
        <v>49.585250000000002</v>
      </c>
      <c r="R132" s="190">
        <f>+N132*M132+P132*Q132</f>
        <v>969.65250000000003</v>
      </c>
      <c r="S132" s="186">
        <f>((I27*I27)/162)*R132</f>
        <v>598.55092592592587</v>
      </c>
      <c r="T132" s="154" t="s">
        <v>156</v>
      </c>
    </row>
    <row r="133" spans="2:21" hidden="1">
      <c r="C133" s="154" t="s">
        <v>101</v>
      </c>
      <c r="D133" s="191">
        <f>ROUNDUP(+E132/K27,0)</f>
        <v>16</v>
      </c>
      <c r="E133" s="184"/>
      <c r="G133" s="192"/>
      <c r="H133" s="192"/>
      <c r="I133" s="191"/>
      <c r="J133" s="191">
        <f>0.5*(0.075+0.05)*0.075*C27*D133</f>
        <v>4.4999999999999998E-2</v>
      </c>
      <c r="K133" s="191">
        <f>+(0.075+0.08)*C27*D133</f>
        <v>1.488</v>
      </c>
      <c r="L133" s="193">
        <f>+D133</f>
        <v>16</v>
      </c>
      <c r="M133" s="188">
        <f>+ROUNDUP(L133,0)</f>
        <v>16</v>
      </c>
      <c r="N133" s="194">
        <f>+(C27-0.08)+((0.075+0.05-0.04)*2)</f>
        <v>0.69</v>
      </c>
      <c r="O133" s="193"/>
      <c r="P133" s="195"/>
      <c r="Q133" s="195"/>
      <c r="R133" s="190">
        <f>+N133*M133+P133*Q133</f>
        <v>11.04</v>
      </c>
      <c r="S133" s="186">
        <f>((I27*I27)/162)*R133</f>
        <v>6.814814814814814</v>
      </c>
      <c r="T133" s="154" t="s">
        <v>156</v>
      </c>
    </row>
    <row r="135" spans="2:21">
      <c r="B135" s="374" t="s">
        <v>154</v>
      </c>
      <c r="C135" s="375" t="s">
        <v>168</v>
      </c>
      <c r="E135" s="184">
        <v>100.11</v>
      </c>
      <c r="G135" s="185"/>
      <c r="H135" s="185">
        <f>+E135*(C30+E30*2)*(((D30+E30+F30)*2+0.1)/2)</f>
        <v>25.0275</v>
      </c>
      <c r="I135" s="186">
        <f>+(C30+E30*2)*E135*F30</f>
        <v>2.5027500000000003</v>
      </c>
      <c r="J135" s="186">
        <f>+E135*((C30+E30*2)*E30+(D30*E30)+((D30+0.1)*E30))</f>
        <v>12.013200000000001</v>
      </c>
      <c r="K135" s="186">
        <f>+((D30*2)+$K$104*((D30+E30)+(D30+E30+0.1)))*E135</f>
        <v>150.16499999999999</v>
      </c>
      <c r="L135" s="187">
        <f>+(E135)/H30+ IF(E135&gt;0,1,0)</f>
        <v>401.44</v>
      </c>
      <c r="M135" s="188">
        <f>+ROUNDUP(L135,0)</f>
        <v>402</v>
      </c>
      <c r="N135" s="189">
        <f>+(D30+E30-0.08)+(D30+E30+0.1-0.08)+(C30+E30*2-0.08)</f>
        <v>1.1599999999999999</v>
      </c>
      <c r="O135" s="187">
        <f>+N135/J30+1</f>
        <v>5.64</v>
      </c>
      <c r="P135" s="188">
        <f>+ROUNDUP(O135,0)</f>
        <v>6</v>
      </c>
      <c r="Q135" s="188">
        <f>+E135+E135/6*50*(G30/1000)</f>
        <v>108.4525</v>
      </c>
      <c r="R135" s="190">
        <f>+N135*M135+P135*Q135</f>
        <v>1117.0350000000001</v>
      </c>
      <c r="S135" s="186">
        <f>((I30*I30)/162)*R135</f>
        <v>689.52777777777783</v>
      </c>
      <c r="T135" s="154" t="s">
        <v>156</v>
      </c>
    </row>
    <row r="136" spans="2:21">
      <c r="C136" s="154" t="s">
        <v>121</v>
      </c>
      <c r="D136" s="191"/>
      <c r="E136" s="184">
        <f>+E135</f>
        <v>100.11</v>
      </c>
      <c r="G136" s="185"/>
      <c r="H136" s="192">
        <f>+E136*C31*E31</f>
        <v>15.016500000000001</v>
      </c>
      <c r="I136" s="191"/>
      <c r="J136" s="191">
        <f>+E136*C31*E31</f>
        <v>15.016500000000001</v>
      </c>
      <c r="K136" s="191">
        <f>+E136*E31</f>
        <v>10.011000000000001</v>
      </c>
      <c r="L136" s="187">
        <f>+(E136)/H31+ IF(E136&gt;0,1,0)</f>
        <v>401.44</v>
      </c>
      <c r="M136" s="188">
        <f>+ROUNDUP(L136,0)</f>
        <v>402</v>
      </c>
      <c r="N136" s="189">
        <f>+C31-0.04</f>
        <v>1.46</v>
      </c>
      <c r="O136" s="187">
        <f>+N136/J31+1</f>
        <v>10.733333333333334</v>
      </c>
      <c r="P136" s="188">
        <f>+ROUNDUP(O136,0)</f>
        <v>11</v>
      </c>
      <c r="Q136" s="188">
        <f>+E136+E136/6*50*(G31/1000)</f>
        <v>108.4525</v>
      </c>
      <c r="R136" s="190">
        <f>+N136*M136+P136*Q136</f>
        <v>1779.8975</v>
      </c>
      <c r="S136" s="186">
        <f>((I31*I31)/162)*R136</f>
        <v>1098.702160493827</v>
      </c>
      <c r="T136" s="154" t="s">
        <v>156</v>
      </c>
      <c r="U136" s="191">
        <f>S135+S136</f>
        <v>1788.2299382716049</v>
      </c>
    </row>
    <row r="137" spans="2:21" hidden="1">
      <c r="N137" s="189"/>
    </row>
    <row r="138" spans="2:21" hidden="1">
      <c r="B138" s="154" t="s">
        <v>154</v>
      </c>
      <c r="C138" s="178" t="s">
        <v>169</v>
      </c>
      <c r="E138" s="184">
        <f>205*1.1</f>
        <v>225.50000000000003</v>
      </c>
      <c r="G138" s="196">
        <f>+E138*(C33+E33*2+0.5)</f>
        <v>259.32499999999999</v>
      </c>
      <c r="H138" s="196">
        <f>+E138*(C33+E33*2)*(((D33+E33+F33)*2+0.1)/2)</f>
        <v>95.273750000000035</v>
      </c>
      <c r="I138" s="197">
        <f>+(C33+E33*2)*E138*F33</f>
        <v>7.3287500000000012</v>
      </c>
      <c r="J138" s="197">
        <f>+E138*((C33+E33*2)*E33+(D33*E33)+((D33+0.1)*E33))</f>
        <v>37.20750000000001</v>
      </c>
      <c r="K138" s="197">
        <f>+((D33*2)+$K$104*((D33+E33)+(D33+E33+0.1)))*E138</f>
        <v>473.55000000000007</v>
      </c>
      <c r="L138" s="187">
        <f>+(E138)/H33+ IF(E138&gt;0,1,0)</f>
        <v>903.00000000000011</v>
      </c>
      <c r="M138" s="198">
        <f>+ROUNDUP(L138,0)</f>
        <v>903</v>
      </c>
      <c r="N138" s="189">
        <f>+(D33+E33-0.08)+(D33+E33+0.1-0.08)+(C33+E33*2-0.08)</f>
        <v>1.61</v>
      </c>
      <c r="O138" s="187">
        <f>+N138/J33+1</f>
        <v>7.44</v>
      </c>
      <c r="P138" s="198">
        <f>+ROUNDUP(O138,0)</f>
        <v>8</v>
      </c>
      <c r="Q138" s="188">
        <f>+E138+E138/6*50*(G33/1000)</f>
        <v>244.29166666666669</v>
      </c>
      <c r="R138" s="190">
        <f>+N138*M138+P138*Q138</f>
        <v>3408.1633333333339</v>
      </c>
      <c r="S138" s="197">
        <f>((I33*I33)/162)*R138</f>
        <v>2103.8045267489715</v>
      </c>
      <c r="T138" s="154" t="s">
        <v>156</v>
      </c>
    </row>
    <row r="139" spans="2:21" hidden="1">
      <c r="C139" s="154" t="s">
        <v>121</v>
      </c>
      <c r="D139" s="191"/>
      <c r="E139" s="184">
        <f>+E138</f>
        <v>225.50000000000003</v>
      </c>
      <c r="G139" s="196">
        <f>+E139*(C34+0.5)</f>
        <v>451.00000000000006</v>
      </c>
      <c r="H139" s="199">
        <f>+E139*C34*E34</f>
        <v>33.82500000000001</v>
      </c>
      <c r="I139" s="200"/>
      <c r="J139" s="200">
        <f>+E139*C34*E34</f>
        <v>33.82500000000001</v>
      </c>
      <c r="K139" s="200">
        <f>+E139*E34</f>
        <v>22.550000000000004</v>
      </c>
      <c r="L139" s="187">
        <f>+(E139)/H34+ IF(E139&gt;0,1,0)</f>
        <v>903.00000000000011</v>
      </c>
      <c r="M139" s="198">
        <f>+ROUNDUP(L139,0)</f>
        <v>903</v>
      </c>
      <c r="N139" s="189">
        <f>+C34-0.04</f>
        <v>1.46</v>
      </c>
      <c r="O139" s="187">
        <f>+N139/J34+1</f>
        <v>10.733333333333334</v>
      </c>
      <c r="P139" s="198">
        <f>+ROUNDUP(O139,0)</f>
        <v>11</v>
      </c>
      <c r="Q139" s="188">
        <f>+E139+E139/6*50*(G34/1000)</f>
        <v>244.29166666666669</v>
      </c>
      <c r="R139" s="190">
        <f>+N139*M139+P139*Q139</f>
        <v>4005.5883333333331</v>
      </c>
      <c r="S139" s="197">
        <f>((I34*I34)/162)*R139</f>
        <v>2472.5853909465018</v>
      </c>
      <c r="T139" s="154" t="s">
        <v>156</v>
      </c>
    </row>
    <row r="140" spans="2:21" hidden="1">
      <c r="N140" s="189"/>
    </row>
    <row r="141" spans="2:21" hidden="1">
      <c r="B141" s="154" t="s">
        <v>154</v>
      </c>
      <c r="C141" s="178" t="s">
        <v>170</v>
      </c>
      <c r="E141" s="184">
        <f>205*1.1</f>
        <v>225.50000000000003</v>
      </c>
      <c r="G141" s="196">
        <f>+E141*(C36+E36*2+0.5)</f>
        <v>383.35</v>
      </c>
      <c r="H141" s="196">
        <f>+E141*(C36+E36*2)*(((D36+E36+F36)*2+0.1)/2)</f>
        <v>94.710000000000008</v>
      </c>
      <c r="I141" s="197">
        <f>+(C36+E36*2)*E141*F36</f>
        <v>13.530000000000001</v>
      </c>
      <c r="J141" s="197">
        <f>+E141*((C36+E36*2)*E36+(D36*E36)+((D36+0.1)*E36))</f>
        <v>36.080000000000005</v>
      </c>
      <c r="K141" s="197">
        <f>+((D36*2)+$K$104*((D36+E36)+(D36+E36+0.1)))*E141</f>
        <v>202.95000000000002</v>
      </c>
      <c r="L141" s="187">
        <f>+(E141)/H36+ IF(E141&gt;0,1,0)</f>
        <v>903.00000000000011</v>
      </c>
      <c r="M141" s="198">
        <f>+ROUNDUP(L141,0)</f>
        <v>903</v>
      </c>
      <c r="N141" s="189">
        <f>+(D36+E36-0.08)+(D36+E36+0.1-0.08)+(C36+E36*2-0.08)</f>
        <v>1.5599999999999998</v>
      </c>
      <c r="O141" s="187">
        <f>+N141/J36+1</f>
        <v>7.2399999999999993</v>
      </c>
      <c r="P141" s="198">
        <f>+ROUNDUP(O141,0)</f>
        <v>8</v>
      </c>
      <c r="Q141" s="188">
        <f>+E141+E141/6*50*(G36/1000)</f>
        <v>244.29166666666669</v>
      </c>
      <c r="R141" s="190">
        <f>+N141*M141+P141*Q141</f>
        <v>3363.0133333333333</v>
      </c>
      <c r="S141" s="197">
        <f>((I36*I36)/162)*R141</f>
        <v>2075.9341563786006</v>
      </c>
      <c r="T141" s="154" t="s">
        <v>156</v>
      </c>
    </row>
    <row r="142" spans="2:21" hidden="1">
      <c r="C142" s="154" t="s">
        <v>121</v>
      </c>
      <c r="D142" s="191"/>
      <c r="E142" s="184">
        <f>+E141</f>
        <v>225.50000000000003</v>
      </c>
      <c r="G142" s="196">
        <f>+E142*(C37+0.5)</f>
        <v>451.00000000000006</v>
      </c>
      <c r="H142" s="199">
        <f>+E142*C37*E37</f>
        <v>33.82500000000001</v>
      </c>
      <c r="I142" s="200"/>
      <c r="J142" s="200">
        <f>+E142*C37*E37</f>
        <v>33.82500000000001</v>
      </c>
      <c r="K142" s="200">
        <f>+E142*E37</f>
        <v>22.550000000000004</v>
      </c>
      <c r="L142" s="187">
        <f>+(E142)/H37+ IF(E142&gt;0,1,0)</f>
        <v>903.00000000000011</v>
      </c>
      <c r="M142" s="198">
        <f>+ROUNDUP(L142,0)</f>
        <v>903</v>
      </c>
      <c r="N142" s="189">
        <f>+C37-0.04</f>
        <v>1.46</v>
      </c>
      <c r="O142" s="187">
        <f>+N142/J37+1</f>
        <v>10.733333333333334</v>
      </c>
      <c r="P142" s="198">
        <f>+ROUNDUP(O142,0)</f>
        <v>11</v>
      </c>
      <c r="Q142" s="188">
        <f>+E142+E142/6*50*(G37/1000)</f>
        <v>244.29166666666669</v>
      </c>
      <c r="R142" s="190">
        <f>+N142*M142+P142*Q142</f>
        <v>4005.5883333333331</v>
      </c>
      <c r="S142" s="197">
        <f>((I37*I37)/162)*R142</f>
        <v>2472.5853909465018</v>
      </c>
      <c r="T142" s="154" t="s">
        <v>156</v>
      </c>
    </row>
    <row r="143" spans="2:21" hidden="1">
      <c r="N143" s="189"/>
    </row>
    <row r="144" spans="2:21" hidden="1">
      <c r="B144" s="376" t="s">
        <v>154</v>
      </c>
      <c r="C144" s="377" t="s">
        <v>171</v>
      </c>
      <c r="E144" s="184">
        <v>312.66000000000003</v>
      </c>
      <c r="G144" s="185">
        <f>+E144*(C39+E39)</f>
        <v>343.92600000000004</v>
      </c>
      <c r="H144" s="185">
        <f>+E144*(C39+E39)*E39</f>
        <v>34.392600000000009</v>
      </c>
      <c r="I144" s="186">
        <f>+E144*(C39+E39)*F39</f>
        <v>17.196300000000004</v>
      </c>
      <c r="J144" s="186">
        <f>+E144*((C39+E39)*E39+(E39*D39))</f>
        <v>40.645800000000001</v>
      </c>
      <c r="K144" s="186">
        <f>+E144*(E39*2+D39*2)</f>
        <v>187.59600000000003</v>
      </c>
      <c r="L144" s="187">
        <f>+(E144)/H39+ IF(E144&gt;0,1,0)</f>
        <v>1251.6400000000001</v>
      </c>
      <c r="M144" s="188">
        <f>+ROUNDUP(L144,0)</f>
        <v>1252</v>
      </c>
      <c r="N144" s="189">
        <f>+(C39+E39-0.08)+(D39+E39-0.08)</f>
        <v>1.24</v>
      </c>
      <c r="O144" s="187">
        <f>+N144/J39+1</f>
        <v>5.96</v>
      </c>
      <c r="P144" s="188">
        <f>+ROUNDUP(O144,0)</f>
        <v>6</v>
      </c>
      <c r="Q144" s="188">
        <f>+E144+E144/6*50*(G39/1000)</f>
        <v>338.71500000000003</v>
      </c>
      <c r="R144" s="190">
        <f>+N144*M144+P144*Q144</f>
        <v>3584.7700000000004</v>
      </c>
      <c r="S144" s="186">
        <f>((I39*I39)/162)*R144</f>
        <v>2212.820987654321</v>
      </c>
      <c r="T144" s="154" t="s">
        <v>156</v>
      </c>
    </row>
    <row r="145" spans="2:20" hidden="1">
      <c r="N145" s="189"/>
    </row>
    <row r="146" spans="2:20" hidden="1">
      <c r="B146" s="154" t="s">
        <v>154</v>
      </c>
      <c r="C146" s="178" t="s">
        <v>172</v>
      </c>
      <c r="E146" s="184">
        <f>205*1.1</f>
        <v>225.50000000000003</v>
      </c>
      <c r="G146" s="196">
        <f>+E146*(C41+E41)</f>
        <v>248.05000000000004</v>
      </c>
      <c r="H146" s="196">
        <f>+E146*(C41+E41)*E41</f>
        <v>24.805000000000007</v>
      </c>
      <c r="I146" s="197">
        <f>+E146*(C41+E41)*F41</f>
        <v>12.402500000000003</v>
      </c>
      <c r="J146" s="197">
        <f>+E146*((C41+E41)*E41+(E41*D41))</f>
        <v>31.570000000000007</v>
      </c>
      <c r="K146" s="197">
        <f>+E146*(E41*2+D41*2)</f>
        <v>180.40000000000003</v>
      </c>
      <c r="L146" s="187">
        <f>+(E146)/H41+ IF(E146&gt;0,1,0)</f>
        <v>903.00000000000011</v>
      </c>
      <c r="M146" s="198">
        <f>+ROUNDUP(L146,0)</f>
        <v>903</v>
      </c>
      <c r="N146" s="189">
        <f>+(C41+E41-0.08)+(D41+E41-0.08)</f>
        <v>1.34</v>
      </c>
      <c r="O146" s="187">
        <f>+N146/J41+1</f>
        <v>6.36</v>
      </c>
      <c r="P146" s="198">
        <f>+ROUNDUP(O146,0)</f>
        <v>7</v>
      </c>
      <c r="Q146" s="188">
        <f>+E146+E146/6*50*(G41/1000)</f>
        <v>244.29166666666669</v>
      </c>
      <c r="R146" s="190">
        <f>+N146*M146+P146*Q146</f>
        <v>2920.0616666666665</v>
      </c>
      <c r="S146" s="197">
        <f>((I41*I41)/162)*R146</f>
        <v>1802.5072016460904</v>
      </c>
      <c r="T146" s="154" t="s">
        <v>156</v>
      </c>
    </row>
    <row r="147" spans="2:20" hidden="1">
      <c r="N147" s="189"/>
    </row>
    <row r="148" spans="2:20" hidden="1">
      <c r="B148" s="154" t="s">
        <v>154</v>
      </c>
      <c r="C148" s="178" t="s">
        <v>173</v>
      </c>
      <c r="E148" s="184">
        <v>81.819999999999993</v>
      </c>
      <c r="G148" s="196">
        <f>+E148*(C43+E43*2+1.5)</f>
        <v>196.36799999999997</v>
      </c>
      <c r="H148" s="196">
        <f>+E148*(C43+E43*2)*(((D43+E43+F43)*2+0.6)/2)</f>
        <v>81.001800000000003</v>
      </c>
      <c r="I148" s="197">
        <f>+(C43+E43*2)*E148*F43</f>
        <v>3.6818999999999997</v>
      </c>
      <c r="J148" s="197">
        <f>+E148*((C43+E43*2)*E43+(D43*E43)+((D43+0.6)*E43))</f>
        <v>33.137099999999997</v>
      </c>
      <c r="K148" s="197">
        <f>+((D43*2)+$K$104*((D43+E43)+(D43+E43+0.6)))*E148</f>
        <v>270.00599999999997</v>
      </c>
      <c r="L148" s="187">
        <f>+(E148)/H43+ IF(E148&gt;0,1,0)</f>
        <v>328.28</v>
      </c>
      <c r="M148" s="198">
        <f>+ROUNDUP(L148,0)</f>
        <v>329</v>
      </c>
      <c r="N148" s="189">
        <f>+(E43+D43+E43+C43+2*E43+E43+D43+0.6+E43-9*0.04)+(E43+D43+2*E43-5*0.04)+(E43+0.6+D43+2*E43-5*0.04)+(C43+4*E43-6*0.04)</f>
        <v>6.2</v>
      </c>
      <c r="O148" s="187">
        <f>2*(D43/J43+1)+2*((D43+0.6)/J43+1)+((C43+2*E43)/J43+1)</f>
        <v>23</v>
      </c>
      <c r="P148" s="198">
        <f>+ROUNDUP(O148,0)</f>
        <v>23</v>
      </c>
      <c r="Q148" s="188">
        <f>+E148+E148/6*50*(G43/1000)</f>
        <v>88.638333333333321</v>
      </c>
      <c r="R148" s="190">
        <f>+N148*M148+P148*Q148</f>
        <v>4078.4816666666666</v>
      </c>
      <c r="S148" s="197">
        <f>((I43*I43)/162)*R148</f>
        <v>2517.5812757201643</v>
      </c>
      <c r="T148" s="154" t="s">
        <v>156</v>
      </c>
    </row>
    <row r="149" spans="2:20" hidden="1"/>
    <row r="150" spans="2:20" hidden="1">
      <c r="B150" s="154" t="s">
        <v>154</v>
      </c>
      <c r="C150" s="178" t="s">
        <v>174</v>
      </c>
      <c r="E150" s="184">
        <f>205*1.1</f>
        <v>225.50000000000003</v>
      </c>
      <c r="G150" s="196">
        <f>+E150*(C45+E45*2+1.5)</f>
        <v>586.30000000000007</v>
      </c>
      <c r="H150" s="196">
        <f>+E150*(C45+E45*2)*(((D45+E45+F45)*2+0.6)/2)</f>
        <v>322.46500000000009</v>
      </c>
      <c r="I150" s="197">
        <f>+(C45+E45*2)*E150*F45</f>
        <v>12.402500000000003</v>
      </c>
      <c r="J150" s="197">
        <f>+E150*((C45+E45*2)*E45+(D45*E45)+((D45+0.6)*E45))</f>
        <v>111.62250000000002</v>
      </c>
      <c r="K150" s="197">
        <f>+((D45*2)+$K$104*((D45+E45)+(D45+E45+0.6)))*E150</f>
        <v>924.55000000000007</v>
      </c>
      <c r="L150" s="187">
        <f>+(E150)/H45+ IF(E150&gt;0,1,0)</f>
        <v>903.00000000000011</v>
      </c>
      <c r="M150" s="198">
        <f>+ROUNDUP(L150,0)</f>
        <v>903</v>
      </c>
      <c r="N150" s="189">
        <f>+(E45+D45+E45+C45+2*E45+E45+D45+0.6+E45-9*0.04)+(E45+D45+2*E45-5*0.04)+(E45+0.6+D45+2*E45-5*0.04)+(C45+4*E45-6*0.04)</f>
        <v>7.4000000000000012</v>
      </c>
      <c r="O150" s="187">
        <f>2*(D45/J45+1)+2*((D45+0.6)/J45+1)+((C45+2*E45)/J45+1)</f>
        <v>27</v>
      </c>
      <c r="P150" s="198">
        <f>+ROUNDUP(O150,0)</f>
        <v>27</v>
      </c>
      <c r="Q150" s="188">
        <f>+E150+E150/6*50*(G45/1000)</f>
        <v>244.29166666666669</v>
      </c>
      <c r="R150" s="190">
        <f>+N150*M150+P150*Q150</f>
        <v>13278.075000000001</v>
      </c>
      <c r="S150" s="197">
        <f>((I45*I45)/162)*R150</f>
        <v>8196.3425925925931</v>
      </c>
      <c r="T150" s="154" t="s">
        <v>156</v>
      </c>
    </row>
    <row r="151" spans="2:20" hidden="1"/>
    <row r="152" spans="2:20" hidden="1">
      <c r="B152" s="154" t="s">
        <v>154</v>
      </c>
      <c r="C152" s="178" t="s">
        <v>175</v>
      </c>
      <c r="E152" s="184">
        <v>100</v>
      </c>
      <c r="G152" s="196">
        <f>+E152*(C47+E47*2+1.5)</f>
        <v>270</v>
      </c>
      <c r="H152" s="196">
        <f>+E152*(C47+E47*2)*(D47+F47+F47)</f>
        <v>84.000000000000014</v>
      </c>
      <c r="I152" s="197">
        <f>+(C47+E47*2)*E152*F47</f>
        <v>6</v>
      </c>
      <c r="J152" s="197">
        <f>+E152*((C47+E47*2)*E47+(D47*E47*2))</f>
        <v>24</v>
      </c>
      <c r="K152" s="197">
        <f>+(D47+$K$104*(D47+E47))*E152*2</f>
        <v>259.99999999999994</v>
      </c>
      <c r="L152" s="187">
        <f>+(E152)/H47+ IF(E152&gt;0,1,0)</f>
        <v>401</v>
      </c>
      <c r="M152" s="198">
        <f>+ROUNDUP(L152,0)</f>
        <v>401</v>
      </c>
      <c r="N152" s="189">
        <f>+(D47+E47-0.08)*2+(C47+E47*2-0.08)</f>
        <v>2.36</v>
      </c>
      <c r="O152" s="187">
        <f>+N152/J47+1</f>
        <v>10.44</v>
      </c>
      <c r="P152" s="198">
        <f>+ROUNDUP(O152,0)</f>
        <v>11</v>
      </c>
      <c r="Q152" s="188">
        <f>+E152+E152/6*50*(G47/1000)</f>
        <v>108.33333333333333</v>
      </c>
      <c r="R152" s="190">
        <f>+N152*M152+P152*Q152</f>
        <v>2138.0266666666666</v>
      </c>
      <c r="S152" s="197">
        <f>((I47*I47)/162)*R152</f>
        <v>1319.7695473251028</v>
      </c>
      <c r="T152" s="154" t="s">
        <v>156</v>
      </c>
    </row>
    <row r="153" spans="2:20" hidden="1">
      <c r="C153" s="154" t="s">
        <v>101</v>
      </c>
      <c r="D153" s="191">
        <f>ROUNDUP(+E152/K47,0)</f>
        <v>34</v>
      </c>
      <c r="E153" s="184"/>
      <c r="G153" s="199"/>
      <c r="H153" s="199"/>
      <c r="I153" s="200"/>
      <c r="J153" s="200">
        <f>0.5*(0.075+0.05)*0.075*C47*D153</f>
        <v>0.15937499999999999</v>
      </c>
      <c r="K153" s="200">
        <f>+(0.075+0.08)*C47*D153</f>
        <v>5.27</v>
      </c>
      <c r="L153" s="193">
        <f>+D153</f>
        <v>34</v>
      </c>
      <c r="M153" s="198">
        <f>+ROUNDUP(L153,0)</f>
        <v>34</v>
      </c>
      <c r="N153" s="194">
        <f>+(C47-0.08)+((0.075+0.05-2*0.04)*2)</f>
        <v>1.01</v>
      </c>
      <c r="O153" s="193"/>
      <c r="P153" s="201"/>
      <c r="Q153" s="195"/>
      <c r="R153" s="190">
        <f>+N153*M153+P153*Q153</f>
        <v>34.340000000000003</v>
      </c>
      <c r="S153" s="197">
        <f>((I47*I47)/162)*R153</f>
        <v>21.197530864197532</v>
      </c>
      <c r="T153" s="154" t="s">
        <v>156</v>
      </c>
    </row>
    <row r="154" spans="2:20" hidden="1">
      <c r="E154" s="184"/>
      <c r="M154" s="204"/>
    </row>
    <row r="155" spans="2:20" hidden="1">
      <c r="B155" s="154" t="s">
        <v>154</v>
      </c>
      <c r="C155" s="178" t="s">
        <v>176</v>
      </c>
      <c r="E155" s="184">
        <f>70.25*1.06418</f>
        <v>74.758644999999987</v>
      </c>
      <c r="G155" s="196">
        <f>+E155*(C50+E50*2+1.5)</f>
        <v>205.58627374999998</v>
      </c>
      <c r="H155" s="196">
        <f>+E155*(C50+E50*2)*(D50+F50+F50)</f>
        <v>84.103475625000002</v>
      </c>
      <c r="I155" s="197">
        <f>+(C50+E50*2)*E155*F50</f>
        <v>4.6724153124999992</v>
      </c>
      <c r="J155" s="197">
        <f>+E155*((C50+E50*2)*E50+(D50*E50*2))</f>
        <v>26.632767281249997</v>
      </c>
      <c r="K155" s="197">
        <f>+(D50+$K$104*(D50+E50))*E155*2</f>
        <v>257.91732524999998</v>
      </c>
      <c r="L155" s="187">
        <f>+(E155)/H50+ IF(E155&gt;0,1,0)</f>
        <v>300.03457999999995</v>
      </c>
      <c r="M155" s="198">
        <f>+ROUNDUP(L155,0)</f>
        <v>301</v>
      </c>
      <c r="N155" s="189">
        <f>+(D50+E50-0.08)*2+(C50+E50*2-0.08)</f>
        <v>2.8600000000000003</v>
      </c>
      <c r="O155" s="187">
        <f>+N155/J50+1</f>
        <v>12.440000000000001</v>
      </c>
      <c r="P155" s="198">
        <f>+ROUNDUP(O155,0)</f>
        <v>13</v>
      </c>
      <c r="Q155" s="188">
        <f>+E155+E155/6*50*(G50/1000)</f>
        <v>80.988532083333325</v>
      </c>
      <c r="R155" s="190">
        <f>+N155*M155+P155*Q155</f>
        <v>1913.7109170833332</v>
      </c>
      <c r="S155" s="197">
        <f>((I50*I50)/162)*R155</f>
        <v>1181.3030352366254</v>
      </c>
      <c r="T155" s="154" t="s">
        <v>156</v>
      </c>
    </row>
    <row r="156" spans="2:20" hidden="1">
      <c r="C156" s="154" t="s">
        <v>101</v>
      </c>
      <c r="D156" s="191">
        <f>ROUNDUP(+E155/K50,0)</f>
        <v>25</v>
      </c>
      <c r="E156" s="184"/>
      <c r="G156" s="199"/>
      <c r="H156" s="199"/>
      <c r="I156" s="200"/>
      <c r="J156" s="200">
        <f>0.5*(0.075+0.05)*0.075*C50*D156</f>
        <v>0.1171875</v>
      </c>
      <c r="K156" s="200">
        <f>+(0.075+0.08)*C50*D156</f>
        <v>3.875</v>
      </c>
      <c r="L156" s="193">
        <f>+D156</f>
        <v>25</v>
      </c>
      <c r="M156" s="198">
        <f>+ROUNDUP(L156,0)</f>
        <v>25</v>
      </c>
      <c r="N156" s="194">
        <f>+(C50-0.08)+((0.075+0.05-2*0.04)*2)</f>
        <v>1.01</v>
      </c>
      <c r="O156" s="193"/>
      <c r="P156" s="201"/>
      <c r="Q156" s="195"/>
      <c r="R156" s="190">
        <f>+N156*M156+P156*Q156</f>
        <v>25.25</v>
      </c>
      <c r="S156" s="197">
        <f>((I50*I50)/162)*R156</f>
        <v>15.586419753086419</v>
      </c>
      <c r="T156" s="154" t="s">
        <v>156</v>
      </c>
    </row>
    <row r="157" spans="2:20" hidden="1"/>
    <row r="158" spans="2:20" hidden="1">
      <c r="B158" s="154" t="s">
        <v>154</v>
      </c>
      <c r="C158" s="178" t="s">
        <v>177</v>
      </c>
      <c r="E158" s="184">
        <v>100</v>
      </c>
      <c r="G158" s="196">
        <f>+E158*(C53+E53*2+1.5)</f>
        <v>275</v>
      </c>
      <c r="H158" s="196">
        <f>+E158*(C53+E53*2)*(D53+F53+F53)</f>
        <v>137.5</v>
      </c>
      <c r="I158" s="197">
        <f>+(C53+E53*2)*E158*F53</f>
        <v>6.25</v>
      </c>
      <c r="J158" s="197">
        <f>+E158*((C53+E53*2)*E53+(D53*E53*2))</f>
        <v>40.625</v>
      </c>
      <c r="K158" s="197">
        <f>+(D53+$K$104*(D53+E53))*E158*2</f>
        <v>425</v>
      </c>
      <c r="L158" s="187">
        <f>+(E158)/H53+ IF(E158&gt;0,1,0)</f>
        <v>401</v>
      </c>
      <c r="M158" s="198">
        <f>+ROUNDUP(L158,0)</f>
        <v>401</v>
      </c>
      <c r="N158" s="189">
        <f>+(E53+D53+E53+C53+2*E53+D53+2*E53-0.04*10)+(E53+D53+2*E53-5*0.04)*2+(C53+4*E53-6*0.04)</f>
        <v>6.96</v>
      </c>
      <c r="O158" s="187">
        <f>(2*(D53+E53)+(C53+2*E53)-6*0.04)/J53*2</f>
        <v>26.08</v>
      </c>
      <c r="P158" s="198">
        <f>+ROUNDUP(O158,0)</f>
        <v>27</v>
      </c>
      <c r="Q158" s="188">
        <f>+E158+E158/6*50*(G53/1000)</f>
        <v>108.33333333333333</v>
      </c>
      <c r="R158" s="190">
        <f>+N158*M158+P158*Q158</f>
        <v>5715.96</v>
      </c>
      <c r="S158" s="197">
        <f>((I53*I53)/162)*R158</f>
        <v>3528.37037037037</v>
      </c>
      <c r="T158" s="154" t="s">
        <v>156</v>
      </c>
    </row>
    <row r="159" spans="2:20" hidden="1">
      <c r="C159" s="154" t="s">
        <v>101</v>
      </c>
      <c r="D159" s="191">
        <f>ROUNDUP(+E158/K53,0)</f>
        <v>34</v>
      </c>
      <c r="E159" s="184"/>
      <c r="G159" s="199"/>
      <c r="H159" s="199"/>
      <c r="I159" s="200"/>
      <c r="J159" s="200">
        <f>0.5*(0.075+0.05)*0.075*C53*D159</f>
        <v>0.15937499999999999</v>
      </c>
      <c r="K159" s="200">
        <f>+(0.075+0.08)*C53*D159</f>
        <v>5.27</v>
      </c>
      <c r="L159" s="193">
        <f>+D159</f>
        <v>34</v>
      </c>
      <c r="M159" s="198">
        <f>+ROUNDUP(L159,0)</f>
        <v>34</v>
      </c>
      <c r="N159" s="194">
        <f>+(C53-0.08)+((0.075+0.05-2*0.04)*2)</f>
        <v>1.01</v>
      </c>
      <c r="O159" s="193"/>
      <c r="P159" s="201"/>
      <c r="Q159" s="195"/>
      <c r="R159" s="190">
        <f>+N159*M159+P159*Q159</f>
        <v>34.340000000000003</v>
      </c>
      <c r="S159" s="197">
        <f>((I53*I53)/162)*R159</f>
        <v>21.197530864197532</v>
      </c>
      <c r="T159" s="154" t="s">
        <v>156</v>
      </c>
    </row>
    <row r="160" spans="2:20" hidden="1"/>
    <row r="161" spans="2:20" hidden="1">
      <c r="B161" s="154" t="s">
        <v>154</v>
      </c>
      <c r="C161" s="178" t="s">
        <v>178</v>
      </c>
      <c r="E161" s="184">
        <v>100</v>
      </c>
      <c r="G161" s="196">
        <f>+E161*(C56+E56*2+1.5)</f>
        <v>275</v>
      </c>
      <c r="H161" s="196">
        <f>+E161*(C56+E56*2)*(D56+F56+F56)</f>
        <v>137.5</v>
      </c>
      <c r="I161" s="197">
        <f>+(C56+E56*2)*E161*F56</f>
        <v>6.25</v>
      </c>
      <c r="J161" s="197">
        <f>+E161*((C56+E56*2)*E56+(D56*E56*2))</f>
        <v>40.625</v>
      </c>
      <c r="K161" s="197">
        <f>+(D56+$K$104*(D56+E56))*E161*2</f>
        <v>425</v>
      </c>
      <c r="L161" s="187">
        <f>+(E161)/H56+ IF(E161&gt;0,1,0)</f>
        <v>401</v>
      </c>
      <c r="M161" s="198">
        <f>+ROUNDUP(L161,0)</f>
        <v>401</v>
      </c>
      <c r="N161" s="189">
        <f>+(E56+D56+E56+C56+2*E56+D56+2*E56-0.04*10)+(E56+D56+2*E56-5*0.04)*2+(C56+4*E56-6*0.04)</f>
        <v>6.96</v>
      </c>
      <c r="O161" s="187">
        <f>(2*(D56+E56)+(C56+2*E56)-6*0.04)/J56*2</f>
        <v>26.08</v>
      </c>
      <c r="P161" s="198">
        <f>+ROUNDUP(O161,0)</f>
        <v>27</v>
      </c>
      <c r="Q161" s="188">
        <f>+E161+E161/6*50*(G56/1000)</f>
        <v>108.33333333333333</v>
      </c>
      <c r="R161" s="190">
        <f>+N161*M161+P161*Q161</f>
        <v>5715.96</v>
      </c>
      <c r="S161" s="197">
        <f>((I56*I56)/162)*R161</f>
        <v>3528.37037037037</v>
      </c>
      <c r="T161" s="154" t="s">
        <v>156</v>
      </c>
    </row>
    <row r="162" spans="2:20" hidden="1">
      <c r="C162" s="154" t="s">
        <v>101</v>
      </c>
      <c r="D162" s="191">
        <f>ROUNDUP(+E161/K56,0)</f>
        <v>34</v>
      </c>
      <c r="E162" s="184"/>
      <c r="G162" s="199"/>
      <c r="H162" s="199"/>
      <c r="I162" s="200"/>
      <c r="J162" s="200">
        <f>0.5*(0.075+0.05)*0.075*C56*D162</f>
        <v>0.15937499999999999</v>
      </c>
      <c r="K162" s="200">
        <f>+(0.075+0.08)*C56*D162</f>
        <v>5.27</v>
      </c>
      <c r="L162" s="193">
        <f>+D162</f>
        <v>34</v>
      </c>
      <c r="M162" s="198">
        <f>+ROUNDUP(L162,0)</f>
        <v>34</v>
      </c>
      <c r="N162" s="194">
        <f>+(C56-0.08)+((0.075+0.05-2*0.04)*2)</f>
        <v>1.01</v>
      </c>
      <c r="O162" s="193"/>
      <c r="P162" s="201"/>
      <c r="Q162" s="195"/>
      <c r="R162" s="190">
        <f>+N162*M162+P162*Q162</f>
        <v>34.340000000000003</v>
      </c>
      <c r="S162" s="197">
        <f>((I56*I56)/162)*R162</f>
        <v>21.197530864197532</v>
      </c>
      <c r="T162" s="154" t="s">
        <v>156</v>
      </c>
    </row>
    <row r="164" spans="2:20">
      <c r="B164" s="378" t="s">
        <v>179</v>
      </c>
      <c r="C164" s="375" t="s">
        <v>180</v>
      </c>
      <c r="E164" s="184">
        <v>44.72</v>
      </c>
      <c r="G164" s="196">
        <f>+E164*(C59+E59*2+1)</f>
        <v>73.787999999999997</v>
      </c>
      <c r="H164" s="196">
        <f>(+E164*(C59+E59*2)*(D59+F59+F59))*50%</f>
        <v>7.9937000000000014</v>
      </c>
      <c r="I164" s="197">
        <f>+(C59+E59*2)*E164*F59</f>
        <v>1.4534000000000002</v>
      </c>
      <c r="J164" s="197">
        <f>+E164*((C59+E59*2+0.06)*E59+(D59*E59*2))</f>
        <v>7.1999199999999997</v>
      </c>
      <c r="K164" s="197">
        <f>+(D59+(D59+E59))*E164*2</f>
        <v>89.44</v>
      </c>
      <c r="L164" s="187">
        <f>+(E164)/H59+ IF(E164&gt;0,1,0)</f>
        <v>179.88</v>
      </c>
      <c r="M164" s="198">
        <f>+ROUNDUP(L164,0)</f>
        <v>180</v>
      </c>
      <c r="N164" s="189">
        <f>+(D59+E59-0.08)*2+(C59+E59*2-0.08)</f>
        <v>1.5100000000000002</v>
      </c>
      <c r="O164" s="187">
        <f>+N164/J59+1</f>
        <v>7.0400000000000009</v>
      </c>
      <c r="P164" s="198">
        <f>+ROUNDUP(O164,0)</f>
        <v>8</v>
      </c>
      <c r="Q164" s="188">
        <f>+E164+E164/6*50*(G59/1000)</f>
        <v>48.446666666666665</v>
      </c>
      <c r="R164" s="190">
        <f>+N164*M164+P164*Q164</f>
        <v>659.37333333333345</v>
      </c>
      <c r="S164" s="197">
        <f>((I59*I59)/162)*R164</f>
        <v>407.02057613168728</v>
      </c>
      <c r="T164" s="154" t="s">
        <v>156</v>
      </c>
    </row>
    <row r="165" spans="2:20">
      <c r="C165" s="154" t="s">
        <v>181</v>
      </c>
      <c r="D165" s="191">
        <f>ROUNDUP(+(E164/SQRT(L59^2+M59^2)),0)</f>
        <v>115</v>
      </c>
      <c r="E165" s="184"/>
      <c r="G165" s="199"/>
      <c r="H165" s="199"/>
      <c r="I165" s="200"/>
      <c r="J165" s="200">
        <f>0.5*(0.075+0.05)*0.075*C59*D165</f>
        <v>0.24257812500000001</v>
      </c>
      <c r="K165" s="200">
        <f>+M59*C59*D165</f>
        <v>14.231250000000001</v>
      </c>
      <c r="L165" s="193"/>
      <c r="M165" s="198">
        <f>+ROUNDUP(L165,0)</f>
        <v>0</v>
      </c>
      <c r="N165" s="194"/>
      <c r="O165" s="193"/>
      <c r="P165" s="201"/>
      <c r="Q165" s="195"/>
      <c r="R165" s="190">
        <f>+N165*M165+P165*Q165</f>
        <v>0</v>
      </c>
      <c r="S165" s="197">
        <f>((I59*I59)/162)*R165</f>
        <v>0</v>
      </c>
    </row>
    <row r="166" spans="2:20">
      <c r="C166" s="154" t="s">
        <v>182</v>
      </c>
      <c r="D166" s="154">
        <f>ROUNDUP(+E164/1,0)</f>
        <v>45</v>
      </c>
    </row>
    <row r="168" spans="2:20" hidden="1">
      <c r="B168" s="378" t="s">
        <v>179</v>
      </c>
      <c r="C168" s="375" t="s">
        <v>183</v>
      </c>
      <c r="E168" s="184">
        <v>47.1</v>
      </c>
      <c r="G168" s="185">
        <f>+E168*(C63+E63*2+1)</f>
        <v>77.715000000000003</v>
      </c>
      <c r="H168" s="185">
        <f>(+E168*(C63+E63*2)*(D63+F63+F63))*50%</f>
        <v>10.715250000000001</v>
      </c>
      <c r="I168" s="186">
        <f>+(C63+E63*2)*E168*F63</f>
        <v>1.5307500000000003</v>
      </c>
      <c r="J168" s="186">
        <f>+E168*((C63+E63*2+0.06)*E63+(D63*E63*2))</f>
        <v>8.9961000000000002</v>
      </c>
      <c r="K168" s="186">
        <f>+(D63+(D63+E63))*E168*2</f>
        <v>122.46</v>
      </c>
      <c r="L168" s="187">
        <f>+(E168)/H63+ IF(E168&gt;0,1,0)</f>
        <v>189.4</v>
      </c>
      <c r="M168" s="188">
        <f>+ROUNDUP(L168,0)</f>
        <v>190</v>
      </c>
      <c r="N168" s="189">
        <f>+(D63+E63-0.08)*2+(C63+E63*2-0.08)</f>
        <v>1.81</v>
      </c>
      <c r="O168" s="187">
        <f>+N168/J63+1</f>
        <v>8.24</v>
      </c>
      <c r="P168" s="188">
        <f>+ROUNDUP(O168,0)</f>
        <v>9</v>
      </c>
      <c r="Q168" s="188">
        <f>+E168+E168/6*50*(G63/1000)</f>
        <v>51.024999999999999</v>
      </c>
      <c r="R168" s="190">
        <f>+N168*M168+P168*Q168</f>
        <v>803.125</v>
      </c>
      <c r="S168" s="186">
        <f>((I63*I63)/162)*R168</f>
        <v>495.75617283950612</v>
      </c>
      <c r="T168" s="154" t="s">
        <v>156</v>
      </c>
    </row>
    <row r="169" spans="2:20" hidden="1">
      <c r="C169" s="154" t="s">
        <v>181</v>
      </c>
      <c r="D169" s="191">
        <f>ROUNDUP(+(E168/SQRT(L63^2+M63^2)),0)</f>
        <v>122</v>
      </c>
      <c r="E169" s="184"/>
      <c r="G169" s="192"/>
      <c r="H169" s="192"/>
      <c r="I169" s="191"/>
      <c r="J169" s="191">
        <f>0.5*(0.075+0.05)*0.075*C63*D169</f>
        <v>0.25734375000000004</v>
      </c>
      <c r="K169" s="191">
        <f>+M63*C63*D169</f>
        <v>15.097500000000002</v>
      </c>
      <c r="L169" s="193"/>
      <c r="M169" s="188">
        <f>+ROUNDUP(L169,0)</f>
        <v>0</v>
      </c>
      <c r="N169" s="194"/>
      <c r="O169" s="193"/>
      <c r="P169" s="195"/>
      <c r="Q169" s="195"/>
      <c r="R169" s="190">
        <f>+N169*M169+P169*Q169</f>
        <v>0</v>
      </c>
      <c r="S169" s="186">
        <f>((I63*I63)/162)*R169</f>
        <v>0</v>
      </c>
    </row>
    <row r="170" spans="2:20" hidden="1">
      <c r="C170" s="154" t="s">
        <v>182</v>
      </c>
      <c r="D170" s="154">
        <f>ROUNDUP(+E168/1,0)</f>
        <v>48</v>
      </c>
    </row>
    <row r="171" spans="2:20" hidden="1">
      <c r="K171" s="186"/>
    </row>
    <row r="172" spans="2:20" hidden="1">
      <c r="B172" s="378" t="s">
        <v>179</v>
      </c>
      <c r="C172" s="375" t="s">
        <v>184</v>
      </c>
      <c r="E172" s="184">
        <v>73.25</v>
      </c>
      <c r="G172" s="185">
        <f>+E172*(C67+E67*2+1)</f>
        <v>131.85</v>
      </c>
      <c r="H172" s="185">
        <f>(+E172*(C67+E67*2)*(D67+F67+F67))*50%</f>
        <v>20.51</v>
      </c>
      <c r="I172" s="186">
        <f>+(C67+E67*2)*E172*F67</f>
        <v>2.93</v>
      </c>
      <c r="J172" s="186">
        <f>+E172*((C67+E67*2+0.06)*E67+(D67*E67*2))</f>
        <v>15.089500000000001</v>
      </c>
      <c r="K172" s="186">
        <f>+(D67+(D67+E67))*E172*2</f>
        <v>190.44999999999996</v>
      </c>
      <c r="L172" s="187">
        <f>+(E172)/H67+ IF(E172&gt;0,1,0)</f>
        <v>294</v>
      </c>
      <c r="M172" s="188">
        <f>+ROUNDUP(L172,0)</f>
        <v>294</v>
      </c>
      <c r="N172" s="189">
        <f>+(D67+E67-0.08)*2+(C67+E67*2-0.08)</f>
        <v>1.96</v>
      </c>
      <c r="O172" s="187">
        <f>+N172/J67+1</f>
        <v>8.84</v>
      </c>
      <c r="P172" s="188">
        <f>+ROUNDUP(O172,0)</f>
        <v>9</v>
      </c>
      <c r="Q172" s="188">
        <f>+E172+E172/6*50*(G67/1000)</f>
        <v>79.354166666666671</v>
      </c>
      <c r="R172" s="190">
        <f>+N172*M172+P172*Q172</f>
        <v>1290.4275</v>
      </c>
      <c r="S172" s="186">
        <f>((I67*I67)/162)*R172</f>
        <v>796.56018518518511</v>
      </c>
      <c r="T172" s="154" t="s">
        <v>156</v>
      </c>
    </row>
    <row r="173" spans="2:20" hidden="1">
      <c r="C173" s="154" t="s">
        <v>181</v>
      </c>
      <c r="D173" s="191">
        <f>ROUNDUP(+(E172/SQRT(L67^2+M67^2)),0)</f>
        <v>189</v>
      </c>
      <c r="E173" s="184"/>
      <c r="G173" s="192"/>
      <c r="H173" s="192"/>
      <c r="I173" s="191"/>
      <c r="J173" s="191">
        <f>0.5*(0.075+0.05)*0.075*C67*D173</f>
        <v>0.53156249999999994</v>
      </c>
      <c r="K173" s="191">
        <f>+M67*C67*D173</f>
        <v>31.185000000000002</v>
      </c>
      <c r="L173" s="193"/>
      <c r="M173" s="188">
        <f>+ROUNDUP(L173,0)</f>
        <v>0</v>
      </c>
      <c r="N173" s="194"/>
      <c r="O173" s="193"/>
      <c r="P173" s="195"/>
      <c r="Q173" s="195"/>
      <c r="R173" s="190">
        <f>+N173*M173+P173*Q173</f>
        <v>0</v>
      </c>
      <c r="S173" s="186">
        <f>((I67*I67)/162)*R173</f>
        <v>0</v>
      </c>
    </row>
    <row r="174" spans="2:20" hidden="1">
      <c r="C174" s="154" t="s">
        <v>182</v>
      </c>
      <c r="D174" s="154">
        <f>ROUNDUP(+E172/1,0)</f>
        <v>74</v>
      </c>
    </row>
    <row r="175" spans="2:20" hidden="1"/>
    <row r="176" spans="2:20" hidden="1">
      <c r="B176" s="205" t="s">
        <v>179</v>
      </c>
      <c r="C176" s="178" t="s">
        <v>185</v>
      </c>
      <c r="E176" s="184">
        <v>8.6</v>
      </c>
      <c r="G176" s="196">
        <f>+E176*(C71+E71*2+1)</f>
        <v>17.2</v>
      </c>
      <c r="H176" s="196">
        <f>(+E176*(C71+E71*2)*(D71+F71+F71))*50%</f>
        <v>3.8700000000000006</v>
      </c>
      <c r="I176" s="197">
        <f>+(C71+E71*2)*E176*F71</f>
        <v>0.43</v>
      </c>
      <c r="J176" s="197">
        <f>+E176*((C71+E71*2+0.06)*E71+(D71*E71*2))</f>
        <v>2.2875999999999999</v>
      </c>
      <c r="K176" s="197">
        <f>+(D71+(D71+E71))*E176*2</f>
        <v>29.240000000000002</v>
      </c>
      <c r="L176" s="187">
        <f>+(E176)/H71+ IF(E176&gt;0,1,0)</f>
        <v>35.4</v>
      </c>
      <c r="M176" s="198">
        <f>+ROUNDUP(L176,0)</f>
        <v>36</v>
      </c>
      <c r="N176" s="189">
        <f>+(D71+E71-0.08)*2+(C71+E71*2-0.08)</f>
        <v>2.56</v>
      </c>
      <c r="O176" s="187">
        <f>+N176/J71+1</f>
        <v>11.24</v>
      </c>
      <c r="P176" s="198">
        <f>+ROUNDUP(O176,0)</f>
        <v>12</v>
      </c>
      <c r="Q176" s="188">
        <f>+E176+E176/6*50*(G71/1000)</f>
        <v>9.3166666666666664</v>
      </c>
      <c r="R176" s="190">
        <f>+N176*M176+P176*Q176</f>
        <v>203.95999999999998</v>
      </c>
      <c r="S176" s="197">
        <f>((I71*I71)/162)*R176</f>
        <v>125.90123456790121</v>
      </c>
      <c r="T176" s="154" t="s">
        <v>156</v>
      </c>
    </row>
    <row r="177" spans="2:20" hidden="1">
      <c r="C177" s="154" t="s">
        <v>181</v>
      </c>
      <c r="D177" s="191">
        <f>ROUNDUP(+(E176/SQRT(L71^2+M71^2)),0)</f>
        <v>23</v>
      </c>
      <c r="E177" s="184"/>
      <c r="G177" s="199"/>
      <c r="H177" s="199"/>
      <c r="I177" s="200"/>
      <c r="J177" s="200">
        <f>0.5*(0.075+0.05)*0.075*C71*D177</f>
        <v>8.6249999999999993E-2</v>
      </c>
      <c r="K177" s="200">
        <f>+M71*C71*D177</f>
        <v>5.0600000000000005</v>
      </c>
      <c r="L177" s="193"/>
      <c r="M177" s="198">
        <f>+ROUNDUP(L177,0)</f>
        <v>0</v>
      </c>
      <c r="N177" s="194"/>
      <c r="O177" s="193"/>
      <c r="P177" s="201"/>
      <c r="Q177" s="195"/>
      <c r="R177" s="190">
        <f>+N177*M177+P177*Q177</f>
        <v>0</v>
      </c>
      <c r="S177" s="197">
        <f>((I71*I71)/162)*R177</f>
        <v>0</v>
      </c>
    </row>
    <row r="178" spans="2:20" hidden="1">
      <c r="C178" s="154" t="s">
        <v>182</v>
      </c>
      <c r="D178" s="154">
        <f>ROUNDUP(+E176/1,0)</f>
        <v>9</v>
      </c>
      <c r="H178" s="191"/>
    </row>
    <row r="179" spans="2:20" hidden="1"/>
    <row r="180" spans="2:20" hidden="1">
      <c r="B180" s="207" t="s">
        <v>179</v>
      </c>
      <c r="C180" s="178" t="s">
        <v>186</v>
      </c>
      <c r="E180" s="184">
        <v>13.83</v>
      </c>
      <c r="G180" s="196">
        <f>+E180*(C75+E75*2+1)</f>
        <v>31.1175</v>
      </c>
      <c r="H180" s="196">
        <f>(+E180*(C75+E75*2)*(D75+F75+F75))*50%</f>
        <v>9.5081250000000015</v>
      </c>
      <c r="I180" s="197">
        <f>+(C75+E75*2)*E180*F75</f>
        <v>0.86437500000000012</v>
      </c>
      <c r="J180" s="197">
        <f>+E180*((C75+E75*2+0.06)*E75+(D75*E75*2))</f>
        <v>5.7221625000000005</v>
      </c>
      <c r="K180" s="197">
        <f>+(D75+(D75+E75))*E180*2</f>
        <v>58.777500000000003</v>
      </c>
      <c r="L180" s="187">
        <f>+(E180)/H75+ IF(E180&gt;0,1,0)</f>
        <v>56.32</v>
      </c>
      <c r="M180" s="198">
        <f>+ROUNDUP(L180,0)</f>
        <v>57</v>
      </c>
      <c r="N180" s="189">
        <f>+(D75+E75-0.08)*2+(C75+E75*2-0.08)</f>
        <v>3.26</v>
      </c>
      <c r="O180" s="187">
        <f>+N180/J75+1</f>
        <v>14.04</v>
      </c>
      <c r="P180" s="198">
        <f>+ROUNDUP(O180,0)</f>
        <v>15</v>
      </c>
      <c r="Q180" s="188">
        <f>+E180+E180/6*50*(G75/1000)</f>
        <v>14.9825</v>
      </c>
      <c r="R180" s="190">
        <f>+N180*M180+P180*Q180</f>
        <v>410.5575</v>
      </c>
      <c r="S180" s="197">
        <f>((I75*I75)/162)*R180</f>
        <v>253.43055555555554</v>
      </c>
      <c r="T180" s="154" t="s">
        <v>156</v>
      </c>
    </row>
    <row r="181" spans="2:20" hidden="1">
      <c r="C181" s="154" t="s">
        <v>181</v>
      </c>
      <c r="D181" s="191">
        <f>ROUNDUP(+(E180/SQRT(L75^2+M75^2)),0)</f>
        <v>36</v>
      </c>
      <c r="E181" s="184"/>
      <c r="G181" s="199"/>
      <c r="H181" s="199"/>
      <c r="I181" s="200"/>
      <c r="J181" s="200">
        <f>0.5*(0.075+0.05)*0.075*C75*D181</f>
        <v>0.16874999999999998</v>
      </c>
      <c r="K181" s="200">
        <f>+M75*C75*D181</f>
        <v>9.9</v>
      </c>
      <c r="L181" s="193"/>
      <c r="M181" s="198">
        <f>+ROUNDUP(L181,0)</f>
        <v>0</v>
      </c>
      <c r="N181" s="194"/>
      <c r="O181" s="193"/>
      <c r="P181" s="201"/>
      <c r="Q181" s="195"/>
      <c r="R181" s="190">
        <f>+N181*M181+P181*Q181</f>
        <v>0</v>
      </c>
      <c r="S181" s="197">
        <f>((I75*I75)/162)*R181</f>
        <v>0</v>
      </c>
    </row>
    <row r="182" spans="2:20" hidden="1">
      <c r="C182" s="154" t="s">
        <v>182</v>
      </c>
      <c r="D182" s="154">
        <f>ROUNDUP(+E180/1,0)</f>
        <v>14</v>
      </c>
    </row>
    <row r="183" spans="2:20" hidden="1"/>
    <row r="184" spans="2:20" hidden="1">
      <c r="B184" s="205" t="s">
        <v>187</v>
      </c>
      <c r="C184" s="178" t="s">
        <v>180</v>
      </c>
      <c r="E184" s="184">
        <v>100</v>
      </c>
      <c r="G184" s="196">
        <f>+E184*(C79+E79*2+1)</f>
        <v>165</v>
      </c>
      <c r="H184" s="196">
        <f>0.5*L79*M79*D185</f>
        <v>20.25</v>
      </c>
      <c r="I184" s="197">
        <f>+(L79*(C79+2*E79)*D185*E79)</f>
        <v>5.8500000000000014</v>
      </c>
      <c r="J184" s="197">
        <f>+D185*(L79+M79)*E79*(C79+2*E79)+D185*((L79+M79)*E79*D79)*2</f>
        <v>20.925000000000001</v>
      </c>
      <c r="K184" s="197">
        <f>+(D79+(D79+E79))*E184*2</f>
        <v>200</v>
      </c>
      <c r="L184" s="187">
        <f>+(D185*(L79+M79))/H79+ IF(E184&gt;0,1,0)</f>
        <v>541</v>
      </c>
      <c r="M184" s="198">
        <f>+ROUNDUP(L184,0)</f>
        <v>541</v>
      </c>
      <c r="N184" s="189">
        <f>+(D79+E79-0.08)*2+(C79+E79*2-0.08)</f>
        <v>1.5100000000000002</v>
      </c>
      <c r="O184" s="187">
        <f>+N184/J79+1</f>
        <v>7.0400000000000009</v>
      </c>
      <c r="P184" s="198">
        <f>+ROUNDUP(O184,0)</f>
        <v>8</v>
      </c>
      <c r="Q184" s="188">
        <f>+(L79+M79-2*0.04)*D185+(((L79+M79-2*0.04)*D185)/6*50*(I79/1000))</f>
        <v>137.58333333333334</v>
      </c>
      <c r="R184" s="190">
        <f>+N184*M184+P184*Q184</f>
        <v>1917.5766666666668</v>
      </c>
      <c r="S184" s="197">
        <f>((I79*I79)/162)*R184</f>
        <v>1183.6893004115227</v>
      </c>
      <c r="T184" s="154" t="s">
        <v>156</v>
      </c>
    </row>
    <row r="185" spans="2:20" hidden="1">
      <c r="C185" s="154" t="s">
        <v>181</v>
      </c>
      <c r="D185" s="191">
        <f>ROUNDUP(+(E184/SQRT(L79^2+M79^2)),0)</f>
        <v>100</v>
      </c>
      <c r="E185" s="184"/>
      <c r="G185" s="199"/>
      <c r="H185" s="199"/>
      <c r="I185" s="200"/>
      <c r="J185" s="200"/>
      <c r="K185" s="200"/>
      <c r="L185" s="193"/>
      <c r="M185" s="198"/>
      <c r="N185" s="194"/>
      <c r="O185" s="193"/>
      <c r="P185" s="201"/>
      <c r="Q185" s="195"/>
      <c r="R185" s="190"/>
      <c r="S185" s="197"/>
    </row>
    <row r="186" spans="2:20" hidden="1">
      <c r="C186" s="154" t="s">
        <v>182</v>
      </c>
      <c r="D186" s="154">
        <f>ROUNDUP(+E184/1,0)</f>
        <v>100</v>
      </c>
    </row>
    <row r="187" spans="2:20" hidden="1"/>
    <row r="188" spans="2:20" hidden="1">
      <c r="B188" s="205" t="s">
        <v>187</v>
      </c>
      <c r="C188" s="178" t="s">
        <v>183</v>
      </c>
      <c r="E188" s="184">
        <v>28.19</v>
      </c>
      <c r="G188" s="196">
        <f>+E188*(C83+E83*2+1)</f>
        <v>46.513500000000001</v>
      </c>
      <c r="H188" s="196">
        <f>0.5*L83*M83*D189</f>
        <v>5.8725000000000005</v>
      </c>
      <c r="I188" s="197">
        <f>+(L83*(C83+2*E83)*D189*E83)</f>
        <v>1.6965000000000003</v>
      </c>
      <c r="J188" s="197">
        <f>+D189*(L83+M83)*E83*(C83+2*E83)+D189*((L83+M83)*E83*D83)*2</f>
        <v>7.2427500000000009</v>
      </c>
      <c r="K188" s="197">
        <f>+(D83+(D83+E83))*E188*2</f>
        <v>73.293999999999997</v>
      </c>
      <c r="L188" s="187">
        <f>+(D189*(L83+M83))/H83+ IF(E188&gt;0,1,0)</f>
        <v>157.60000000000002</v>
      </c>
      <c r="M188" s="198">
        <f>+ROUNDUP(L188,0)</f>
        <v>158</v>
      </c>
      <c r="N188" s="189">
        <f>+(D83+E83-0.08)*2+(C83+E83*2-0.08)</f>
        <v>1.81</v>
      </c>
      <c r="O188" s="187">
        <f>+N188/J83+1</f>
        <v>8.24</v>
      </c>
      <c r="P188" s="198">
        <f>+ROUNDUP(O188,0)</f>
        <v>9</v>
      </c>
      <c r="Q188" s="188">
        <f>+(L83+M83-2*0.04)*D189+(((L83+M83-2*0.04)*D189)/6*50*(I83/1000))</f>
        <v>39.899166666666666</v>
      </c>
      <c r="R188" s="190">
        <f>+N188*M188+P188*Q188</f>
        <v>645.07249999999999</v>
      </c>
      <c r="S188" s="197">
        <f>((I83*I83)/162)*R188</f>
        <v>398.1929012345679</v>
      </c>
      <c r="T188" s="154" t="s">
        <v>156</v>
      </c>
    </row>
    <row r="189" spans="2:20" hidden="1">
      <c r="C189" s="154" t="s">
        <v>181</v>
      </c>
      <c r="D189" s="191">
        <f>ROUNDUP(+(E188/SQRT(L83^2+M83^2)),0)</f>
        <v>29</v>
      </c>
      <c r="E189" s="184"/>
      <c r="G189" s="199"/>
      <c r="H189" s="199"/>
      <c r="I189" s="200"/>
      <c r="J189" s="200"/>
      <c r="K189" s="200"/>
      <c r="L189" s="193"/>
      <c r="M189" s="198"/>
      <c r="N189" s="194"/>
      <c r="O189" s="193"/>
      <c r="P189" s="201"/>
      <c r="Q189" s="195"/>
      <c r="R189" s="190"/>
      <c r="S189" s="197"/>
    </row>
    <row r="190" spans="2:20" hidden="1">
      <c r="C190" s="154" t="s">
        <v>182</v>
      </c>
      <c r="D190" s="154">
        <f>ROUNDUP(+E188/1,0)</f>
        <v>29</v>
      </c>
    </row>
    <row r="191" spans="2:20" hidden="1"/>
    <row r="192" spans="2:20" hidden="1">
      <c r="B192" s="205" t="s">
        <v>187</v>
      </c>
      <c r="C192" s="178" t="s">
        <v>184</v>
      </c>
      <c r="E192" s="184">
        <v>100</v>
      </c>
      <c r="G192" s="196">
        <f>+E192*(C87+E87*2+1)</f>
        <v>180</v>
      </c>
      <c r="H192" s="196">
        <f>0.5*L87*M87*D193</f>
        <v>20.25</v>
      </c>
      <c r="I192" s="197">
        <f>+(L87*(C87+2*E87)*D193*E87)</f>
        <v>7.200000000000002</v>
      </c>
      <c r="J192" s="197">
        <f>+D193*(L87+M87)*E87*(C87+2*E87)+D193*((L87+M87)*E87*D87)*2</f>
        <v>27</v>
      </c>
      <c r="K192" s="197">
        <f>+(D87+(D87+E87))*E192*2</f>
        <v>259.99999999999994</v>
      </c>
      <c r="L192" s="187">
        <f>+(D193*(L87+M87))/H87+ IF(E192&gt;0,1,0)</f>
        <v>541</v>
      </c>
      <c r="M192" s="198">
        <f>+ROUNDUP(L192,0)</f>
        <v>541</v>
      </c>
      <c r="N192" s="189">
        <f>+(D87+E87-0.08)*2+(C87+E87*2-0.08)</f>
        <v>1.96</v>
      </c>
      <c r="O192" s="187">
        <f>+N192/J87+1</f>
        <v>8.84</v>
      </c>
      <c r="P192" s="198">
        <f>+ROUNDUP(O192,0)</f>
        <v>9</v>
      </c>
      <c r="Q192" s="188">
        <f>+(L87+M87-2*0.04)*D193+(((L87+M87-2*0.04)*D193)/6*50*(I87/1000))</f>
        <v>137.58333333333334</v>
      </c>
      <c r="R192" s="190">
        <f>+N192*M192+P192*Q192</f>
        <v>2298.6099999999997</v>
      </c>
      <c r="S192" s="197">
        <f>((I87*I87)/162)*R192</f>
        <v>1418.8950617283947</v>
      </c>
      <c r="T192" s="154" t="s">
        <v>156</v>
      </c>
    </row>
    <row r="193" spans="2:20" hidden="1">
      <c r="C193" s="154" t="s">
        <v>181</v>
      </c>
      <c r="D193" s="191">
        <f>ROUNDUP(+(E192/SQRT(L87^2+M87^2)),0)</f>
        <v>100</v>
      </c>
      <c r="E193" s="184"/>
      <c r="G193" s="199"/>
      <c r="H193" s="199"/>
      <c r="I193" s="200"/>
      <c r="J193" s="200"/>
      <c r="K193" s="200"/>
      <c r="L193" s="193"/>
      <c r="M193" s="198"/>
      <c r="N193" s="194"/>
      <c r="O193" s="193"/>
      <c r="P193" s="201"/>
      <c r="Q193" s="195"/>
      <c r="R193" s="190"/>
      <c r="S193" s="197"/>
    </row>
    <row r="194" spans="2:20" hidden="1">
      <c r="C194" s="154" t="s">
        <v>182</v>
      </c>
      <c r="D194" s="154">
        <f>ROUNDUP(+E192/1,0)</f>
        <v>100</v>
      </c>
    </row>
    <row r="195" spans="2:20" hidden="1"/>
    <row r="196" spans="2:20" hidden="1">
      <c r="B196" s="205" t="s">
        <v>187</v>
      </c>
      <c r="C196" s="178" t="s">
        <v>185</v>
      </c>
      <c r="E196" s="184">
        <v>100</v>
      </c>
      <c r="G196" s="196">
        <f>+E196*(C91+E91*2+1)</f>
        <v>200</v>
      </c>
      <c r="H196" s="196">
        <f>0.5*L91*M91*D197</f>
        <v>20.25</v>
      </c>
      <c r="I196" s="197">
        <f>+(L91*(C91+2*E91)*D197*E91)</f>
        <v>9</v>
      </c>
      <c r="J196" s="197">
        <f>+D197*(L91+M91)*E91*(C91+2*E91)+D197*((L91+M91)*E91*D91)*2</f>
        <v>35.1</v>
      </c>
      <c r="K196" s="197">
        <f>+(D91+(D91+E91))*E196*2</f>
        <v>340.00000000000006</v>
      </c>
      <c r="L196" s="187">
        <f>+(D197*(L91+M91))/H91+ IF(E196&gt;0,1,0)</f>
        <v>541</v>
      </c>
      <c r="M196" s="198">
        <f>+ROUNDUP(L196,0)</f>
        <v>541</v>
      </c>
      <c r="N196" s="189">
        <f>+(D91+E91-0.08)*2+(C91+E91*2-0.08)</f>
        <v>2.56</v>
      </c>
      <c r="O196" s="187">
        <f>+N196/J91+1</f>
        <v>11.24</v>
      </c>
      <c r="P196" s="198">
        <f>+ROUNDUP(O196,0)</f>
        <v>12</v>
      </c>
      <c r="Q196" s="188">
        <f>+(L91+M91-2*0.04)*D197+(((L91+M91-2*0.04)*D197)/6*50*(I91/1000))</f>
        <v>137.58333333333334</v>
      </c>
      <c r="R196" s="190">
        <f>+N196*M196+P196*Q196</f>
        <v>3035.96</v>
      </c>
      <c r="S196" s="197">
        <f>((I91*I91)/162)*R196</f>
        <v>1874.0493827160492</v>
      </c>
      <c r="T196" s="154" t="s">
        <v>156</v>
      </c>
    </row>
    <row r="197" spans="2:20" hidden="1">
      <c r="C197" s="154" t="s">
        <v>181</v>
      </c>
      <c r="D197" s="191">
        <f>ROUNDUP(+(E196/SQRT(L91^2+M91^2)),0)</f>
        <v>100</v>
      </c>
      <c r="E197" s="184"/>
      <c r="G197" s="199"/>
      <c r="H197" s="199"/>
      <c r="I197" s="200"/>
      <c r="J197" s="200"/>
      <c r="K197" s="200"/>
      <c r="L197" s="193"/>
      <c r="M197" s="198"/>
      <c r="N197" s="194"/>
      <c r="O197" s="193"/>
      <c r="P197" s="201"/>
      <c r="Q197" s="195"/>
      <c r="R197" s="190"/>
      <c r="S197" s="197"/>
    </row>
    <row r="198" spans="2:20" hidden="1">
      <c r="C198" s="154" t="s">
        <v>182</v>
      </c>
      <c r="D198" s="154">
        <f>ROUNDUP(+E196/1,0)</f>
        <v>100</v>
      </c>
    </row>
    <row r="199" spans="2:20" hidden="1"/>
    <row r="200" spans="2:20" hidden="1">
      <c r="B200" s="205" t="s">
        <v>187</v>
      </c>
      <c r="C200" s="178" t="s">
        <v>188</v>
      </c>
      <c r="E200" s="184">
        <f>(22.38+21.09+22.47+16.84)*1.06418</f>
        <v>88.092820399999994</v>
      </c>
      <c r="G200" s="196">
        <f>+E200*(C95+E95*2+1)</f>
        <v>198.20884589999997</v>
      </c>
      <c r="H200" s="196">
        <f>0.5*L95*M95*D201</f>
        <v>17.82</v>
      </c>
      <c r="I200" s="197">
        <f>+(L95*(C95+2*E95)*D201*E95)</f>
        <v>12.375</v>
      </c>
      <c r="J200" s="197">
        <f>+D201*(L95+M95)*E95*(C95+2*E95)+D201*((L95+M95)*E95*D95)*2</f>
        <v>40.837500000000006</v>
      </c>
      <c r="K200" s="197">
        <f>+(D95+(D95+E95))*E200*2</f>
        <v>286.30166629999997</v>
      </c>
      <c r="L200" s="187">
        <f>+(D201*(L95+M95))/H95+ IF(E200&gt;0,1,0)</f>
        <v>476.20000000000005</v>
      </c>
      <c r="M200" s="198">
        <f>+ROUNDUP(L200,0)</f>
        <v>477</v>
      </c>
      <c r="N200" s="189">
        <f>+(D95+E95-0.08)*2+(C95+E95*2-0.08)</f>
        <v>2.76</v>
      </c>
      <c r="O200" s="187">
        <f>+N200/J95+1</f>
        <v>12.04</v>
      </c>
      <c r="P200" s="198">
        <f>+ROUNDUP(O200,0)</f>
        <v>13</v>
      </c>
      <c r="Q200" s="188">
        <f>+(L95+M95-2*0.04)*D201+(((L95+M95-2*0.04)*D201)/6*50*(I95/1000))</f>
        <v>121.07333333333334</v>
      </c>
      <c r="R200" s="190">
        <f>+N200*M200+P200*Q200</f>
        <v>2890.4733333333334</v>
      </c>
      <c r="S200" s="197">
        <f>((I95*I95)/162)*R200</f>
        <v>1784.2427983539094</v>
      </c>
      <c r="T200" s="154" t="s">
        <v>156</v>
      </c>
    </row>
    <row r="201" spans="2:20" hidden="1">
      <c r="C201" s="154" t="s">
        <v>181</v>
      </c>
      <c r="D201" s="191">
        <f>ROUNDUP(+(E200/SQRT(L95^2+M95^2)),0)</f>
        <v>88</v>
      </c>
      <c r="E201" s="184"/>
      <c r="G201" s="199"/>
      <c r="H201" s="199"/>
      <c r="I201" s="200"/>
      <c r="J201" s="200">
        <f>0.5*(0.075+0.05)*0.075*C95*D201</f>
        <v>0.41249999999999998</v>
      </c>
      <c r="K201" s="200">
        <f>D201*C95*M95</f>
        <v>39.6</v>
      </c>
      <c r="L201" s="193"/>
      <c r="M201" s="198"/>
      <c r="N201" s="194"/>
      <c r="O201" s="193"/>
      <c r="P201" s="201"/>
      <c r="Q201" s="195"/>
      <c r="R201" s="190"/>
      <c r="S201" s="197"/>
    </row>
    <row r="202" spans="2:20" hidden="1">
      <c r="C202" s="154" t="s">
        <v>182</v>
      </c>
      <c r="D202" s="154">
        <f>ROUNDUP(+E200/1,0)</f>
        <v>89</v>
      </c>
    </row>
    <row r="203" spans="2:20" hidden="1">
      <c r="G203" s="206" t="s">
        <v>189</v>
      </c>
      <c r="H203" s="206" t="s">
        <v>190</v>
      </c>
      <c r="I203" s="206" t="s">
        <v>52</v>
      </c>
    </row>
    <row r="204" spans="2:20" hidden="1"/>
    <row r="205" spans="2:20" hidden="1">
      <c r="B205" s="202"/>
      <c r="E205" s="202"/>
    </row>
    <row r="206" spans="2:20" hidden="1"/>
    <row r="207" spans="2:20" hidden="1">
      <c r="E207" s="202"/>
    </row>
    <row r="208" spans="2:20" hidden="1"/>
    <row r="209" spans="5:5" hidden="1">
      <c r="E209" s="202"/>
    </row>
    <row r="210" spans="5:5" hidden="1"/>
    <row r="211" spans="5:5" hidden="1">
      <c r="E211" s="202"/>
    </row>
    <row r="212" spans="5:5" hidden="1"/>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4" spans="5:5" hidden="1"/>
    <row r="225" spans="2:7" hidden="1"/>
    <row r="226" spans="2:7" hidden="1">
      <c r="B226" s="202" t="s">
        <v>158</v>
      </c>
    </row>
    <row r="227" spans="2:7" ht="28.8" hidden="1">
      <c r="B227" s="207" t="s">
        <v>191</v>
      </c>
      <c r="C227" s="208"/>
    </row>
    <row r="228" spans="2:7" hidden="1"/>
    <row r="229" spans="2:7" hidden="1">
      <c r="B229" s="154" t="s">
        <v>192</v>
      </c>
      <c r="C229" s="191"/>
    </row>
    <row r="230" spans="2:7" hidden="1">
      <c r="B230" s="154" t="s">
        <v>193</v>
      </c>
      <c r="C230" s="154">
        <v>0.5</v>
      </c>
    </row>
    <row r="231" spans="2:7" hidden="1">
      <c r="C231" s="191"/>
    </row>
    <row r="232" spans="2:7" hidden="1">
      <c r="B232" s="154" t="s">
        <v>194</v>
      </c>
      <c r="C232" s="154">
        <f>ROUNDUP(C227/C230,0)</f>
        <v>0</v>
      </c>
    </row>
    <row r="233" spans="2:7" hidden="1"/>
    <row r="234" spans="2:7" hidden="1"/>
    <row r="235" spans="2:7" hidden="1">
      <c r="B235" s="154" t="s">
        <v>195</v>
      </c>
      <c r="C235" s="154">
        <f>C232*0.16*0.5</f>
        <v>0</v>
      </c>
      <c r="E235" s="202" t="s">
        <v>196</v>
      </c>
    </row>
    <row r="236" spans="2:7" hidden="1">
      <c r="B236" s="154" t="s">
        <v>82</v>
      </c>
      <c r="C236" s="154">
        <f>((0.16*2)+(0.15*0.5*2))*C232</f>
        <v>0</v>
      </c>
    </row>
    <row r="237" spans="2:7" hidden="1"/>
    <row r="238" spans="2:7" hidden="1">
      <c r="B238" s="154" t="s">
        <v>197</v>
      </c>
      <c r="C238" s="193">
        <v>2.12</v>
      </c>
      <c r="D238" s="209">
        <f>ROUNDUP(0.5/0.125,0)+1</f>
        <v>5</v>
      </c>
      <c r="E238" s="154">
        <f>C232</f>
        <v>0</v>
      </c>
      <c r="F238" s="154">
        <v>1.1000000000000001</v>
      </c>
      <c r="G238" s="154">
        <f>PRODUCT(C238:F238)</f>
        <v>0</v>
      </c>
    </row>
    <row r="239" spans="2:7" hidden="1">
      <c r="C239" s="154">
        <v>0.5</v>
      </c>
      <c r="D239" s="209">
        <f>ROUNDUP(C238/0.2+1,0)</f>
        <v>12</v>
      </c>
      <c r="E239" s="154">
        <f>C232</f>
        <v>0</v>
      </c>
      <c r="F239" s="154">
        <v>1.1000000000000001</v>
      </c>
      <c r="G239" s="154">
        <f>PRODUCT(C239:F239)</f>
        <v>0</v>
      </c>
    </row>
    <row r="240" spans="2:7" hidden="1"/>
    <row r="241" spans="2:10" hidden="1">
      <c r="G241" s="154">
        <f>SUM(G238:G240)</f>
        <v>0</v>
      </c>
      <c r="H241" s="154">
        <f>ROUND(100/162,3)</f>
        <v>0.61699999999999999</v>
      </c>
      <c r="J241" s="193">
        <f>ROUNDUP(PRODUCT(G241:H241),0)</f>
        <v>0</v>
      </c>
    </row>
    <row r="242" spans="2:10" hidden="1"/>
    <row r="243" spans="2:10" hidden="1"/>
    <row r="244" spans="2:10" hidden="1"/>
    <row r="245" spans="2:10" hidden="1"/>
    <row r="246" spans="2:10" hidden="1"/>
    <row r="247" spans="2:10" hidden="1"/>
    <row r="248" spans="2:10" hidden="1">
      <c r="B248" s="202" t="s">
        <v>198</v>
      </c>
    </row>
    <row r="249" spans="2:10" hidden="1">
      <c r="C249" s="202" t="s">
        <v>189</v>
      </c>
      <c r="D249" s="202" t="s">
        <v>486</v>
      </c>
      <c r="F249" s="202" t="s">
        <v>487</v>
      </c>
    </row>
    <row r="250" spans="2:10" hidden="1">
      <c r="B250" s="202" t="s">
        <v>488</v>
      </c>
      <c r="C250" s="191">
        <f>E106</f>
        <v>130.11000000000001</v>
      </c>
      <c r="D250" s="191">
        <f>(C6+E6+E6)</f>
        <v>0.5</v>
      </c>
      <c r="F250" s="154">
        <f>C250*D250</f>
        <v>65.055000000000007</v>
      </c>
      <c r="G250" s="154">
        <v>1.1000000000000001</v>
      </c>
      <c r="H250" s="154">
        <f>F250*G250</f>
        <v>71.560500000000019</v>
      </c>
    </row>
    <row r="251" spans="2:10" hidden="1"/>
    <row r="252" spans="2:10" hidden="1"/>
    <row r="253" spans="2:10" hidden="1"/>
    <row r="254" spans="2:10" hidden="1"/>
    <row r="255" spans="2:10" hidden="1"/>
    <row r="256" spans="2:10"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E934B-8105-4052-AA49-1C3612CB6175}">
  <dimension ref="A1:O19"/>
  <sheetViews>
    <sheetView workbookViewId="0">
      <selection activeCell="F9" sqref="F9"/>
    </sheetView>
  </sheetViews>
  <sheetFormatPr defaultColWidth="9.109375" defaultRowHeight="13.8"/>
  <cols>
    <col min="1" max="1" width="15.6640625" style="379" bestFit="1" customWidth="1"/>
    <col min="2" max="2" width="9.109375" style="379"/>
    <col min="3" max="3" width="9.5546875" style="379" bestFit="1" customWidth="1"/>
    <col min="4" max="5" width="9.109375" style="379"/>
    <col min="6" max="6" width="15.109375" style="379" bestFit="1" customWidth="1"/>
    <col min="7" max="7" width="9.109375" style="379"/>
    <col min="8" max="8" width="11" style="379" bestFit="1" customWidth="1"/>
    <col min="9" max="9" width="15.5546875" style="379" bestFit="1" customWidth="1"/>
    <col min="10" max="11" width="17.88671875" style="379" bestFit="1" customWidth="1"/>
    <col min="12" max="12" width="11.5546875" style="379" bestFit="1" customWidth="1"/>
    <col min="13" max="14" width="9.109375" style="379"/>
    <col min="15" max="15" width="11.5546875" style="379" bestFit="1" customWidth="1"/>
    <col min="16" max="17" width="9.109375" style="379"/>
    <col min="18" max="18" width="11" style="379" bestFit="1" customWidth="1"/>
    <col min="19" max="19" width="11.5546875" style="379" bestFit="1" customWidth="1"/>
    <col min="20" max="16384" width="9.109375" style="379"/>
  </cols>
  <sheetData>
    <row r="1" spans="1:15">
      <c r="A1" s="379" t="s">
        <v>489</v>
      </c>
    </row>
    <row r="2" spans="1:15">
      <c r="F2" s="380" t="s">
        <v>490</v>
      </c>
      <c r="G2" s="380"/>
      <c r="H2" s="379" t="s">
        <v>491</v>
      </c>
      <c r="I2" s="347" t="s">
        <v>492</v>
      </c>
      <c r="J2" s="381" t="s">
        <v>493</v>
      </c>
      <c r="K2" s="379" t="s">
        <v>494</v>
      </c>
    </row>
    <row r="3" spans="1:15">
      <c r="A3" s="380" t="s">
        <v>0</v>
      </c>
      <c r="B3" s="380"/>
      <c r="C3" s="380" t="s">
        <v>1</v>
      </c>
      <c r="D3" s="380"/>
      <c r="E3" s="380"/>
      <c r="N3" s="380"/>
      <c r="O3" s="380"/>
    </row>
    <row r="4" spans="1:15">
      <c r="F4" s="379" t="s">
        <v>472</v>
      </c>
      <c r="H4" s="379">
        <v>13.36</v>
      </c>
      <c r="I4" s="379">
        <v>10.43</v>
      </c>
      <c r="J4" s="379">
        <v>15.65</v>
      </c>
      <c r="K4" s="379">
        <v>29</v>
      </c>
    </row>
    <row r="5" spans="1:15">
      <c r="A5" s="379" t="s">
        <v>3</v>
      </c>
      <c r="C5" s="379">
        <v>89.9</v>
      </c>
      <c r="F5" s="379" t="s">
        <v>495</v>
      </c>
      <c r="H5" s="379">
        <v>16.7</v>
      </c>
      <c r="I5" s="379">
        <f>(10.43+10.47)/2</f>
        <v>10.45</v>
      </c>
      <c r="J5" s="379">
        <f>(15.65+12.71)/2</f>
        <v>14.18</v>
      </c>
      <c r="K5" s="379">
        <f>(29+28.41)/2</f>
        <v>28.704999999999998</v>
      </c>
    </row>
    <row r="6" spans="1:15">
      <c r="A6" s="379" t="s">
        <v>4</v>
      </c>
      <c r="C6" s="379">
        <f>47.09+23.57</f>
        <v>70.66</v>
      </c>
      <c r="F6" s="379" t="s">
        <v>474</v>
      </c>
      <c r="H6" s="379">
        <v>17.78</v>
      </c>
      <c r="I6" s="379">
        <v>10.47</v>
      </c>
      <c r="J6" s="379">
        <v>12.71</v>
      </c>
      <c r="K6" s="379">
        <v>28.41</v>
      </c>
    </row>
    <row r="7" spans="1:15">
      <c r="A7" s="379" t="s">
        <v>496</v>
      </c>
      <c r="C7" s="379">
        <f>48.63+51.48</f>
        <v>100.11</v>
      </c>
    </row>
    <row r="8" spans="1:15">
      <c r="A8" s="379" t="s">
        <v>497</v>
      </c>
      <c r="C8" s="379">
        <f>(15.18+12.39+4.05)*1.4142</f>
        <v>44.717003999999996</v>
      </c>
    </row>
    <row r="9" spans="1:15">
      <c r="F9" s="380" t="s">
        <v>490</v>
      </c>
      <c r="H9" s="379" t="s">
        <v>491</v>
      </c>
      <c r="I9" s="382" t="s">
        <v>498</v>
      </c>
      <c r="J9" s="383" t="s">
        <v>88</v>
      </c>
    </row>
    <row r="11" spans="1:15">
      <c r="F11" s="379" t="s">
        <v>472</v>
      </c>
      <c r="H11" s="379">
        <v>48.88</v>
      </c>
      <c r="I11" s="379">
        <v>31.1</v>
      </c>
      <c r="J11" s="379">
        <f>14.7</f>
        <v>14.7</v>
      </c>
    </row>
    <row r="12" spans="1:15">
      <c r="A12" s="379" t="s">
        <v>499</v>
      </c>
      <c r="C12" s="379">
        <v>47.47</v>
      </c>
      <c r="F12" s="379" t="s">
        <v>495</v>
      </c>
      <c r="H12" s="379">
        <v>15.52</v>
      </c>
      <c r="I12" s="379">
        <f>(31.1+27)/2</f>
        <v>29.05</v>
      </c>
      <c r="J12" s="379">
        <f>(14.7+13.15)/2</f>
        <v>13.925000000000001</v>
      </c>
    </row>
    <row r="13" spans="1:15">
      <c r="F13" s="379" t="s">
        <v>474</v>
      </c>
      <c r="H13" s="379">
        <v>20.73</v>
      </c>
      <c r="I13" s="379">
        <v>27</v>
      </c>
      <c r="J13" s="379">
        <v>13.15</v>
      </c>
    </row>
    <row r="16" spans="1:15">
      <c r="A16" s="379" t="s">
        <v>500</v>
      </c>
      <c r="B16" s="379" t="s">
        <v>471</v>
      </c>
    </row>
    <row r="17" spans="1:2">
      <c r="A17" s="379" t="s">
        <v>476</v>
      </c>
      <c r="B17" s="379">
        <v>8.5</v>
      </c>
    </row>
    <row r="18" spans="1:2">
      <c r="A18" s="379" t="s">
        <v>501</v>
      </c>
      <c r="B18" s="379">
        <v>1.64</v>
      </c>
    </row>
    <row r="19" spans="1:2">
      <c r="A19" s="379" t="s">
        <v>77</v>
      </c>
      <c r="B19" s="379">
        <v>12</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0E430-11BB-4438-9358-43CC60464D9F}">
  <sheetPr>
    <tabColor rgb="FF002060"/>
  </sheetPr>
  <dimension ref="A1:M34"/>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2.33203125"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t="str">
        <f>'Bill No. 2'!A1:F1</f>
        <v>LOT -06 - BILLS OF QUANTITIES</v>
      </c>
      <c r="B1" s="870"/>
      <c r="C1" s="870"/>
      <c r="D1" s="870"/>
      <c r="E1" s="870"/>
      <c r="F1" s="871"/>
    </row>
    <row r="2" spans="1:13" customFormat="1" ht="75" customHeight="1" thickBot="1">
      <c r="A2" s="872" t="s">
        <v>1512</v>
      </c>
      <c r="B2" s="873"/>
      <c r="C2" s="873"/>
      <c r="D2" s="873"/>
      <c r="E2" s="873"/>
      <c r="F2" s="874"/>
    </row>
    <row r="3" spans="1:13" customFormat="1" ht="15" thickBot="1">
      <c r="A3" s="774"/>
      <c r="B3" s="724" t="s">
        <v>8</v>
      </c>
      <c r="C3" s="724"/>
      <c r="D3" s="725"/>
      <c r="E3" s="726"/>
      <c r="F3" s="753" t="s">
        <v>9</v>
      </c>
    </row>
    <row r="4" spans="1:13" s="11" customFormat="1" ht="52.8" customHeight="1">
      <c r="A4" s="775"/>
      <c r="B4" s="942" t="s">
        <v>1498</v>
      </c>
      <c r="C4" s="942"/>
      <c r="D4" s="942"/>
      <c r="E4" s="942"/>
      <c r="F4" s="10"/>
      <c r="H4" s="12"/>
      <c r="I4" s="13"/>
      <c r="J4" s="12"/>
      <c r="L4" s="14"/>
    </row>
    <row r="5" spans="1:13" s="11" customFormat="1" ht="52.8" customHeight="1" thickBot="1">
      <c r="A5" s="775"/>
      <c r="B5" s="943" t="s">
        <v>1499</v>
      </c>
      <c r="C5" s="943"/>
      <c r="D5" s="943"/>
      <c r="E5" s="943"/>
      <c r="F5" s="10"/>
      <c r="H5" s="12"/>
      <c r="I5" s="13"/>
      <c r="J5" s="12"/>
      <c r="L5" s="14"/>
    </row>
    <row r="6" spans="1:13" s="11" customFormat="1" ht="24.9" customHeight="1" thickBot="1">
      <c r="A6" s="727"/>
      <c r="B6" s="944" t="s">
        <v>10</v>
      </c>
      <c r="C6" s="944"/>
      <c r="D6" s="944"/>
      <c r="E6" s="945"/>
      <c r="F6" s="16"/>
      <c r="H6" s="12"/>
      <c r="I6" s="17"/>
      <c r="J6" s="12"/>
      <c r="K6" s="14"/>
      <c r="M6" s="12"/>
    </row>
    <row r="7" spans="1:13" s="11" customFormat="1">
      <c r="A7" s="18"/>
      <c r="C7" s="18"/>
      <c r="D7" s="19"/>
      <c r="E7" s="20"/>
      <c r="F7" s="20"/>
      <c r="H7" s="12"/>
      <c r="I7" s="13"/>
      <c r="J7" s="12"/>
    </row>
    <row r="8" spans="1:13" s="11" customFormat="1">
      <c r="A8" s="18"/>
      <c r="C8" s="18"/>
      <c r="D8" s="19"/>
      <c r="E8" s="20"/>
      <c r="F8" s="20"/>
      <c r="H8" s="12"/>
      <c r="I8" s="13"/>
      <c r="J8" s="12"/>
    </row>
    <row r="9" spans="1:13" s="11" customFormat="1">
      <c r="A9" s="18"/>
      <c r="C9" s="18"/>
      <c r="D9" s="19"/>
      <c r="E9" s="20"/>
      <c r="F9" s="20"/>
      <c r="H9" s="12"/>
      <c r="I9" s="13"/>
      <c r="J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sheetData>
  <mergeCells count="5">
    <mergeCell ref="A1:F1"/>
    <mergeCell ref="A2:F2"/>
    <mergeCell ref="B4:E4"/>
    <mergeCell ref="B5:E5"/>
    <mergeCell ref="B6:E6"/>
  </mergeCells>
  <printOptions horizontalCentered="1"/>
  <pageMargins left="0.75" right="0.4" top="0.75" bottom="0.5" header="0" footer="0"/>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491FF-8B6C-4083-8574-5276455E3535}">
  <sheetPr>
    <tabColor rgb="FF002060"/>
  </sheetPr>
  <dimension ref="A1:M34"/>
  <sheetViews>
    <sheetView showGridLines="0" view="pageBreakPreview" zoomScaleSheetLayoutView="100" workbookViewId="0">
      <selection activeCell="D22" sqref="D22"/>
    </sheetView>
  </sheetViews>
  <sheetFormatPr defaultColWidth="9.109375" defaultRowHeight="13.2"/>
  <cols>
    <col min="1" max="1" width="5.6640625" style="21" customWidth="1"/>
    <col min="2" max="2" width="40.6640625" style="22" customWidth="1"/>
    <col min="3" max="3" width="6.6640625" style="21" customWidth="1"/>
    <col min="4" max="4" width="8.6640625" style="23" customWidth="1"/>
    <col min="5" max="5" width="22.33203125" style="24" customWidth="1"/>
    <col min="6" max="6" width="33" style="24" customWidth="1"/>
    <col min="7" max="7" width="1.6640625" style="22" customWidth="1"/>
    <col min="8" max="8" width="23.88671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c r="B1" s="870"/>
      <c r="C1" s="870"/>
      <c r="D1" s="870"/>
      <c r="E1" s="870"/>
      <c r="F1" s="871"/>
    </row>
    <row r="2" spans="1:13" customFormat="1" ht="24.6" customHeight="1">
      <c r="A2" s="872" t="s">
        <v>1518</v>
      </c>
      <c r="B2" s="873"/>
      <c r="C2" s="873"/>
      <c r="D2" s="873"/>
      <c r="E2" s="873"/>
      <c r="F2" s="874"/>
    </row>
    <row r="3" spans="1:13" customFormat="1" ht="15" thickBot="1">
      <c r="A3" s="748"/>
      <c r="B3" s="749"/>
      <c r="C3" s="749"/>
      <c r="D3" s="749"/>
      <c r="E3" s="750"/>
      <c r="F3" s="751"/>
    </row>
    <row r="4" spans="1:13" customFormat="1" ht="29.4" customHeight="1" thickBot="1">
      <c r="A4" s="752"/>
      <c r="B4" s="6" t="s">
        <v>8</v>
      </c>
      <c r="C4" s="6"/>
      <c r="D4" s="7"/>
      <c r="E4" s="8"/>
      <c r="F4" s="753" t="s">
        <v>9</v>
      </c>
    </row>
    <row r="5" spans="1:13" s="11" customFormat="1" ht="29.4" customHeight="1" thickBot="1">
      <c r="A5" s="9"/>
      <c r="B5" s="875" t="s">
        <v>1519</v>
      </c>
      <c r="C5" s="875"/>
      <c r="D5" s="875"/>
      <c r="E5" s="876"/>
      <c r="F5" s="10"/>
      <c r="H5" s="12"/>
      <c r="I5" s="13"/>
      <c r="J5" s="12"/>
      <c r="L5" s="14"/>
    </row>
    <row r="6" spans="1:13" s="11" customFormat="1" ht="29.4" customHeight="1" thickBot="1">
      <c r="A6" s="15"/>
      <c r="B6" s="877" t="s">
        <v>10</v>
      </c>
      <c r="C6" s="877"/>
      <c r="D6" s="877"/>
      <c r="E6" s="878"/>
      <c r="F6" s="16"/>
      <c r="H6" s="12"/>
      <c r="I6" s="17"/>
      <c r="J6" s="12"/>
      <c r="K6" s="14"/>
      <c r="M6" s="12"/>
    </row>
    <row r="7" spans="1:13" s="11" customFormat="1">
      <c r="A7" s="18"/>
      <c r="C7" s="18"/>
      <c r="D7" s="19"/>
      <c r="E7" s="20"/>
      <c r="F7" s="20"/>
      <c r="H7" s="12"/>
      <c r="I7" s="13"/>
      <c r="J7" s="12"/>
    </row>
    <row r="8" spans="1:13" s="11" customFormat="1">
      <c r="A8" s="18"/>
      <c r="C8" s="18"/>
      <c r="D8" s="19"/>
      <c r="E8" s="20"/>
      <c r="F8" s="20"/>
      <c r="H8" s="12"/>
      <c r="I8" s="13"/>
      <c r="J8" s="12"/>
    </row>
    <row r="9" spans="1:13" s="11" customFormat="1">
      <c r="A9" s="18"/>
      <c r="C9" s="18"/>
      <c r="D9" s="19"/>
      <c r="E9" s="20"/>
      <c r="F9" s="20"/>
      <c r="H9" s="12"/>
      <c r="I9" s="13"/>
      <c r="J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sheetData>
  <mergeCells count="4">
    <mergeCell ref="A1:F1"/>
    <mergeCell ref="A2:F2"/>
    <mergeCell ref="B5:E5"/>
    <mergeCell ref="B6:E6"/>
  </mergeCells>
  <printOptions horizontalCentered="1"/>
  <pageMargins left="0.75" right="0.4" top="0.75" bottom="0.5" header="0" footer="0"/>
  <pageSetup paperSize="9" scale="7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F901D-F100-497D-944B-258DD9FED383}">
  <sheetPr>
    <tabColor rgb="FF002060"/>
  </sheetPr>
  <dimension ref="A1:M36"/>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3"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t="str">
        <f>'Bill No 4'!A1:F1</f>
        <v>LOT -06 - BILLS OF QUANTITIES</v>
      </c>
      <c r="B1" s="870"/>
      <c r="C1" s="870"/>
      <c r="D1" s="870"/>
      <c r="E1" s="870"/>
      <c r="F1" s="871"/>
    </row>
    <row r="2" spans="1:13" customFormat="1" ht="47.4" customHeight="1">
      <c r="A2" s="872" t="s">
        <v>1513</v>
      </c>
      <c r="B2" s="946"/>
      <c r="C2" s="946"/>
      <c r="D2" s="946"/>
      <c r="E2" s="946"/>
      <c r="F2" s="947"/>
    </row>
    <row r="3" spans="1:13" customFormat="1" ht="11.4" customHeight="1" thickBot="1">
      <c r="A3" s="948"/>
      <c r="B3" s="949"/>
      <c r="C3" s="949"/>
      <c r="D3" s="949"/>
      <c r="E3" s="949"/>
      <c r="F3" s="950"/>
    </row>
    <row r="4" spans="1:13" customFormat="1" ht="15" thickBot="1">
      <c r="A4" s="752"/>
      <c r="B4" s="6" t="s">
        <v>8</v>
      </c>
      <c r="C4" s="6"/>
      <c r="D4" s="7"/>
      <c r="E4" s="8"/>
      <c r="F4" s="753" t="s">
        <v>9</v>
      </c>
    </row>
    <row r="5" spans="1:13" s="11" customFormat="1" ht="28.2" customHeight="1">
      <c r="A5" s="9"/>
      <c r="B5" s="951" t="str">
        <f>'Bill 4.1.1'!$A$1</f>
        <v>BILL No. 4.1.1 - SITE CLEARING</v>
      </c>
      <c r="C5" s="951"/>
      <c r="D5" s="951"/>
      <c r="E5" s="952"/>
      <c r="F5" s="10"/>
      <c r="H5" s="12"/>
      <c r="I5" s="13"/>
      <c r="J5" s="12"/>
      <c r="L5" s="14"/>
    </row>
    <row r="6" spans="1:13" s="11" customFormat="1" ht="28.2" customHeight="1">
      <c r="A6" s="9"/>
      <c r="B6" s="890" t="str">
        <f>'Bill 4.1.2'!$A$1</f>
        <v>BILL No. 4.1.2 - EARTHWORKS</v>
      </c>
      <c r="C6" s="890"/>
      <c r="D6" s="890"/>
      <c r="E6" s="891"/>
      <c r="F6" s="10"/>
      <c r="H6" s="12"/>
      <c r="I6" s="13"/>
      <c r="J6" s="12"/>
      <c r="L6" s="14"/>
    </row>
    <row r="7" spans="1:13" s="11" customFormat="1" ht="28.2" customHeight="1" thickBot="1">
      <c r="A7" s="9"/>
      <c r="B7" s="890" t="str">
        <f>'Bill 4.1.3'!$A$1</f>
        <v>BILL No. 4.1.3 - STRUCTURE CONSTRUCTION AND VEGETATION</v>
      </c>
      <c r="C7" s="890"/>
      <c r="D7" s="890"/>
      <c r="E7" s="891"/>
      <c r="F7" s="10"/>
      <c r="H7" s="12"/>
      <c r="I7" s="13"/>
      <c r="J7" s="12"/>
      <c r="L7" s="14"/>
    </row>
    <row r="8" spans="1:13" s="11" customFormat="1" ht="24.9" customHeight="1" thickBot="1">
      <c r="A8" s="15"/>
      <c r="B8" s="877" t="s">
        <v>10</v>
      </c>
      <c r="C8" s="877"/>
      <c r="D8" s="877"/>
      <c r="E8" s="878"/>
      <c r="F8" s="16"/>
      <c r="H8" s="12"/>
      <c r="I8" s="17"/>
      <c r="J8" s="12"/>
      <c r="K8" s="14"/>
      <c r="M8" s="12"/>
    </row>
    <row r="9" spans="1:13" s="11" customFormat="1">
      <c r="A9" s="18"/>
      <c r="C9" s="18"/>
      <c r="D9" s="19"/>
      <c r="E9" s="20"/>
      <c r="F9" s="20"/>
      <c r="H9" s="12"/>
      <c r="I9" s="13"/>
      <c r="J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row r="35" spans="1:10" s="11" customFormat="1">
      <c r="A35" s="18"/>
      <c r="C35" s="18"/>
      <c r="D35" s="19"/>
      <c r="E35" s="20"/>
      <c r="F35" s="20"/>
      <c r="H35" s="12"/>
      <c r="I35" s="13"/>
      <c r="J35" s="12"/>
    </row>
    <row r="36" spans="1:10" s="11" customFormat="1">
      <c r="A36" s="18"/>
      <c r="C36" s="18"/>
      <c r="D36" s="19"/>
      <c r="E36" s="20"/>
      <c r="F36" s="20"/>
      <c r="H36" s="12"/>
      <c r="I36" s="13"/>
      <c r="J36" s="12"/>
    </row>
  </sheetData>
  <mergeCells count="7">
    <mergeCell ref="B8:E8"/>
    <mergeCell ref="A1:F1"/>
    <mergeCell ref="A2:F2"/>
    <mergeCell ref="A3:F3"/>
    <mergeCell ref="B5:E5"/>
    <mergeCell ref="B6:E6"/>
    <mergeCell ref="B7:E7"/>
  </mergeCells>
  <printOptions horizontalCentered="1"/>
  <pageMargins left="0.75" right="0.4" top="0.75" bottom="0.5" header="0" footer="0"/>
  <pageSetup paperSize="9" scale="7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4A893-C547-48EB-8703-754CD3C6A504}">
  <sheetPr>
    <tabColor rgb="FFFF9933"/>
  </sheetPr>
  <dimension ref="A1:O14"/>
  <sheetViews>
    <sheetView view="pageBreakPreview" zoomScaleNormal="100" zoomScaleSheetLayoutView="100" workbookViewId="0">
      <selection activeCell="I1" sqref="I1:L1048576"/>
    </sheetView>
  </sheetViews>
  <sheetFormatPr defaultColWidth="9.109375" defaultRowHeight="13.2"/>
  <cols>
    <col min="1" max="1" width="7.6640625" style="31" customWidth="1"/>
    <col min="2" max="2" width="9.6640625" style="31" customWidth="1"/>
    <col min="3" max="3" width="50.6640625" style="31" customWidth="1"/>
    <col min="4" max="4" width="7.6640625" style="31" customWidth="1"/>
    <col min="5" max="5" width="8.6640625" style="689" customWidth="1"/>
    <col min="6" max="6" width="15.21875" style="31" customWidth="1"/>
    <col min="7" max="7" width="19.44140625" style="31" customWidth="1"/>
    <col min="8" max="8" width="9.109375" style="31"/>
    <col min="9" max="12" width="0" style="31" hidden="1" customWidth="1"/>
    <col min="13" max="16384" width="9.109375" style="31"/>
  </cols>
  <sheetData>
    <row r="1" spans="1:15" s="27" customFormat="1" ht="60" customHeight="1" thickBot="1">
      <c r="A1" s="892" t="s">
        <v>502</v>
      </c>
      <c r="B1" s="893"/>
      <c r="C1" s="893"/>
      <c r="D1" s="953" t="s">
        <v>1487</v>
      </c>
      <c r="E1" s="953"/>
      <c r="F1" s="953"/>
      <c r="G1" s="954"/>
    </row>
    <row r="2" spans="1:15" ht="26.4">
      <c r="A2" s="754" t="s">
        <v>11</v>
      </c>
      <c r="B2" s="28" t="s">
        <v>12</v>
      </c>
      <c r="C2" s="29" t="s">
        <v>8</v>
      </c>
      <c r="D2" s="28" t="s">
        <v>13</v>
      </c>
      <c r="E2" s="686" t="s">
        <v>14</v>
      </c>
      <c r="F2" s="30" t="s">
        <v>15</v>
      </c>
      <c r="G2" s="755" t="s">
        <v>16</v>
      </c>
    </row>
    <row r="3" spans="1:15" ht="30" customHeight="1">
      <c r="A3" s="756" t="s">
        <v>503</v>
      </c>
      <c r="B3" s="32"/>
      <c r="C3" s="219" t="s">
        <v>17</v>
      </c>
      <c r="D3" s="32"/>
      <c r="E3" s="692"/>
      <c r="F3" s="32"/>
      <c r="G3" s="757"/>
      <c r="I3" s="220" t="s">
        <v>0</v>
      </c>
      <c r="J3" s="345" t="s">
        <v>390</v>
      </c>
      <c r="K3" s="346"/>
    </row>
    <row r="4" spans="1:15" ht="39.6">
      <c r="A4" s="758" t="s">
        <v>504</v>
      </c>
      <c r="B4" s="33" t="s">
        <v>18</v>
      </c>
      <c r="C4" s="47" t="s">
        <v>505</v>
      </c>
      <c r="D4" s="33" t="s">
        <v>20</v>
      </c>
      <c r="E4" s="241">
        <v>562</v>
      </c>
      <c r="F4" s="35"/>
      <c r="G4" s="759"/>
      <c r="I4" s="44">
        <f>Drains85l1!G107+Drains85l1!G110+Drains85l1!G113+Drains85l1!G165+Drains85l1!G169</f>
        <v>228.34900000000002</v>
      </c>
      <c r="J4" s="44">
        <f>QTY85l1!J9</f>
        <v>332.11</v>
      </c>
      <c r="K4" s="347"/>
      <c r="L4" s="44">
        <f>SUM(I4:K4)</f>
        <v>560.45900000000006</v>
      </c>
    </row>
    <row r="5" spans="1:15" s="27" customFormat="1" ht="30" customHeight="1">
      <c r="A5" s="758" t="s">
        <v>506</v>
      </c>
      <c r="B5" s="36" t="s">
        <v>21</v>
      </c>
      <c r="C5" s="37" t="s">
        <v>22</v>
      </c>
      <c r="D5" s="36" t="s">
        <v>23</v>
      </c>
      <c r="E5" s="239">
        <v>10</v>
      </c>
      <c r="F5" s="38"/>
      <c r="G5" s="39"/>
      <c r="H5" s="40"/>
    </row>
    <row r="6" spans="1:15" s="27" customFormat="1" ht="30" customHeight="1">
      <c r="A6" s="758" t="s">
        <v>507</v>
      </c>
      <c r="B6" s="36" t="s">
        <v>24</v>
      </c>
      <c r="C6" s="37" t="s">
        <v>25</v>
      </c>
      <c r="D6" s="36" t="s">
        <v>23</v>
      </c>
      <c r="E6" s="239">
        <v>10</v>
      </c>
      <c r="F6" s="38"/>
      <c r="G6" s="39"/>
      <c r="H6" s="40"/>
    </row>
    <row r="7" spans="1:15" s="27" customFormat="1" ht="30" customHeight="1">
      <c r="A7" s="222" t="s">
        <v>508</v>
      </c>
      <c r="B7" s="56" t="s">
        <v>200</v>
      </c>
      <c r="C7" s="223" t="s">
        <v>201</v>
      </c>
      <c r="D7" s="36" t="s">
        <v>23</v>
      </c>
      <c r="E7" s="239">
        <v>5</v>
      </c>
      <c r="F7" s="57"/>
      <c r="G7" s="39"/>
      <c r="H7" s="40"/>
      <c r="I7" s="40"/>
      <c r="J7" s="349"/>
    </row>
    <row r="8" spans="1:15" s="27" customFormat="1" ht="30" customHeight="1">
      <c r="A8" s="222" t="s">
        <v>509</v>
      </c>
      <c r="B8" s="56" t="s">
        <v>202</v>
      </c>
      <c r="C8" s="223" t="s">
        <v>203</v>
      </c>
      <c r="D8" s="36" t="s">
        <v>23</v>
      </c>
      <c r="E8" s="239">
        <v>5</v>
      </c>
      <c r="F8" s="57"/>
      <c r="G8" s="39"/>
      <c r="H8" s="40"/>
      <c r="I8" s="40"/>
      <c r="J8" s="349"/>
    </row>
    <row r="9" spans="1:15" s="27" customFormat="1" ht="30" customHeight="1">
      <c r="A9" s="222" t="s">
        <v>510</v>
      </c>
      <c r="B9" s="56" t="s">
        <v>26</v>
      </c>
      <c r="C9" s="223" t="s">
        <v>204</v>
      </c>
      <c r="D9" s="36" t="s">
        <v>23</v>
      </c>
      <c r="E9" s="239">
        <v>5</v>
      </c>
      <c r="F9" s="57"/>
      <c r="G9" s="39"/>
      <c r="H9" s="40"/>
      <c r="I9" s="40"/>
      <c r="J9" s="349"/>
    </row>
    <row r="10" spans="1:15" s="27" customFormat="1" ht="30" customHeight="1">
      <c r="A10" s="222" t="s">
        <v>511</v>
      </c>
      <c r="B10" s="56" t="s">
        <v>205</v>
      </c>
      <c r="C10" s="223" t="s">
        <v>206</v>
      </c>
      <c r="D10" s="36" t="s">
        <v>23</v>
      </c>
      <c r="E10" s="239">
        <v>5</v>
      </c>
      <c r="F10" s="57"/>
      <c r="G10" s="39"/>
      <c r="H10" s="40"/>
      <c r="I10" s="40"/>
      <c r="J10" s="349"/>
      <c r="O10" s="27">
        <v>0</v>
      </c>
    </row>
    <row r="11" spans="1:15" customFormat="1" ht="30" customHeight="1">
      <c r="A11" s="770" t="s">
        <v>512</v>
      </c>
      <c r="B11" s="350"/>
      <c r="C11" s="351" t="s">
        <v>399</v>
      </c>
      <c r="D11" s="350"/>
      <c r="E11" s="693"/>
      <c r="F11" s="57"/>
      <c r="G11" s="771"/>
    </row>
    <row r="12" spans="1:15" customFormat="1" ht="30" customHeight="1">
      <c r="A12" s="222" t="s">
        <v>513</v>
      </c>
      <c r="B12" s="350" t="s">
        <v>401</v>
      </c>
      <c r="C12" s="353" t="s">
        <v>402</v>
      </c>
      <c r="D12" s="350" t="s">
        <v>28</v>
      </c>
      <c r="E12" s="693">
        <v>4</v>
      </c>
      <c r="F12" s="57"/>
      <c r="G12" s="771"/>
    </row>
    <row r="13" spans="1:15" customFormat="1" ht="30" customHeight="1">
      <c r="A13" s="222" t="s">
        <v>514</v>
      </c>
      <c r="B13" s="354" t="s">
        <v>404</v>
      </c>
      <c r="C13" s="355" t="s">
        <v>405</v>
      </c>
      <c r="D13" s="354" t="s">
        <v>28</v>
      </c>
      <c r="E13" s="694">
        <v>4</v>
      </c>
      <c r="F13" s="357"/>
      <c r="G13" s="771"/>
    </row>
    <row r="14" spans="1:15" ht="22.5" customHeight="1" thickBot="1">
      <c r="A14" s="760"/>
      <c r="B14" s="896" t="s">
        <v>515</v>
      </c>
      <c r="C14" s="897"/>
      <c r="D14" s="897"/>
      <c r="E14" s="897"/>
      <c r="F14" s="898"/>
      <c r="G14" s="761"/>
    </row>
  </sheetData>
  <mergeCells count="3">
    <mergeCell ref="A1:C1"/>
    <mergeCell ref="D1:G1"/>
    <mergeCell ref="B14:F14"/>
  </mergeCells>
  <printOptions horizontalCentered="1"/>
  <pageMargins left="0.75" right="0.4" top="0.75" bottom="0.5" header="0" footer="0"/>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E59AD-F916-46BA-9A64-230E0272B419}">
  <sheetPr>
    <tabColor rgb="FFFF9933"/>
  </sheetPr>
  <dimension ref="A1:L15"/>
  <sheetViews>
    <sheetView view="pageBreakPreview" zoomScaleNormal="100" zoomScaleSheetLayoutView="100" workbookViewId="0">
      <selection activeCell="H7" sqref="H1:J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689" customWidth="1"/>
    <col min="6" max="6" width="15.109375" style="31" customWidth="1"/>
    <col min="7" max="7" width="21.109375" style="31" customWidth="1"/>
    <col min="8" max="8" width="9.44140625" style="31" hidden="1" customWidth="1"/>
    <col min="9" max="10" width="0" style="31" hidden="1" customWidth="1"/>
    <col min="11" max="16384" width="9.109375" style="31"/>
  </cols>
  <sheetData>
    <row r="1" spans="1:12" s="27" customFormat="1" ht="60" customHeight="1" thickBot="1">
      <c r="A1" s="892" t="s">
        <v>516</v>
      </c>
      <c r="B1" s="893"/>
      <c r="C1" s="893"/>
      <c r="D1" s="953" t="str">
        <f>+'Bill 4.1.1'!D1:G1</f>
        <v xml:space="preserve">REDUCTION OF LANDSLIDE VULNERABILITY BY MITIGATION MEASURES PALATHOTA GANGARAMAYA, KALUTHARA
(Site No.85-LOCATION 01) 
</v>
      </c>
      <c r="E1" s="953"/>
      <c r="F1" s="953"/>
      <c r="G1" s="954"/>
    </row>
    <row r="2" spans="1:12" ht="26.4">
      <c r="A2" s="754" t="s">
        <v>11</v>
      </c>
      <c r="B2" s="28" t="s">
        <v>12</v>
      </c>
      <c r="C2" s="29" t="s">
        <v>8</v>
      </c>
      <c r="D2" s="28" t="s">
        <v>13</v>
      </c>
      <c r="E2" s="686" t="s">
        <v>14</v>
      </c>
      <c r="F2" s="30" t="s">
        <v>15</v>
      </c>
      <c r="G2" s="755" t="s">
        <v>16</v>
      </c>
    </row>
    <row r="3" spans="1:12" ht="24.75" customHeight="1">
      <c r="A3" s="762" t="s">
        <v>517</v>
      </c>
      <c r="B3" s="41"/>
      <c r="C3" s="42" t="s">
        <v>229</v>
      </c>
      <c r="D3" s="41"/>
      <c r="E3" s="688"/>
      <c r="F3" s="41"/>
      <c r="G3" s="765"/>
    </row>
    <row r="4" spans="1:12" ht="39" customHeight="1">
      <c r="A4" s="758" t="s">
        <v>518</v>
      </c>
      <c r="B4" s="33" t="s">
        <v>222</v>
      </c>
      <c r="C4" s="248" t="s">
        <v>223</v>
      </c>
      <c r="D4" s="33" t="s">
        <v>27</v>
      </c>
      <c r="E4" s="241">
        <v>50</v>
      </c>
      <c r="F4" s="35"/>
      <c r="G4" s="764"/>
      <c r="H4" s="44"/>
      <c r="I4" s="384" t="s">
        <v>519</v>
      </c>
    </row>
    <row r="5" spans="1:12" ht="32.25" customHeight="1">
      <c r="A5" s="758" t="s">
        <v>520</v>
      </c>
      <c r="B5" s="33" t="s">
        <v>224</v>
      </c>
      <c r="C5" s="248" t="s">
        <v>225</v>
      </c>
      <c r="D5" s="33" t="s">
        <v>27</v>
      </c>
      <c r="E5" s="240">
        <v>50</v>
      </c>
      <c r="F5" s="35"/>
      <c r="G5" s="764"/>
      <c r="H5" s="44"/>
    </row>
    <row r="6" spans="1:12" ht="32.25" customHeight="1">
      <c r="A6" s="758" t="s">
        <v>521</v>
      </c>
      <c r="B6" s="46" t="s">
        <v>226</v>
      </c>
      <c r="C6" s="248" t="s">
        <v>227</v>
      </c>
      <c r="D6" s="46" t="s">
        <v>28</v>
      </c>
      <c r="E6" s="238">
        <v>20</v>
      </c>
      <c r="F6" s="35"/>
      <c r="G6" s="764"/>
      <c r="H6" s="44"/>
    </row>
    <row r="7" spans="1:12" ht="32.25" customHeight="1">
      <c r="A7" s="758" t="s">
        <v>522</v>
      </c>
      <c r="B7" s="48" t="s">
        <v>228</v>
      </c>
      <c r="C7" s="249" t="s">
        <v>35</v>
      </c>
      <c r="D7" s="50" t="s">
        <v>27</v>
      </c>
      <c r="E7" s="238">
        <v>50</v>
      </c>
      <c r="F7" s="35"/>
      <c r="G7" s="764"/>
      <c r="H7" s="44"/>
      <c r="I7" s="384" t="s">
        <v>519</v>
      </c>
    </row>
    <row r="8" spans="1:12" ht="22.8" customHeight="1">
      <c r="A8" s="762" t="s">
        <v>523</v>
      </c>
      <c r="B8" s="41"/>
      <c r="C8" s="42" t="s">
        <v>29</v>
      </c>
      <c r="D8" s="51"/>
      <c r="E8" s="688"/>
      <c r="F8" s="41"/>
      <c r="G8" s="765"/>
    </row>
    <row r="9" spans="1:12" ht="48" customHeight="1">
      <c r="A9" s="758" t="s">
        <v>524</v>
      </c>
      <c r="B9" s="52" t="s">
        <v>30</v>
      </c>
      <c r="C9" s="53" t="s">
        <v>31</v>
      </c>
      <c r="D9" s="52" t="s">
        <v>28</v>
      </c>
      <c r="E9" s="241">
        <v>30</v>
      </c>
      <c r="F9" s="35"/>
      <c r="G9" s="764"/>
      <c r="H9" s="44">
        <f>Drains85l1!H107+Drains85l1!H110+Drains85l1!H113+Drains85l1!H114+Drains85l1!H165+Drains85l1!H169</f>
        <v>28.587762500000007</v>
      </c>
    </row>
    <row r="10" spans="1:12" ht="51" customHeight="1">
      <c r="A10" s="758" t="s">
        <v>525</v>
      </c>
      <c r="B10" s="52" t="s">
        <v>30</v>
      </c>
      <c r="C10" s="53" t="s">
        <v>526</v>
      </c>
      <c r="D10" s="52" t="s">
        <v>28</v>
      </c>
      <c r="E10" s="241">
        <v>643</v>
      </c>
      <c r="F10" s="35"/>
      <c r="G10" s="764"/>
      <c r="H10" s="44">
        <f>QTY85l1!J29</f>
        <v>642.23</v>
      </c>
      <c r="L10" s="54"/>
    </row>
    <row r="11" spans="1:12" ht="39" customHeight="1">
      <c r="A11" s="758" t="s">
        <v>527</v>
      </c>
      <c r="B11" s="52" t="s">
        <v>418</v>
      </c>
      <c r="C11" s="53" t="s">
        <v>528</v>
      </c>
      <c r="D11" s="52" t="s">
        <v>28</v>
      </c>
      <c r="E11" s="241">
        <v>571</v>
      </c>
      <c r="F11" s="35"/>
      <c r="G11" s="764"/>
      <c r="H11" s="44">
        <f>QTY85l1!J35</f>
        <v>570.01945000000001</v>
      </c>
      <c r="L11" s="54"/>
    </row>
    <row r="12" spans="1:12" ht="35.25" customHeight="1">
      <c r="A12" s="758" t="s">
        <v>529</v>
      </c>
      <c r="B12" s="46" t="s">
        <v>32</v>
      </c>
      <c r="C12" s="248" t="s">
        <v>225</v>
      </c>
      <c r="D12" s="46" t="s">
        <v>28</v>
      </c>
      <c r="E12" s="238">
        <v>25</v>
      </c>
      <c r="F12" s="35"/>
      <c r="G12" s="764"/>
      <c r="L12" s="54"/>
    </row>
    <row r="13" spans="1:12" ht="35.25" customHeight="1">
      <c r="A13" s="758" t="s">
        <v>530</v>
      </c>
      <c r="B13" s="46" t="s">
        <v>33</v>
      </c>
      <c r="C13" s="248" t="s">
        <v>227</v>
      </c>
      <c r="D13" s="46" t="s">
        <v>28</v>
      </c>
      <c r="E13" s="238">
        <v>20</v>
      </c>
      <c r="F13" s="35"/>
      <c r="G13" s="764"/>
      <c r="L13" s="54"/>
    </row>
    <row r="14" spans="1:12" ht="35.25" customHeight="1">
      <c r="A14" s="758" t="s">
        <v>531</v>
      </c>
      <c r="B14" s="48" t="s">
        <v>34</v>
      </c>
      <c r="C14" s="49" t="s">
        <v>35</v>
      </c>
      <c r="D14" s="50" t="s">
        <v>27</v>
      </c>
      <c r="E14" s="238">
        <v>110</v>
      </c>
      <c r="F14" s="35"/>
      <c r="G14" s="764"/>
      <c r="H14" s="44">
        <f>(E9+E10)-E11</f>
        <v>102</v>
      </c>
      <c r="L14" s="54"/>
    </row>
    <row r="15" spans="1:12" ht="28.5" customHeight="1" thickBot="1">
      <c r="A15" s="760"/>
      <c r="B15" s="896" t="s">
        <v>532</v>
      </c>
      <c r="C15" s="897"/>
      <c r="D15" s="897"/>
      <c r="E15" s="897"/>
      <c r="F15" s="898"/>
      <c r="G15" s="761"/>
    </row>
  </sheetData>
  <mergeCells count="3">
    <mergeCell ref="A1:C1"/>
    <mergeCell ref="D1:G1"/>
    <mergeCell ref="B15:F15"/>
  </mergeCells>
  <printOptions horizontalCentered="1"/>
  <pageMargins left="0.75" right="0.4" top="0.75" bottom="0.5" header="0" footer="0"/>
  <pageSetup paperSize="9" scale="7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2104F-B33E-4C06-8351-7F370D592D6F}">
  <sheetPr>
    <tabColor rgb="FFFF9933"/>
  </sheetPr>
  <dimension ref="A1:I48"/>
  <sheetViews>
    <sheetView view="pageBreakPreview" zoomScale="110" zoomScaleNormal="110" zoomScaleSheetLayoutView="110" workbookViewId="0">
      <pane ySplit="2" topLeftCell="A42" activePane="bottomLeft" state="frozen"/>
      <selection activeCell="E36" sqref="E36"/>
      <selection pane="bottomLeft" activeCell="H1" sqref="H1:J1048576"/>
    </sheetView>
  </sheetViews>
  <sheetFormatPr defaultColWidth="9.109375" defaultRowHeight="13.2"/>
  <cols>
    <col min="1" max="1" width="7.6640625" style="31" customWidth="1"/>
    <col min="2" max="2" width="9.44140625" style="31" customWidth="1"/>
    <col min="3" max="3" width="54" style="31" customWidth="1"/>
    <col min="4" max="4" width="7.6640625" style="31" customWidth="1"/>
    <col min="5" max="5" width="8.6640625" style="689" customWidth="1"/>
    <col min="6" max="6" width="16.33203125" style="31" customWidth="1"/>
    <col min="7" max="7" width="19.6640625" style="31" customWidth="1"/>
    <col min="8" max="8" width="11.44140625" style="59" hidden="1" customWidth="1"/>
    <col min="9" max="10" width="0" style="31" hidden="1" customWidth="1"/>
    <col min="11" max="16384" width="9.109375" style="31"/>
  </cols>
  <sheetData>
    <row r="1" spans="1:8" s="27" customFormat="1" ht="60" customHeight="1" thickBot="1">
      <c r="A1" s="892" t="s">
        <v>533</v>
      </c>
      <c r="B1" s="893"/>
      <c r="C1" s="893"/>
      <c r="D1" s="953" t="str">
        <f>+'Bill 4.1.1'!D1:G1</f>
        <v xml:space="preserve">REDUCTION OF LANDSLIDE VULNERABILITY BY MITIGATION MEASURES PALATHOTA GANGARAMAYA, KALUTHARA
(Site No.85-LOCATION 01) 
</v>
      </c>
      <c r="E1" s="953"/>
      <c r="F1" s="953"/>
      <c r="G1" s="954"/>
    </row>
    <row r="2" spans="1:8" ht="26.4">
      <c r="A2" s="754" t="s">
        <v>11</v>
      </c>
      <c r="B2" s="28" t="s">
        <v>12</v>
      </c>
      <c r="C2" s="29" t="s">
        <v>8</v>
      </c>
      <c r="D2" s="28" t="s">
        <v>13</v>
      </c>
      <c r="E2" s="686" t="s">
        <v>14</v>
      </c>
      <c r="F2" s="30" t="s">
        <v>15</v>
      </c>
      <c r="G2" s="755" t="s">
        <v>16</v>
      </c>
    </row>
    <row r="3" spans="1:8" ht="29.4" customHeight="1">
      <c r="A3" s="766" t="s">
        <v>534</v>
      </c>
      <c r="B3" s="60"/>
      <c r="C3" s="42" t="s">
        <v>210</v>
      </c>
      <c r="D3" s="61"/>
      <c r="E3" s="242"/>
      <c r="F3" s="61"/>
      <c r="G3" s="767"/>
    </row>
    <row r="4" spans="1:8" ht="29.4" customHeight="1">
      <c r="A4" s="758" t="s">
        <v>535</v>
      </c>
      <c r="B4" s="62" t="s">
        <v>37</v>
      </c>
      <c r="C4" s="45" t="s">
        <v>38</v>
      </c>
      <c r="D4" s="33" t="s">
        <v>27</v>
      </c>
      <c r="E4" s="241">
        <v>1</v>
      </c>
      <c r="F4" s="35"/>
      <c r="G4" s="764"/>
      <c r="H4" s="59">
        <f>Drains85l1!I107</f>
        <v>1.0667500000000001</v>
      </c>
    </row>
    <row r="5" spans="1:8" ht="29.4" customHeight="1">
      <c r="A5" s="758" t="s">
        <v>536</v>
      </c>
      <c r="B5" s="62" t="s">
        <v>39</v>
      </c>
      <c r="C5" s="45" t="s">
        <v>40</v>
      </c>
      <c r="D5" s="33" t="s">
        <v>27</v>
      </c>
      <c r="E5" s="241">
        <v>5</v>
      </c>
      <c r="F5" s="35"/>
      <c r="G5" s="764"/>
      <c r="H5" s="59">
        <f>Drains85l1!J107+Drains85l1!J108</f>
        <v>4.714793750000001</v>
      </c>
    </row>
    <row r="6" spans="1:8" ht="29.4" customHeight="1">
      <c r="A6" s="758" t="s">
        <v>537</v>
      </c>
      <c r="B6" s="62" t="s">
        <v>41</v>
      </c>
      <c r="C6" s="45" t="s">
        <v>42</v>
      </c>
      <c r="D6" s="33" t="s">
        <v>43</v>
      </c>
      <c r="E6" s="241">
        <v>316</v>
      </c>
      <c r="F6" s="35"/>
      <c r="G6" s="764"/>
      <c r="H6" s="59">
        <f>Drains85l1!U108</f>
        <v>315.49691358024688</v>
      </c>
    </row>
    <row r="7" spans="1:8" ht="29.4" customHeight="1">
      <c r="A7" s="758" t="s">
        <v>538</v>
      </c>
      <c r="B7" s="62" t="s">
        <v>44</v>
      </c>
      <c r="C7" s="45" t="s">
        <v>45</v>
      </c>
      <c r="D7" s="33" t="s">
        <v>20</v>
      </c>
      <c r="E7" s="241">
        <v>61</v>
      </c>
      <c r="F7" s="35"/>
      <c r="G7" s="764"/>
      <c r="H7" s="59">
        <f>Drains85l1!K107+Drains85l1!K108</f>
        <v>60.435499999999998</v>
      </c>
    </row>
    <row r="8" spans="1:8" ht="29.4" customHeight="1">
      <c r="A8" s="766" t="s">
        <v>539</v>
      </c>
      <c r="B8" s="60"/>
      <c r="C8" s="42" t="s">
        <v>36</v>
      </c>
      <c r="D8" s="61"/>
      <c r="E8" s="242"/>
      <c r="F8" s="61"/>
      <c r="G8" s="767"/>
    </row>
    <row r="9" spans="1:8" ht="29.4" customHeight="1">
      <c r="A9" s="758" t="s">
        <v>540</v>
      </c>
      <c r="B9" s="62" t="s">
        <v>37</v>
      </c>
      <c r="C9" s="45" t="s">
        <v>38</v>
      </c>
      <c r="D9" s="33" t="s">
        <v>27</v>
      </c>
      <c r="E9" s="241">
        <v>1</v>
      </c>
      <c r="F9" s="35"/>
      <c r="G9" s="764"/>
      <c r="H9" s="59">
        <f>Drains85l1!I110</f>
        <v>0.84175000000000011</v>
      </c>
    </row>
    <row r="10" spans="1:8" ht="29.4" customHeight="1">
      <c r="A10" s="758" t="s">
        <v>541</v>
      </c>
      <c r="B10" s="62" t="s">
        <v>39</v>
      </c>
      <c r="C10" s="45" t="s">
        <v>40</v>
      </c>
      <c r="D10" s="33" t="s">
        <v>27</v>
      </c>
      <c r="E10" s="241">
        <v>5</v>
      </c>
      <c r="F10" s="35"/>
      <c r="G10" s="764"/>
      <c r="H10" s="59">
        <f>Drains85l1!J110+Drains85l1!J111</f>
        <v>4.0334843750000005</v>
      </c>
    </row>
    <row r="11" spans="1:8" ht="29.4" customHeight="1">
      <c r="A11" s="758" t="s">
        <v>542</v>
      </c>
      <c r="B11" s="62" t="s">
        <v>41</v>
      </c>
      <c r="C11" s="45" t="s">
        <v>42</v>
      </c>
      <c r="D11" s="33" t="s">
        <v>43</v>
      </c>
      <c r="E11" s="241">
        <v>265</v>
      </c>
      <c r="F11" s="35"/>
      <c r="G11" s="764"/>
      <c r="H11" s="59">
        <f>Drains85l1!U111</f>
        <v>263.66460905349794</v>
      </c>
    </row>
    <row r="12" spans="1:8" ht="29.4" customHeight="1">
      <c r="A12" s="758" t="s">
        <v>543</v>
      </c>
      <c r="B12" s="62" t="s">
        <v>44</v>
      </c>
      <c r="C12" s="45" t="s">
        <v>45</v>
      </c>
      <c r="D12" s="33" t="s">
        <v>20</v>
      </c>
      <c r="E12" s="241">
        <v>53</v>
      </c>
      <c r="F12" s="35"/>
      <c r="G12" s="764"/>
      <c r="H12" s="59">
        <f>Drains85l1!K110+Drains85l1!K111</f>
        <v>52.427749999999996</v>
      </c>
    </row>
    <row r="13" spans="1:8" ht="29.4" customHeight="1">
      <c r="A13" s="766" t="s">
        <v>544</v>
      </c>
      <c r="B13" s="51"/>
      <c r="C13" s="42" t="s">
        <v>46</v>
      </c>
      <c r="D13" s="41"/>
      <c r="E13" s="243"/>
      <c r="F13" s="41"/>
      <c r="G13" s="765"/>
    </row>
    <row r="14" spans="1:8" ht="29.4" customHeight="1">
      <c r="A14" s="758" t="s">
        <v>545</v>
      </c>
      <c r="B14" s="62" t="s">
        <v>37</v>
      </c>
      <c r="C14" s="45" t="s">
        <v>38</v>
      </c>
      <c r="D14" s="33" t="s">
        <v>27</v>
      </c>
      <c r="E14" s="241">
        <v>1</v>
      </c>
      <c r="F14" s="35"/>
      <c r="G14" s="764"/>
      <c r="H14" s="59">
        <f>Drains85l1!I113</f>
        <v>0.24000000000000005</v>
      </c>
    </row>
    <row r="15" spans="1:8" ht="29.4" customHeight="1">
      <c r="A15" s="758" t="s">
        <v>546</v>
      </c>
      <c r="B15" s="62" t="s">
        <v>39</v>
      </c>
      <c r="C15" s="45" t="s">
        <v>40</v>
      </c>
      <c r="D15" s="33" t="s">
        <v>27</v>
      </c>
      <c r="E15" s="241">
        <v>2</v>
      </c>
      <c r="F15" s="35"/>
      <c r="G15" s="764"/>
      <c r="H15" s="59">
        <f>Drains85l1!J113+Drains85l1!J114</f>
        <v>1.2056250000000002</v>
      </c>
    </row>
    <row r="16" spans="1:8" ht="29.4" customHeight="1">
      <c r="A16" s="758" t="s">
        <v>547</v>
      </c>
      <c r="B16" s="62" t="s">
        <v>41</v>
      </c>
      <c r="C16" s="45" t="s">
        <v>42</v>
      </c>
      <c r="D16" s="33" t="s">
        <v>43</v>
      </c>
      <c r="E16" s="241">
        <v>75</v>
      </c>
      <c r="F16" s="35"/>
      <c r="G16" s="764"/>
      <c r="H16" s="59">
        <f>Drains85l1!U114</f>
        <v>74.469135802469125</v>
      </c>
    </row>
    <row r="17" spans="1:9" ht="29.4" customHeight="1">
      <c r="A17" s="758" t="s">
        <v>548</v>
      </c>
      <c r="B17" s="62" t="s">
        <v>44</v>
      </c>
      <c r="C17" s="45" t="s">
        <v>45</v>
      </c>
      <c r="D17" s="33" t="s">
        <v>20</v>
      </c>
      <c r="E17" s="241">
        <v>16</v>
      </c>
      <c r="F17" s="35"/>
      <c r="G17" s="764"/>
      <c r="H17" s="59">
        <f>Drains85l1!K113+Drains85l1!K114</f>
        <v>15.785999999999998</v>
      </c>
    </row>
    <row r="18" spans="1:9" ht="30" customHeight="1">
      <c r="A18" s="766" t="s">
        <v>549</v>
      </c>
      <c r="B18" s="60"/>
      <c r="C18" s="360" t="s">
        <v>441</v>
      </c>
      <c r="D18" s="41"/>
      <c r="E18" s="242"/>
      <c r="F18" s="61"/>
      <c r="G18" s="765"/>
    </row>
    <row r="19" spans="1:9" ht="30" customHeight="1">
      <c r="A19" s="758" t="s">
        <v>550</v>
      </c>
      <c r="B19" s="62" t="s">
        <v>37</v>
      </c>
      <c r="C19" s="45" t="s">
        <v>38</v>
      </c>
      <c r="D19" s="33" t="s">
        <v>27</v>
      </c>
      <c r="E19" s="241">
        <v>1</v>
      </c>
      <c r="F19" s="35"/>
      <c r="G19" s="764"/>
      <c r="H19" s="59">
        <f>Drains85l1!I165</f>
        <v>0.27592500000000003</v>
      </c>
    </row>
    <row r="20" spans="1:9" ht="30" customHeight="1">
      <c r="A20" s="758" t="s">
        <v>551</v>
      </c>
      <c r="B20" s="62" t="s">
        <v>39</v>
      </c>
      <c r="C20" s="45" t="s">
        <v>40</v>
      </c>
      <c r="D20" s="33" t="s">
        <v>27</v>
      </c>
      <c r="E20" s="241">
        <v>2</v>
      </c>
      <c r="F20" s="35"/>
      <c r="G20" s="764"/>
      <c r="H20" s="59">
        <f>Drains85l1!J165+Drains85l1!J166</f>
        <v>1.4132962500000001</v>
      </c>
    </row>
    <row r="21" spans="1:9" ht="30" customHeight="1">
      <c r="A21" s="758" t="s">
        <v>547</v>
      </c>
      <c r="B21" s="62" t="s">
        <v>41</v>
      </c>
      <c r="C21" s="45" t="s">
        <v>42</v>
      </c>
      <c r="D21" s="33" t="s">
        <v>43</v>
      </c>
      <c r="E21" s="241">
        <v>79</v>
      </c>
      <c r="F21" s="35"/>
      <c r="G21" s="764"/>
      <c r="H21" s="59">
        <f>Drains85l1!S165</f>
        <v>78.043209876543216</v>
      </c>
    </row>
    <row r="22" spans="1:9" ht="30" customHeight="1">
      <c r="A22" s="758" t="s">
        <v>552</v>
      </c>
      <c r="B22" s="62" t="s">
        <v>44</v>
      </c>
      <c r="C22" s="45" t="s">
        <v>45</v>
      </c>
      <c r="D22" s="33" t="s">
        <v>20</v>
      </c>
      <c r="E22" s="241">
        <v>20</v>
      </c>
      <c r="F22" s="35"/>
      <c r="G22" s="764"/>
      <c r="H22" s="59">
        <f>Drains85l1!K165+Drains85l1!K166</f>
        <v>19.702500000000001</v>
      </c>
    </row>
    <row r="23" spans="1:9" ht="30" customHeight="1">
      <c r="A23" s="766" t="s">
        <v>553</v>
      </c>
      <c r="B23" s="60"/>
      <c r="C23" s="360" t="s">
        <v>47</v>
      </c>
      <c r="D23" s="41"/>
      <c r="E23" s="242"/>
      <c r="F23" s="61"/>
      <c r="G23" s="765"/>
    </row>
    <row r="24" spans="1:9" ht="30" customHeight="1">
      <c r="A24" s="758" t="s">
        <v>554</v>
      </c>
      <c r="B24" s="62" t="s">
        <v>37</v>
      </c>
      <c r="C24" s="45" t="s">
        <v>38</v>
      </c>
      <c r="D24" s="33" t="s">
        <v>27</v>
      </c>
      <c r="E24" s="241">
        <v>1</v>
      </c>
      <c r="F24" s="35"/>
      <c r="G24" s="764"/>
      <c r="H24" s="59">
        <f>Drains85l1!I169</f>
        <v>0.22977500000000003</v>
      </c>
    </row>
    <row r="25" spans="1:9" ht="30" customHeight="1">
      <c r="A25" s="758" t="s">
        <v>555</v>
      </c>
      <c r="B25" s="62" t="s">
        <v>39</v>
      </c>
      <c r="C25" s="45" t="s">
        <v>40</v>
      </c>
      <c r="D25" s="33" t="s">
        <v>27</v>
      </c>
      <c r="E25" s="241">
        <v>2</v>
      </c>
      <c r="F25" s="35"/>
      <c r="G25" s="764"/>
      <c r="H25" s="59">
        <f>Drains85l1!J169+Drains85l1!J170</f>
        <v>1.390448125</v>
      </c>
    </row>
    <row r="26" spans="1:9" ht="30" customHeight="1">
      <c r="A26" s="758" t="s">
        <v>556</v>
      </c>
      <c r="B26" s="62" t="s">
        <v>41</v>
      </c>
      <c r="C26" s="45" t="s">
        <v>42</v>
      </c>
      <c r="D26" s="33" t="s">
        <v>43</v>
      </c>
      <c r="E26" s="241">
        <v>77</v>
      </c>
      <c r="F26" s="35"/>
      <c r="G26" s="764"/>
      <c r="H26" s="59">
        <f>Drains85l1!S169</f>
        <v>76.069444444444457</v>
      </c>
    </row>
    <row r="27" spans="1:9" ht="30" customHeight="1">
      <c r="A27" s="758" t="s">
        <v>557</v>
      </c>
      <c r="B27" s="62" t="s">
        <v>44</v>
      </c>
      <c r="C27" s="45" t="s">
        <v>45</v>
      </c>
      <c r="D27" s="33" t="s">
        <v>20</v>
      </c>
      <c r="E27" s="241">
        <v>21</v>
      </c>
      <c r="F27" s="35"/>
      <c r="G27" s="764"/>
      <c r="H27" s="59">
        <f>Drains85l1!K169+Drains85l1!K170</f>
        <v>20.733249999999998</v>
      </c>
    </row>
    <row r="28" spans="1:9" s="65" customFormat="1" ht="27.75" customHeight="1">
      <c r="A28" s="766" t="s">
        <v>558</v>
      </c>
      <c r="B28" s="46"/>
      <c r="C28" s="66" t="s">
        <v>48</v>
      </c>
      <c r="D28" s="46"/>
      <c r="E28" s="238"/>
      <c r="F28" s="57"/>
      <c r="G28" s="367"/>
      <c r="H28" s="63"/>
      <c r="I28" s="64"/>
    </row>
    <row r="29" spans="1:9" s="65" customFormat="1" ht="31.95" customHeight="1">
      <c r="A29" s="818" t="s">
        <v>559</v>
      </c>
      <c r="B29" s="813" t="s">
        <v>49</v>
      </c>
      <c r="C29" s="819" t="s">
        <v>448</v>
      </c>
      <c r="D29" s="813" t="s">
        <v>5</v>
      </c>
      <c r="E29" s="820">
        <v>50</v>
      </c>
      <c r="F29" s="821"/>
      <c r="G29" s="822"/>
      <c r="H29" s="63">
        <f>Drains85l1!E165+Drains85l1!E169+2</f>
        <v>17.560000000000002</v>
      </c>
      <c r="I29" s="64"/>
    </row>
    <row r="30" spans="1:9" s="65" customFormat="1" ht="33" customHeight="1">
      <c r="A30" s="766" t="s">
        <v>560</v>
      </c>
      <c r="B30" s="36"/>
      <c r="C30" s="817" t="s">
        <v>561</v>
      </c>
      <c r="D30" s="36"/>
      <c r="E30" s="239"/>
      <c r="F30" s="606"/>
      <c r="G30" s="604"/>
      <c r="H30" s="63"/>
      <c r="I30" s="64"/>
    </row>
    <row r="31" spans="1:9" s="65" customFormat="1" ht="31.95" customHeight="1">
      <c r="A31" s="768" t="s">
        <v>562</v>
      </c>
      <c r="B31" s="62" t="s">
        <v>37</v>
      </c>
      <c r="C31" s="45" t="s">
        <v>38</v>
      </c>
      <c r="D31" s="33" t="s">
        <v>27</v>
      </c>
      <c r="E31" s="238">
        <v>8</v>
      </c>
      <c r="F31" s="35"/>
      <c r="G31" s="367"/>
      <c r="H31" s="63">
        <f>QTY85l1!J45</f>
        <v>7.328475000000001</v>
      </c>
      <c r="I31" s="64"/>
    </row>
    <row r="32" spans="1:9" s="65" customFormat="1" ht="31.95" customHeight="1">
      <c r="A32" s="768" t="s">
        <v>563</v>
      </c>
      <c r="B32" s="62" t="s">
        <v>39</v>
      </c>
      <c r="C32" s="385" t="s">
        <v>564</v>
      </c>
      <c r="D32" s="33" t="s">
        <v>27</v>
      </c>
      <c r="E32" s="238">
        <v>170</v>
      </c>
      <c r="F32" s="35"/>
      <c r="G32" s="367"/>
      <c r="H32" s="63">
        <f>QTY85l1!J54</f>
        <v>169.11774</v>
      </c>
      <c r="I32" s="64"/>
    </row>
    <row r="33" spans="1:9" s="65" customFormat="1" ht="31.95" customHeight="1">
      <c r="A33" s="768" t="s">
        <v>565</v>
      </c>
      <c r="B33" s="62" t="s">
        <v>41</v>
      </c>
      <c r="C33" s="45" t="s">
        <v>42</v>
      </c>
      <c r="D33" s="33" t="s">
        <v>43</v>
      </c>
      <c r="E33" s="238">
        <v>4350</v>
      </c>
      <c r="F33" s="35"/>
      <c r="G33" s="367"/>
      <c r="H33" s="63">
        <f>QTY85l1!J86</f>
        <v>4343.3168240000005</v>
      </c>
      <c r="I33" s="64"/>
    </row>
    <row r="34" spans="1:9" s="65" customFormat="1" ht="31.95" customHeight="1">
      <c r="A34" s="768" t="s">
        <v>566</v>
      </c>
      <c r="B34" s="62" t="s">
        <v>44</v>
      </c>
      <c r="C34" s="385" t="s">
        <v>567</v>
      </c>
      <c r="D34" s="33" t="s">
        <v>20</v>
      </c>
      <c r="E34" s="238">
        <v>737</v>
      </c>
      <c r="F34" s="35"/>
      <c r="G34" s="367"/>
      <c r="H34" s="63">
        <f>QTY85l1!J66</f>
        <v>736.03530000000023</v>
      </c>
      <c r="I34" s="64"/>
    </row>
    <row r="35" spans="1:9" s="65" customFormat="1" ht="31.95" customHeight="1">
      <c r="A35" s="768" t="s">
        <v>568</v>
      </c>
      <c r="B35" s="62" t="s">
        <v>569</v>
      </c>
      <c r="C35" s="385" t="s">
        <v>570</v>
      </c>
      <c r="D35" s="33" t="s">
        <v>5</v>
      </c>
      <c r="E35" s="238">
        <v>50</v>
      </c>
      <c r="F35" s="35"/>
      <c r="G35" s="764"/>
      <c r="H35" s="63"/>
      <c r="I35" s="64"/>
    </row>
    <row r="36" spans="1:9" s="65" customFormat="1" ht="31.95" customHeight="1">
      <c r="A36" s="766" t="s">
        <v>571</v>
      </c>
      <c r="B36" s="62"/>
      <c r="C36" s="386" t="s">
        <v>572</v>
      </c>
      <c r="D36" s="33"/>
      <c r="E36" s="238"/>
      <c r="F36" s="35"/>
      <c r="G36" s="367"/>
      <c r="H36" s="63"/>
      <c r="I36" s="64"/>
    </row>
    <row r="37" spans="1:9" ht="30" customHeight="1">
      <c r="A37" s="758" t="s">
        <v>573</v>
      </c>
      <c r="B37" s="62" t="s">
        <v>37</v>
      </c>
      <c r="C37" s="45" t="s">
        <v>38</v>
      </c>
      <c r="D37" s="33" t="s">
        <v>27</v>
      </c>
      <c r="E37" s="241">
        <v>1</v>
      </c>
      <c r="F37" s="35"/>
      <c r="G37" s="764"/>
      <c r="H37" s="59">
        <f>QTY85l1!J95</f>
        <v>0.83391000000000004</v>
      </c>
    </row>
    <row r="38" spans="1:9" ht="30" customHeight="1">
      <c r="A38" s="758" t="s">
        <v>574</v>
      </c>
      <c r="B38" s="62" t="s">
        <v>39</v>
      </c>
      <c r="C38" s="45" t="s">
        <v>575</v>
      </c>
      <c r="D38" s="33" t="s">
        <v>27</v>
      </c>
      <c r="E38" s="241">
        <v>4</v>
      </c>
      <c r="F38" s="35"/>
      <c r="G38" s="764"/>
      <c r="H38" s="59">
        <f>QTY85l1!J96</f>
        <v>3.3356400000000002</v>
      </c>
    </row>
    <row r="39" spans="1:9" ht="30" customHeight="1">
      <c r="A39" s="758" t="s">
        <v>576</v>
      </c>
      <c r="B39" s="62" t="s">
        <v>41</v>
      </c>
      <c r="C39" s="45" t="s">
        <v>42</v>
      </c>
      <c r="D39" s="33" t="s">
        <v>43</v>
      </c>
      <c r="E39" s="241">
        <v>165</v>
      </c>
      <c r="F39" s="35"/>
      <c r="G39" s="764"/>
      <c r="H39" s="59">
        <f>QTY85l1!J106</f>
        <v>163.34201400000001</v>
      </c>
    </row>
    <row r="40" spans="1:9" ht="30" customHeight="1">
      <c r="A40" s="758" t="s">
        <v>577</v>
      </c>
      <c r="B40" s="62" t="s">
        <v>44</v>
      </c>
      <c r="C40" s="45" t="s">
        <v>578</v>
      </c>
      <c r="D40" s="33" t="s">
        <v>20</v>
      </c>
      <c r="E40" s="241">
        <v>10</v>
      </c>
      <c r="F40" s="35"/>
      <c r="G40" s="764"/>
      <c r="H40" s="59">
        <f>QTY85l1!J101</f>
        <v>9.1959999999999997</v>
      </c>
    </row>
    <row r="41" spans="1:9" s="65" customFormat="1" ht="31.95" customHeight="1">
      <c r="A41" s="758" t="s">
        <v>579</v>
      </c>
      <c r="B41" s="62" t="s">
        <v>50</v>
      </c>
      <c r="C41" s="385" t="s">
        <v>51</v>
      </c>
      <c r="D41" s="33" t="s">
        <v>20</v>
      </c>
      <c r="E41" s="238">
        <v>15</v>
      </c>
      <c r="F41" s="35"/>
      <c r="G41" s="764"/>
      <c r="H41" s="63">
        <f>QTY85l1!J94</f>
        <v>14.044800000000002</v>
      </c>
      <c r="I41" s="64"/>
    </row>
    <row r="42" spans="1:9" s="65" customFormat="1" ht="31.95" customHeight="1">
      <c r="A42" s="758" t="s">
        <v>580</v>
      </c>
      <c r="B42" s="62" t="s">
        <v>581</v>
      </c>
      <c r="C42" s="385" t="s">
        <v>582</v>
      </c>
      <c r="D42" s="33" t="s">
        <v>27</v>
      </c>
      <c r="E42" s="238">
        <v>13</v>
      </c>
      <c r="F42" s="35"/>
      <c r="G42" s="764"/>
      <c r="H42" s="63">
        <f>QTY85l1!J93</f>
        <v>12.640320000000003</v>
      </c>
      <c r="I42" s="64"/>
    </row>
    <row r="43" spans="1:9" s="65" customFormat="1" ht="31.95" customHeight="1">
      <c r="A43" s="758" t="s">
        <v>583</v>
      </c>
      <c r="B43" s="62" t="s">
        <v>584</v>
      </c>
      <c r="C43" s="385" t="s">
        <v>585</v>
      </c>
      <c r="D43" s="33" t="s">
        <v>27</v>
      </c>
      <c r="E43" s="238">
        <v>3</v>
      </c>
      <c r="F43" s="35"/>
      <c r="G43" s="764"/>
      <c r="H43" s="63">
        <f>QTY85l1!J97</f>
        <v>2.8089600000000008</v>
      </c>
      <c r="I43" s="64"/>
    </row>
    <row r="44" spans="1:9" s="65" customFormat="1" ht="31.95" customHeight="1">
      <c r="A44" s="758" t="s">
        <v>586</v>
      </c>
      <c r="B44" s="62" t="s">
        <v>587</v>
      </c>
      <c r="C44" s="385" t="s">
        <v>588</v>
      </c>
      <c r="D44" s="33" t="s">
        <v>20</v>
      </c>
      <c r="E44" s="238">
        <v>20</v>
      </c>
      <c r="F44" s="35"/>
      <c r="G44" s="764"/>
      <c r="H44" s="63"/>
      <c r="I44" s="64"/>
    </row>
    <row r="45" spans="1:9" s="65" customFormat="1" ht="31.95" customHeight="1">
      <c r="A45" s="758" t="s">
        <v>589</v>
      </c>
      <c r="B45" s="62" t="s">
        <v>569</v>
      </c>
      <c r="C45" s="385" t="s">
        <v>570</v>
      </c>
      <c r="D45" s="33" t="s">
        <v>5</v>
      </c>
      <c r="E45" s="238">
        <v>9</v>
      </c>
      <c r="F45" s="35"/>
      <c r="G45" s="764"/>
      <c r="H45" s="63">
        <f>QTY85l1!J108</f>
        <v>8.1839999999999993</v>
      </c>
      <c r="I45" s="64"/>
    </row>
    <row r="46" spans="1:9" s="65" customFormat="1" ht="31.95" customHeight="1">
      <c r="A46" s="762" t="s">
        <v>590</v>
      </c>
      <c r="B46" s="62"/>
      <c r="C46" s="362" t="s">
        <v>461</v>
      </c>
      <c r="D46" s="33"/>
      <c r="E46" s="238"/>
      <c r="F46" s="35"/>
      <c r="G46" s="764"/>
      <c r="H46" s="63"/>
      <c r="I46" s="64"/>
    </row>
    <row r="47" spans="1:9" s="65" customFormat="1" ht="31.95" customHeight="1">
      <c r="A47" s="776" t="s">
        <v>591</v>
      </c>
      <c r="B47" s="777" t="s">
        <v>592</v>
      </c>
      <c r="C47" s="353" t="s">
        <v>593</v>
      </c>
      <c r="D47" s="46" t="s">
        <v>312</v>
      </c>
      <c r="E47" s="238">
        <v>50</v>
      </c>
      <c r="F47" s="57"/>
      <c r="G47" s="367"/>
      <c r="H47" s="63"/>
      <c r="I47" s="64"/>
    </row>
    <row r="48" spans="1:9" ht="30" customHeight="1" thickBot="1">
      <c r="A48" s="760"/>
      <c r="B48" s="896" t="s">
        <v>594</v>
      </c>
      <c r="C48" s="897"/>
      <c r="D48" s="897"/>
      <c r="E48" s="897"/>
      <c r="F48" s="898"/>
      <c r="G48" s="761"/>
    </row>
  </sheetData>
  <mergeCells count="3">
    <mergeCell ref="A1:C1"/>
    <mergeCell ref="D1:G1"/>
    <mergeCell ref="B48:F48"/>
  </mergeCells>
  <printOptions horizontalCentered="1"/>
  <pageMargins left="0.75" right="0.4" top="0.75" bottom="0.5" header="0" footer="0"/>
  <pageSetup paperSize="9" scale="70" fitToHeight="0" orientation="portrait" r:id="rId1"/>
  <rowBreaks count="1" manualBreakCount="1">
    <brk id="29"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CBEBF-E525-4763-907B-4B8FA9F09BD9}">
  <sheetPr>
    <tabColor rgb="FF00B050"/>
  </sheetPr>
  <dimension ref="A1:M180"/>
  <sheetViews>
    <sheetView view="pageBreakPreview" zoomScale="90" zoomScaleNormal="100" zoomScaleSheetLayoutView="90" workbookViewId="0">
      <pane ySplit="2" topLeftCell="A72" activePane="bottomLeft" state="frozen"/>
      <selection activeCell="B16" sqref="B16"/>
      <selection pane="bottomLeft" activeCell="B16" sqref="B16"/>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3" width="11.109375" style="68" bestFit="1" customWidth="1"/>
    <col min="14" max="15" width="9.109375" style="68"/>
    <col min="16" max="16" width="11.109375" style="68" bestFit="1" customWidth="1"/>
    <col min="17" max="16384" width="9.109375" style="68"/>
  </cols>
  <sheetData>
    <row r="1" spans="1:12" ht="20.100000000000001" customHeight="1">
      <c r="A1" s="902" t="s">
        <v>595</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08" t="s">
        <v>62</v>
      </c>
      <c r="B4" s="909"/>
      <c r="C4" s="909"/>
      <c r="D4" s="909"/>
      <c r="E4" s="909"/>
      <c r="F4" s="910"/>
      <c r="G4" s="73"/>
      <c r="H4" s="74"/>
      <c r="I4" s="73"/>
      <c r="J4" s="73"/>
    </row>
    <row r="5" spans="1:12" ht="15">
      <c r="A5" s="75" t="s">
        <v>199</v>
      </c>
      <c r="B5" s="76"/>
      <c r="C5" s="77"/>
      <c r="D5" s="78"/>
      <c r="E5" s="77"/>
      <c r="F5" s="76"/>
      <c r="G5" s="77"/>
      <c r="H5" s="77"/>
      <c r="I5" s="77"/>
      <c r="J5" s="79"/>
      <c r="L5" s="80"/>
    </row>
    <row r="6" spans="1:12" ht="15">
      <c r="A6" s="87" t="s">
        <v>596</v>
      </c>
      <c r="B6" s="88">
        <v>4.75</v>
      </c>
      <c r="C6" s="82">
        <v>13</v>
      </c>
      <c r="D6" s="78"/>
      <c r="E6" s="77"/>
      <c r="F6" s="76">
        <f>B6*C6</f>
        <v>61.75</v>
      </c>
      <c r="G6" s="77"/>
      <c r="H6" s="77" t="s">
        <v>63</v>
      </c>
      <c r="I6" s="79">
        <f>F6*1.1</f>
        <v>67.925000000000011</v>
      </c>
      <c r="J6" s="128">
        <f>ROUNDUP(I6,2)</f>
        <v>67.930000000000007</v>
      </c>
      <c r="L6" s="80"/>
    </row>
    <row r="7" spans="1:12" ht="15">
      <c r="A7" s="87" t="s">
        <v>597</v>
      </c>
      <c r="B7" s="88">
        <v>11</v>
      </c>
      <c r="C7" s="76">
        <v>12.07</v>
      </c>
      <c r="D7" s="78"/>
      <c r="E7" s="77"/>
      <c r="F7" s="76">
        <f>B7*C7</f>
        <v>132.77000000000001</v>
      </c>
      <c r="G7" s="77"/>
      <c r="H7" s="77" t="s">
        <v>63</v>
      </c>
      <c r="I7" s="79">
        <f>F7*1.1</f>
        <v>146.04700000000003</v>
      </c>
      <c r="J7" s="128">
        <f>ROUNDUP(I7,2)</f>
        <v>146.04999999999998</v>
      </c>
      <c r="L7" s="80"/>
    </row>
    <row r="8" spans="1:12" ht="15">
      <c r="A8" s="87" t="s">
        <v>598</v>
      </c>
      <c r="B8" s="88">
        <v>9.64</v>
      </c>
      <c r="C8" s="76">
        <v>11.14</v>
      </c>
      <c r="D8" s="78"/>
      <c r="E8" s="77"/>
      <c r="F8" s="76">
        <f>B8*C8</f>
        <v>107.38960000000002</v>
      </c>
      <c r="G8" s="77"/>
      <c r="H8" s="77" t="s">
        <v>63</v>
      </c>
      <c r="I8" s="79">
        <f>F8*1.1</f>
        <v>118.12856000000002</v>
      </c>
      <c r="J8" s="128">
        <f>ROUNDUP(I8,2)</f>
        <v>118.13000000000001</v>
      </c>
      <c r="L8" s="80"/>
    </row>
    <row r="9" spans="1:12" ht="15">
      <c r="A9" s="87"/>
      <c r="B9" s="88"/>
      <c r="C9" s="76"/>
      <c r="D9" s="78"/>
      <c r="E9" s="77"/>
      <c r="F9" s="76"/>
      <c r="G9" s="77"/>
      <c r="H9" s="77"/>
      <c r="I9" s="79"/>
      <c r="J9" s="103">
        <f>SUM(J6:J8)</f>
        <v>332.11</v>
      </c>
      <c r="L9" s="80"/>
    </row>
    <row r="10" spans="1:12" ht="15">
      <c r="A10" s="87"/>
      <c r="B10" s="88"/>
      <c r="C10" s="89"/>
      <c r="D10" s="90"/>
      <c r="E10" s="91"/>
      <c r="F10" s="88"/>
      <c r="G10" s="91"/>
      <c r="H10" s="91"/>
      <c r="I10" s="92"/>
      <c r="J10" s="93"/>
    </row>
    <row r="11" spans="1:12" ht="15">
      <c r="A11" s="905" t="s">
        <v>64</v>
      </c>
      <c r="B11" s="906"/>
      <c r="C11" s="906"/>
      <c r="D11" s="906"/>
      <c r="E11" s="906"/>
      <c r="F11" s="906"/>
      <c r="G11" s="906"/>
      <c r="H11" s="906"/>
      <c r="I11" s="906"/>
      <c r="J11" s="907"/>
    </row>
    <row r="12" spans="1:12" ht="15">
      <c r="A12" s="911" t="s">
        <v>65</v>
      </c>
      <c r="B12" s="912"/>
      <c r="C12" s="912"/>
      <c r="D12" s="912"/>
      <c r="E12" s="912"/>
      <c r="F12" s="913"/>
      <c r="G12" s="73"/>
      <c r="H12" s="74"/>
      <c r="I12" s="74"/>
      <c r="J12" s="73"/>
      <c r="K12" s="94"/>
    </row>
    <row r="13" spans="1:12" ht="15">
      <c r="A13" s="911" t="s">
        <v>66</v>
      </c>
      <c r="B13" s="912"/>
      <c r="C13" s="912"/>
      <c r="D13" s="912"/>
      <c r="E13" s="912"/>
      <c r="F13" s="913"/>
      <c r="G13" s="73"/>
      <c r="H13" s="74"/>
      <c r="I13" s="73"/>
      <c r="J13" s="73"/>
      <c r="L13" s="80"/>
    </row>
    <row r="14" spans="1:12" ht="15">
      <c r="A14" s="911" t="s">
        <v>67</v>
      </c>
      <c r="B14" s="912"/>
      <c r="C14" s="912"/>
      <c r="D14" s="912"/>
      <c r="E14" s="912"/>
      <c r="F14" s="913"/>
      <c r="G14" s="95"/>
      <c r="H14" s="96"/>
      <c r="I14" s="95"/>
      <c r="J14" s="95"/>
      <c r="L14" s="80"/>
    </row>
    <row r="15" spans="1:12" ht="15">
      <c r="A15" s="84" t="s">
        <v>68</v>
      </c>
      <c r="B15" s="76"/>
      <c r="C15" s="76"/>
      <c r="D15" s="78"/>
      <c r="E15" s="77"/>
      <c r="F15" s="76"/>
      <c r="G15" s="77"/>
      <c r="H15" s="77"/>
      <c r="I15" s="79"/>
      <c r="J15" s="79"/>
      <c r="L15" s="80"/>
    </row>
    <row r="16" spans="1:12" ht="15">
      <c r="A16" s="87"/>
      <c r="B16" s="88"/>
      <c r="C16" s="76"/>
      <c r="D16" s="78"/>
      <c r="E16" s="77"/>
      <c r="F16" s="76">
        <f t="shared" ref="F16:F18" si="0">B16*C16</f>
        <v>0</v>
      </c>
      <c r="G16" s="77"/>
      <c r="H16" s="77" t="s">
        <v>63</v>
      </c>
      <c r="I16" s="79">
        <f t="shared" ref="I16:I18" si="1">F16*1.1</f>
        <v>0</v>
      </c>
      <c r="J16" s="79">
        <f t="shared" ref="J16:J18" si="2">ROUNDUP(I16,2)</f>
        <v>0</v>
      </c>
      <c r="L16" s="80"/>
    </row>
    <row r="17" spans="1:12" ht="15">
      <c r="A17" s="87"/>
      <c r="B17" s="88"/>
      <c r="C17" s="76"/>
      <c r="D17" s="78"/>
      <c r="E17" s="77"/>
      <c r="F17" s="76">
        <f t="shared" si="0"/>
        <v>0</v>
      </c>
      <c r="G17" s="77"/>
      <c r="H17" s="77" t="s">
        <v>63</v>
      </c>
      <c r="I17" s="79">
        <f t="shared" si="1"/>
        <v>0</v>
      </c>
      <c r="J17" s="79">
        <f t="shared" si="2"/>
        <v>0</v>
      </c>
      <c r="L17" s="80"/>
    </row>
    <row r="18" spans="1:12" ht="15">
      <c r="A18" s="87"/>
      <c r="B18" s="88"/>
      <c r="C18" s="76"/>
      <c r="D18" s="78"/>
      <c r="E18" s="77"/>
      <c r="F18" s="76">
        <f t="shared" si="0"/>
        <v>0</v>
      </c>
      <c r="G18" s="77"/>
      <c r="H18" s="77" t="s">
        <v>63</v>
      </c>
      <c r="I18" s="79">
        <f t="shared" si="1"/>
        <v>0</v>
      </c>
      <c r="J18" s="79">
        <f t="shared" si="2"/>
        <v>0</v>
      </c>
      <c r="L18" s="80"/>
    </row>
    <row r="19" spans="1:12" ht="15">
      <c r="A19" s="87"/>
      <c r="B19" s="88"/>
      <c r="C19" s="76"/>
      <c r="D19" s="78"/>
      <c r="E19" s="77"/>
      <c r="F19" s="76"/>
      <c r="G19" s="77"/>
      <c r="H19" s="77"/>
      <c r="I19" s="79"/>
      <c r="J19" s="101">
        <f>SUM(J16:J18)</f>
        <v>0</v>
      </c>
    </row>
    <row r="20" spans="1:12" ht="15">
      <c r="A20" s="87"/>
      <c r="B20" s="88"/>
      <c r="C20" s="76"/>
      <c r="D20" s="78"/>
      <c r="E20" s="77"/>
      <c r="F20" s="76"/>
      <c r="G20" s="77"/>
      <c r="H20" s="77"/>
      <c r="I20" s="79"/>
      <c r="J20" s="101"/>
    </row>
    <row r="21" spans="1:12" ht="15">
      <c r="A21" s="87"/>
      <c r="B21" s="88"/>
      <c r="C21" s="76"/>
      <c r="D21" s="78"/>
      <c r="E21" s="77"/>
      <c r="F21" s="76"/>
      <c r="G21" s="77"/>
      <c r="H21" s="77"/>
      <c r="I21" s="79"/>
      <c r="J21" s="79"/>
    </row>
    <row r="22" spans="1:12" ht="15">
      <c r="A22" s="911" t="s">
        <v>69</v>
      </c>
      <c r="B22" s="912"/>
      <c r="C22" s="912"/>
      <c r="D22" s="912"/>
      <c r="E22" s="912"/>
      <c r="F22" s="913"/>
      <c r="G22" s="97"/>
      <c r="H22" s="74"/>
      <c r="I22" s="73"/>
      <c r="J22" s="73"/>
      <c r="K22" s="80"/>
      <c r="L22" s="80"/>
    </row>
    <row r="23" spans="1:12" ht="15">
      <c r="A23" s="911" t="s">
        <v>70</v>
      </c>
      <c r="B23" s="912"/>
      <c r="C23" s="912"/>
      <c r="D23" s="912"/>
      <c r="E23" s="912"/>
      <c r="F23" s="913"/>
      <c r="G23" s="97"/>
      <c r="H23" s="74"/>
      <c r="I23" s="73"/>
      <c r="J23" s="73"/>
      <c r="K23" s="80"/>
      <c r="L23" s="80"/>
    </row>
    <row r="24" spans="1:12" ht="15">
      <c r="A24" s="911" t="s">
        <v>71</v>
      </c>
      <c r="B24" s="912"/>
      <c r="C24" s="912"/>
      <c r="D24" s="912"/>
      <c r="E24" s="912"/>
      <c r="F24" s="913"/>
      <c r="G24" s="95"/>
      <c r="H24" s="96"/>
      <c r="I24" s="95"/>
      <c r="J24" s="95"/>
      <c r="K24" s="80"/>
      <c r="L24" s="80"/>
    </row>
    <row r="25" spans="1:12" ht="15">
      <c r="A25" s="98" t="s">
        <v>599</v>
      </c>
      <c r="B25" s="82"/>
      <c r="C25" s="99"/>
      <c r="D25" s="99"/>
      <c r="E25" s="100"/>
      <c r="F25" s="82"/>
      <c r="G25" s="100"/>
      <c r="H25" s="100"/>
      <c r="I25" s="79"/>
      <c r="J25" s="101"/>
      <c r="K25" s="80"/>
      <c r="L25" s="80"/>
    </row>
    <row r="26" spans="1:12" ht="15">
      <c r="A26" s="87" t="s">
        <v>596</v>
      </c>
      <c r="B26" s="88">
        <v>4.75</v>
      </c>
      <c r="C26" s="76">
        <v>24.73</v>
      </c>
      <c r="D26" s="78"/>
      <c r="E26" s="77"/>
      <c r="F26" s="76">
        <f t="shared" ref="F26:F28" si="3">B26*C26</f>
        <v>117.4675</v>
      </c>
      <c r="G26" s="77"/>
      <c r="H26" s="77" t="s">
        <v>63</v>
      </c>
      <c r="I26" s="79">
        <f t="shared" ref="I26:I28" si="4">F26*1.1</f>
        <v>129.21425000000002</v>
      </c>
      <c r="J26" s="128">
        <f t="shared" ref="J26:J28" si="5">ROUNDUP(I26,2)</f>
        <v>129.22</v>
      </c>
      <c r="K26" s="80"/>
      <c r="L26" s="80"/>
    </row>
    <row r="27" spans="1:12" ht="15">
      <c r="A27" s="87" t="s">
        <v>597</v>
      </c>
      <c r="B27" s="88">
        <v>11</v>
      </c>
      <c r="C27" s="76">
        <v>23.274999999999999</v>
      </c>
      <c r="D27" s="78"/>
      <c r="E27" s="77"/>
      <c r="F27" s="76">
        <f t="shared" si="3"/>
        <v>256.02499999999998</v>
      </c>
      <c r="G27" s="77"/>
      <c r="H27" s="77" t="s">
        <v>63</v>
      </c>
      <c r="I27" s="79">
        <f t="shared" si="4"/>
        <v>281.6275</v>
      </c>
      <c r="J27" s="128">
        <f t="shared" si="5"/>
        <v>281.63</v>
      </c>
      <c r="K27" s="80"/>
      <c r="L27" s="80"/>
    </row>
    <row r="28" spans="1:12" ht="15">
      <c r="A28" s="87" t="s">
        <v>598</v>
      </c>
      <c r="B28" s="88">
        <v>9.64</v>
      </c>
      <c r="C28" s="76">
        <v>21.82</v>
      </c>
      <c r="D28" s="78"/>
      <c r="E28" s="77"/>
      <c r="F28" s="76">
        <f t="shared" si="3"/>
        <v>210.34480000000002</v>
      </c>
      <c r="G28" s="77"/>
      <c r="H28" s="77" t="s">
        <v>63</v>
      </c>
      <c r="I28" s="79">
        <f t="shared" si="4"/>
        <v>231.37928000000005</v>
      </c>
      <c r="J28" s="128">
        <f t="shared" si="5"/>
        <v>231.38</v>
      </c>
      <c r="K28" s="80"/>
      <c r="L28" s="80"/>
    </row>
    <row r="29" spans="1:12" ht="15">
      <c r="A29" s="87"/>
      <c r="B29" s="88"/>
      <c r="C29" s="76"/>
      <c r="D29" s="78"/>
      <c r="E29" s="77"/>
      <c r="F29" s="76"/>
      <c r="G29" s="77"/>
      <c r="H29" s="77"/>
      <c r="I29" s="79"/>
      <c r="J29" s="103">
        <f>SUM(J26:J28)</f>
        <v>642.23</v>
      </c>
      <c r="K29" s="80"/>
      <c r="L29" s="80"/>
    </row>
    <row r="30" spans="1:12" ht="15">
      <c r="A30" s="914" t="s">
        <v>72</v>
      </c>
      <c r="B30" s="915"/>
      <c r="C30" s="915"/>
      <c r="D30" s="915"/>
      <c r="E30" s="915"/>
      <c r="F30" s="915"/>
      <c r="G30" s="915"/>
      <c r="H30" s="915"/>
      <c r="I30" s="915"/>
      <c r="J30" s="916"/>
      <c r="K30" s="80"/>
      <c r="L30" s="80"/>
    </row>
    <row r="31" spans="1:12" ht="15">
      <c r="A31" s="98" t="s">
        <v>599</v>
      </c>
      <c r="B31" s="76"/>
      <c r="C31" s="78"/>
      <c r="D31" s="78"/>
      <c r="E31" s="77"/>
      <c r="F31" s="76"/>
      <c r="G31" s="77"/>
      <c r="H31" s="77"/>
      <c r="I31" s="79"/>
      <c r="J31" s="79"/>
      <c r="K31" s="80"/>
      <c r="L31" s="80"/>
    </row>
    <row r="32" spans="1:12" ht="15">
      <c r="A32" s="87" t="str">
        <f>A26</f>
        <v>~CS02</v>
      </c>
      <c r="B32" s="88">
        <f>B26</f>
        <v>4.75</v>
      </c>
      <c r="C32" s="78">
        <v>21.31</v>
      </c>
      <c r="D32" s="78"/>
      <c r="E32" s="77"/>
      <c r="F32" s="88">
        <f>PRODUCT(B32:E32)</f>
        <v>101.2225</v>
      </c>
      <c r="G32" s="102">
        <f>F32</f>
        <v>101.2225</v>
      </c>
      <c r="H32" s="77" t="s">
        <v>63</v>
      </c>
      <c r="I32" s="79">
        <f>G32*1.1</f>
        <v>111.34475</v>
      </c>
      <c r="J32" s="128">
        <f>I32</f>
        <v>111.34475</v>
      </c>
      <c r="K32" s="80"/>
      <c r="L32" s="80"/>
    </row>
    <row r="33" spans="1:12" ht="15">
      <c r="A33" s="87" t="str">
        <f t="shared" ref="A33:B34" si="6">A27</f>
        <v>CS02-CS03</v>
      </c>
      <c r="B33" s="88">
        <f t="shared" si="6"/>
        <v>11</v>
      </c>
      <c r="C33" s="78">
        <v>20.555</v>
      </c>
      <c r="D33" s="78"/>
      <c r="E33" s="77"/>
      <c r="F33" s="88">
        <f>PRODUCT(B33:E33)</f>
        <v>226.10499999999999</v>
      </c>
      <c r="G33" s="102">
        <f>F33</f>
        <v>226.10499999999999</v>
      </c>
      <c r="H33" s="77" t="s">
        <v>63</v>
      </c>
      <c r="I33" s="79">
        <f>G33*1.1</f>
        <v>248.71550000000002</v>
      </c>
      <c r="J33" s="128">
        <f>I33</f>
        <v>248.71550000000002</v>
      </c>
      <c r="K33" s="80"/>
      <c r="L33" s="80"/>
    </row>
    <row r="34" spans="1:12" ht="15">
      <c r="A34" s="87" t="str">
        <f t="shared" si="6"/>
        <v>CS03~</v>
      </c>
      <c r="B34" s="88">
        <f t="shared" si="6"/>
        <v>9.64</v>
      </c>
      <c r="C34" s="78">
        <v>19.8</v>
      </c>
      <c r="D34" s="78"/>
      <c r="E34" s="77"/>
      <c r="F34" s="88">
        <f>PRODUCT(B34:E34)</f>
        <v>190.87200000000001</v>
      </c>
      <c r="G34" s="102">
        <f>F34</f>
        <v>190.87200000000001</v>
      </c>
      <c r="H34" s="77" t="s">
        <v>63</v>
      </c>
      <c r="I34" s="79">
        <f>G34*1.1</f>
        <v>209.95920000000004</v>
      </c>
      <c r="J34" s="128">
        <f>I34</f>
        <v>209.95920000000004</v>
      </c>
      <c r="K34" s="80"/>
      <c r="L34" s="80"/>
    </row>
    <row r="35" spans="1:12" ht="15">
      <c r="A35" s="87"/>
      <c r="B35" s="88"/>
      <c r="C35" s="78"/>
      <c r="D35" s="78"/>
      <c r="E35" s="77"/>
      <c r="F35" s="76"/>
      <c r="G35" s="77"/>
      <c r="H35" s="77"/>
      <c r="I35" s="77"/>
      <c r="J35" s="103">
        <f>SUM(J32:J34)</f>
        <v>570.01945000000001</v>
      </c>
      <c r="K35" s="80"/>
      <c r="L35" s="80"/>
    </row>
    <row r="36" spans="1:12" ht="15">
      <c r="A36" s="87"/>
      <c r="B36" s="88"/>
      <c r="C36" s="78"/>
      <c r="D36" s="78"/>
      <c r="E36" s="77"/>
      <c r="F36" s="77"/>
      <c r="G36" s="77"/>
      <c r="H36" s="77"/>
      <c r="I36" s="77"/>
      <c r="J36" s="77"/>
      <c r="K36" s="80"/>
      <c r="L36" s="80"/>
    </row>
    <row r="37" spans="1:12" ht="15">
      <c r="A37" s="899"/>
      <c r="B37" s="900"/>
      <c r="C37" s="900"/>
      <c r="D37" s="900"/>
      <c r="E37" s="900"/>
      <c r="F37" s="900"/>
      <c r="G37" s="900"/>
      <c r="H37" s="900"/>
      <c r="I37" s="900"/>
      <c r="J37" s="901"/>
      <c r="L37" s="80"/>
    </row>
    <row r="38" spans="1:12" ht="15">
      <c r="A38" s="917" t="s">
        <v>73</v>
      </c>
      <c r="B38" s="918"/>
      <c r="C38" s="918"/>
      <c r="D38" s="918"/>
      <c r="E38" s="918"/>
      <c r="F38" s="918"/>
      <c r="G38" s="918"/>
      <c r="H38" s="918"/>
      <c r="I38" s="918"/>
      <c r="J38" s="919"/>
      <c r="L38" s="80"/>
    </row>
    <row r="39" spans="1:12" ht="15">
      <c r="A39" s="920"/>
      <c r="B39" s="921"/>
      <c r="C39" s="921"/>
      <c r="D39" s="921"/>
      <c r="E39" s="921"/>
      <c r="F39" s="922"/>
      <c r="G39" s="73"/>
      <c r="H39" s="74"/>
      <c r="I39" s="73"/>
      <c r="J39" s="73"/>
    </row>
    <row r="40" spans="1:12" ht="15">
      <c r="A40" s="75"/>
      <c r="B40" s="82"/>
      <c r="C40" s="99"/>
      <c r="D40" s="104"/>
      <c r="E40" s="105"/>
      <c r="F40" s="82"/>
      <c r="G40" s="106"/>
      <c r="H40" s="100"/>
      <c r="I40" s="79"/>
      <c r="J40" s="101"/>
      <c r="L40" s="107"/>
    </row>
    <row r="41" spans="1:12" s="71" customFormat="1" ht="30" customHeight="1">
      <c r="A41" s="87"/>
      <c r="B41" s="108"/>
      <c r="C41" s="109"/>
      <c r="D41" s="104"/>
      <c r="E41" s="105"/>
      <c r="F41" s="110"/>
      <c r="G41" s="111"/>
      <c r="H41" s="77"/>
      <c r="I41" s="112"/>
      <c r="J41" s="112"/>
    </row>
    <row r="42" spans="1:12" ht="15">
      <c r="A42" s="920"/>
      <c r="B42" s="921"/>
      <c r="C42" s="921"/>
      <c r="D42" s="921"/>
      <c r="E42" s="921"/>
      <c r="F42" s="922"/>
      <c r="G42" s="73"/>
      <c r="H42" s="74"/>
      <c r="I42" s="73"/>
      <c r="J42" s="73"/>
    </row>
    <row r="43" spans="1:12" ht="15">
      <c r="A43" s="917" t="s">
        <v>600</v>
      </c>
      <c r="B43" s="918"/>
      <c r="C43" s="918"/>
      <c r="D43" s="918"/>
      <c r="E43" s="918"/>
      <c r="F43" s="918"/>
      <c r="G43" s="918"/>
      <c r="H43" s="918"/>
      <c r="I43" s="918"/>
      <c r="J43" s="919"/>
      <c r="L43" s="80"/>
    </row>
    <row r="44" spans="1:12" ht="15">
      <c r="A44" s="98" t="s">
        <v>601</v>
      </c>
      <c r="B44" s="76"/>
      <c r="C44" s="78"/>
      <c r="D44" s="78"/>
      <c r="E44" s="77"/>
      <c r="F44" s="76"/>
      <c r="G44" s="77"/>
      <c r="H44" s="77"/>
      <c r="I44" s="79"/>
      <c r="J44" s="79"/>
      <c r="L44" s="80"/>
    </row>
    <row r="45" spans="1:12" ht="15">
      <c r="A45" s="87"/>
      <c r="B45" s="88">
        <v>25.38</v>
      </c>
      <c r="C45" s="78">
        <v>5.25</v>
      </c>
      <c r="D45" s="78">
        <v>0.05</v>
      </c>
      <c r="E45" s="77"/>
      <c r="F45" s="88">
        <f>PRODUCT(B45:E45)</f>
        <v>6.6622500000000002</v>
      </c>
      <c r="G45" s="102">
        <f>F45</f>
        <v>6.6622500000000002</v>
      </c>
      <c r="H45" s="77" t="s">
        <v>63</v>
      </c>
      <c r="I45" s="79">
        <f>G45*1.1</f>
        <v>7.328475000000001</v>
      </c>
      <c r="J45" s="103">
        <f>I45</f>
        <v>7.328475000000001</v>
      </c>
      <c r="L45" s="80"/>
    </row>
    <row r="46" spans="1:12" ht="15">
      <c r="A46" s="87"/>
      <c r="B46" s="88"/>
      <c r="C46" s="78"/>
      <c r="D46" s="78"/>
      <c r="E46" s="77"/>
      <c r="F46" s="88"/>
      <c r="G46" s="102"/>
      <c r="H46" s="77"/>
      <c r="I46" s="79"/>
      <c r="J46" s="101"/>
      <c r="L46" s="80"/>
    </row>
    <row r="47" spans="1:12" ht="15">
      <c r="A47" s="387" t="s">
        <v>602</v>
      </c>
      <c r="B47" s="88"/>
      <c r="C47" s="78"/>
      <c r="D47" s="78"/>
      <c r="E47" s="77"/>
      <c r="F47" s="88"/>
      <c r="G47" s="102"/>
      <c r="H47" s="77"/>
      <c r="I47" s="79"/>
      <c r="J47" s="101"/>
      <c r="L47" s="80"/>
    </row>
    <row r="48" spans="1:12" ht="15">
      <c r="A48" s="87" t="s">
        <v>501</v>
      </c>
      <c r="B48" s="88">
        <f>B45</f>
        <v>25.38</v>
      </c>
      <c r="C48" s="78">
        <v>4.8</v>
      </c>
      <c r="D48" s="78">
        <v>0.45</v>
      </c>
      <c r="E48" s="77"/>
      <c r="F48" s="88">
        <f t="shared" ref="F48:F53" si="7">PRODUCT(B48:E48)</f>
        <v>54.820799999999991</v>
      </c>
      <c r="G48" s="102">
        <f t="shared" ref="G48:G65" si="8">F48</f>
        <v>54.820799999999991</v>
      </c>
      <c r="H48" s="77" t="s">
        <v>63</v>
      </c>
      <c r="I48" s="79">
        <f t="shared" ref="I48:I53" si="9">G48*1.1</f>
        <v>60.302879999999995</v>
      </c>
      <c r="J48" s="128">
        <f t="shared" ref="J48:J65" si="10">I48</f>
        <v>60.302879999999995</v>
      </c>
      <c r="L48" s="80"/>
    </row>
    <row r="49" spans="1:12" ht="15">
      <c r="A49" s="87"/>
      <c r="B49" s="88">
        <f>B48</f>
        <v>25.38</v>
      </c>
      <c r="C49" s="78">
        <v>0.6</v>
      </c>
      <c r="D49" s="78">
        <v>0.45</v>
      </c>
      <c r="E49" s="77"/>
      <c r="F49" s="88">
        <f t="shared" si="7"/>
        <v>6.8525999999999989</v>
      </c>
      <c r="G49" s="102">
        <f t="shared" si="8"/>
        <v>6.8525999999999989</v>
      </c>
      <c r="H49" s="77" t="s">
        <v>63</v>
      </c>
      <c r="I49" s="79">
        <f t="shared" si="9"/>
        <v>7.5378599999999993</v>
      </c>
      <c r="J49" s="128">
        <f t="shared" si="10"/>
        <v>7.5378599999999993</v>
      </c>
      <c r="L49" s="80"/>
    </row>
    <row r="50" spans="1:12" ht="15">
      <c r="A50" s="87"/>
      <c r="B50" s="88"/>
      <c r="C50" s="78"/>
      <c r="D50" s="78"/>
      <c r="E50" s="77"/>
      <c r="F50" s="88"/>
      <c r="G50" s="102"/>
      <c r="H50" s="77"/>
      <c r="I50" s="79"/>
      <c r="J50" s="128"/>
      <c r="L50" s="80"/>
    </row>
    <row r="51" spans="1:12" ht="15">
      <c r="A51" s="87" t="s">
        <v>476</v>
      </c>
      <c r="B51" s="88">
        <f>B49</f>
        <v>25.38</v>
      </c>
      <c r="C51" s="78">
        <v>7.5</v>
      </c>
      <c r="D51" s="78">
        <v>0.3</v>
      </c>
      <c r="E51" s="77"/>
      <c r="F51" s="88">
        <f t="shared" si="7"/>
        <v>57.104999999999997</v>
      </c>
      <c r="G51" s="102">
        <f t="shared" si="8"/>
        <v>57.104999999999997</v>
      </c>
      <c r="H51" s="77" t="s">
        <v>63</v>
      </c>
      <c r="I51" s="79">
        <f t="shared" si="9"/>
        <v>62.8155</v>
      </c>
      <c r="J51" s="128">
        <f t="shared" si="10"/>
        <v>62.8155</v>
      </c>
      <c r="L51" s="80"/>
    </row>
    <row r="52" spans="1:12" ht="15">
      <c r="A52" s="87"/>
      <c r="B52" s="88"/>
      <c r="C52" s="78"/>
      <c r="D52" s="78"/>
      <c r="E52" s="77"/>
      <c r="F52" s="88"/>
      <c r="G52" s="102"/>
      <c r="H52" s="77"/>
      <c r="I52" s="79"/>
      <c r="J52" s="128"/>
      <c r="L52" s="80"/>
    </row>
    <row r="53" spans="1:12" ht="15">
      <c r="A53" s="87" t="s">
        <v>603</v>
      </c>
      <c r="B53" s="88">
        <v>12.95</v>
      </c>
      <c r="C53" s="78"/>
      <c r="D53" s="78">
        <v>0.3</v>
      </c>
      <c r="E53" s="78">
        <f>ROUNDUP(B51/3.3,0)+1</f>
        <v>9</v>
      </c>
      <c r="F53" s="88">
        <f t="shared" si="7"/>
        <v>34.964999999999996</v>
      </c>
      <c r="G53" s="102">
        <f t="shared" si="8"/>
        <v>34.964999999999996</v>
      </c>
      <c r="H53" s="77" t="s">
        <v>63</v>
      </c>
      <c r="I53" s="79">
        <f t="shared" si="9"/>
        <v>38.461500000000001</v>
      </c>
      <c r="J53" s="128">
        <f t="shared" si="10"/>
        <v>38.461500000000001</v>
      </c>
      <c r="L53" s="80"/>
    </row>
    <row r="54" spans="1:12" ht="15">
      <c r="A54" s="87"/>
      <c r="B54" s="88"/>
      <c r="C54" s="78"/>
      <c r="D54" s="78"/>
      <c r="E54" s="77"/>
      <c r="F54" s="88"/>
      <c r="G54" s="102"/>
      <c r="H54" s="77"/>
      <c r="I54" s="79"/>
      <c r="J54" s="103">
        <f>SUM(J48:J53)</f>
        <v>169.11774</v>
      </c>
      <c r="L54" s="80"/>
    </row>
    <row r="55" spans="1:12" ht="15">
      <c r="A55" s="87"/>
      <c r="B55" s="88"/>
      <c r="C55" s="78"/>
      <c r="D55" s="78"/>
      <c r="E55" s="77"/>
      <c r="F55" s="88"/>
      <c r="G55" s="102"/>
      <c r="H55" s="77"/>
      <c r="I55" s="79"/>
      <c r="J55" s="101"/>
      <c r="L55" s="80"/>
    </row>
    <row r="56" spans="1:12" ht="15">
      <c r="A56" s="387" t="s">
        <v>604</v>
      </c>
      <c r="B56" s="88"/>
      <c r="C56" s="78"/>
      <c r="D56" s="78"/>
      <c r="E56" s="77"/>
      <c r="F56" s="88"/>
      <c r="G56" s="102"/>
      <c r="H56" s="77"/>
      <c r="I56" s="79"/>
      <c r="J56" s="101"/>
      <c r="L56" s="80"/>
    </row>
    <row r="57" spans="1:12" ht="15">
      <c r="A57" s="87"/>
      <c r="B57" s="88"/>
      <c r="C57" s="78"/>
      <c r="D57" s="78"/>
      <c r="E57" s="77"/>
      <c r="F57" s="88"/>
      <c r="G57" s="102"/>
      <c r="H57" s="77"/>
      <c r="I57" s="79"/>
      <c r="J57" s="101"/>
      <c r="L57" s="80"/>
    </row>
    <row r="58" spans="1:12" ht="15">
      <c r="A58" s="87" t="s">
        <v>501</v>
      </c>
      <c r="B58" s="88">
        <f>B48</f>
        <v>25.38</v>
      </c>
      <c r="C58" s="78"/>
      <c r="D58" s="78">
        <f>0.45+0.45+0.6+0.6</f>
        <v>2.1</v>
      </c>
      <c r="E58" s="77"/>
      <c r="F58" s="88">
        <f t="shared" ref="F58" si="11">PRODUCT(B58:E58)</f>
        <v>53.298000000000002</v>
      </c>
      <c r="G58" s="102">
        <f t="shared" si="8"/>
        <v>53.298000000000002</v>
      </c>
      <c r="H58" s="77" t="s">
        <v>487</v>
      </c>
      <c r="I58" s="79">
        <f t="shared" ref="I58" si="12">G58*1.1</f>
        <v>58.627800000000008</v>
      </c>
      <c r="J58" s="128">
        <f t="shared" si="10"/>
        <v>58.627800000000008</v>
      </c>
      <c r="L58" s="80"/>
    </row>
    <row r="59" spans="1:12" ht="15">
      <c r="A59" s="87"/>
      <c r="B59" s="88"/>
      <c r="C59" s="78"/>
      <c r="D59" s="78"/>
      <c r="E59" s="77"/>
      <c r="F59" s="88"/>
      <c r="G59" s="102"/>
      <c r="H59" s="77"/>
      <c r="I59" s="79"/>
      <c r="J59" s="103"/>
      <c r="L59" s="80"/>
    </row>
    <row r="60" spans="1:12" ht="15">
      <c r="A60" s="87" t="s">
        <v>476</v>
      </c>
      <c r="B60" s="88">
        <f>B58</f>
        <v>25.38</v>
      </c>
      <c r="C60" s="78"/>
      <c r="D60" s="78">
        <f>7.5*2</f>
        <v>15</v>
      </c>
      <c r="E60" s="77"/>
      <c r="F60" s="88">
        <f t="shared" ref="F60:F61" si="13">PRODUCT(B60:E60)</f>
        <v>380.7</v>
      </c>
      <c r="G60" s="102">
        <f t="shared" si="8"/>
        <v>380.7</v>
      </c>
      <c r="H60" s="77" t="s">
        <v>487</v>
      </c>
      <c r="I60" s="79">
        <f t="shared" ref="I60:I61" si="14">G60*1.1</f>
        <v>418.77000000000004</v>
      </c>
      <c r="J60" s="128">
        <f t="shared" si="10"/>
        <v>418.77000000000004</v>
      </c>
      <c r="L60" s="80"/>
    </row>
    <row r="61" spans="1:12" ht="15">
      <c r="A61" s="135" t="s">
        <v>605</v>
      </c>
      <c r="B61" s="88">
        <v>-7.5</v>
      </c>
      <c r="C61" s="78"/>
      <c r="D61" s="78">
        <v>0.3</v>
      </c>
      <c r="E61" s="77">
        <v>9</v>
      </c>
      <c r="F61" s="88">
        <f t="shared" si="13"/>
        <v>-20.25</v>
      </c>
      <c r="G61" s="102">
        <f t="shared" si="8"/>
        <v>-20.25</v>
      </c>
      <c r="H61" s="77" t="s">
        <v>487</v>
      </c>
      <c r="I61" s="79">
        <f t="shared" si="14"/>
        <v>-22.275000000000002</v>
      </c>
      <c r="J61" s="128">
        <f t="shared" si="10"/>
        <v>-22.275000000000002</v>
      </c>
      <c r="L61" s="80"/>
    </row>
    <row r="62" spans="1:12" ht="15">
      <c r="A62" s="87"/>
      <c r="B62" s="88"/>
      <c r="C62" s="78"/>
      <c r="D62" s="78"/>
      <c r="E62" s="77"/>
      <c r="F62" s="88"/>
      <c r="G62" s="102"/>
      <c r="H62" s="77"/>
      <c r="I62" s="79"/>
      <c r="J62" s="128"/>
      <c r="L62" s="80"/>
    </row>
    <row r="63" spans="1:12" ht="15">
      <c r="A63" s="87"/>
      <c r="B63" s="88"/>
      <c r="C63" s="78"/>
      <c r="D63" s="78"/>
      <c r="E63" s="77"/>
      <c r="F63" s="88"/>
      <c r="G63" s="102"/>
      <c r="H63" s="77"/>
      <c r="I63" s="79"/>
      <c r="J63" s="103"/>
      <c r="L63" s="80"/>
    </row>
    <row r="64" spans="1:12" ht="15">
      <c r="A64" s="87" t="s">
        <v>603</v>
      </c>
      <c r="B64" s="88">
        <v>12.95</v>
      </c>
      <c r="C64" s="78"/>
      <c r="D64" s="78"/>
      <c r="E64" s="77">
        <f>E53*2</f>
        <v>18</v>
      </c>
      <c r="F64" s="88">
        <f t="shared" ref="F64:F65" si="15">PRODUCT(B64:E64)</f>
        <v>233.1</v>
      </c>
      <c r="G64" s="102">
        <f t="shared" si="8"/>
        <v>233.1</v>
      </c>
      <c r="H64" s="77" t="s">
        <v>487</v>
      </c>
      <c r="I64" s="79">
        <f t="shared" ref="I64:I65" si="16">G64*1.1</f>
        <v>256.41000000000003</v>
      </c>
      <c r="J64" s="128">
        <f t="shared" si="10"/>
        <v>256.41000000000003</v>
      </c>
      <c r="L64" s="80"/>
    </row>
    <row r="65" spans="1:13" ht="15">
      <c r="A65" s="87"/>
      <c r="B65" s="88">
        <v>8.25</v>
      </c>
      <c r="C65" s="78">
        <v>0.3</v>
      </c>
      <c r="D65" s="78"/>
      <c r="E65" s="77">
        <v>9</v>
      </c>
      <c r="F65" s="88">
        <f t="shared" si="15"/>
        <v>22.275000000000002</v>
      </c>
      <c r="G65" s="102">
        <f t="shared" si="8"/>
        <v>22.275000000000002</v>
      </c>
      <c r="H65" s="77" t="s">
        <v>487</v>
      </c>
      <c r="I65" s="79">
        <f t="shared" si="16"/>
        <v>24.502500000000005</v>
      </c>
      <c r="J65" s="128">
        <f t="shared" si="10"/>
        <v>24.502500000000005</v>
      </c>
      <c r="L65" s="80"/>
    </row>
    <row r="66" spans="1:13" ht="15">
      <c r="A66" s="87"/>
      <c r="B66" s="88"/>
      <c r="C66" s="78"/>
      <c r="D66" s="78"/>
      <c r="E66" s="77"/>
      <c r="F66" s="88"/>
      <c r="G66" s="102"/>
      <c r="H66" s="77"/>
      <c r="I66" s="79"/>
      <c r="J66" s="103">
        <f>SUM(J58:J65)</f>
        <v>736.03530000000023</v>
      </c>
      <c r="L66" s="80"/>
    </row>
    <row r="67" spans="1:13" ht="15">
      <c r="A67" s="87"/>
      <c r="B67" s="88"/>
      <c r="C67" s="78"/>
      <c r="D67" s="78"/>
      <c r="E67" s="77"/>
      <c r="F67" s="88"/>
      <c r="G67" s="102"/>
      <c r="H67" s="77"/>
      <c r="I67" s="79"/>
      <c r="J67" s="101"/>
      <c r="L67" s="80"/>
    </row>
    <row r="68" spans="1:13" ht="15">
      <c r="A68" s="387" t="s">
        <v>81</v>
      </c>
      <c r="B68" s="88"/>
      <c r="C68" s="78"/>
      <c r="D68" s="78"/>
      <c r="E68" s="77"/>
      <c r="F68" s="88"/>
      <c r="G68" s="102"/>
      <c r="H68" s="77"/>
      <c r="I68" s="79"/>
      <c r="J68" s="101"/>
      <c r="L68" s="80"/>
    </row>
    <row r="69" spans="1:13" ht="15">
      <c r="A69" s="87"/>
      <c r="B69" s="88"/>
      <c r="C69" s="78"/>
      <c r="D69" s="78"/>
      <c r="E69" s="77"/>
      <c r="F69" s="88"/>
      <c r="G69" s="102"/>
      <c r="H69" s="77"/>
      <c r="I69" s="79"/>
      <c r="J69" s="101"/>
      <c r="L69" s="80"/>
    </row>
    <row r="70" spans="1:13" ht="15">
      <c r="A70" s="87" t="s">
        <v>606</v>
      </c>
      <c r="B70" s="88">
        <v>3</v>
      </c>
      <c r="C70" s="78">
        <v>3.9</v>
      </c>
      <c r="D70" s="78">
        <v>10</v>
      </c>
      <c r="E70" s="77">
        <v>3.8580000000000001</v>
      </c>
      <c r="F70" s="88">
        <f t="shared" ref="F70:F71" si="17">PRODUCT(B70:E70)</f>
        <v>451.38600000000002</v>
      </c>
      <c r="G70" s="102">
        <f t="shared" ref="G70:G71" si="18">F70</f>
        <v>451.38600000000002</v>
      </c>
      <c r="H70" s="77" t="s">
        <v>43</v>
      </c>
      <c r="I70" s="79">
        <f t="shared" ref="I70:I71" si="19">G70*1.1</f>
        <v>496.52460000000008</v>
      </c>
      <c r="J70" s="128">
        <f t="shared" ref="J70:J71" si="20">I70</f>
        <v>496.52460000000008</v>
      </c>
      <c r="L70" s="80"/>
    </row>
    <row r="71" spans="1:13" ht="15">
      <c r="A71" s="135" t="s">
        <v>607</v>
      </c>
      <c r="B71" s="88">
        <f>ROUNDUP((B70*C70*D70)/6,0)</f>
        <v>20</v>
      </c>
      <c r="C71" s="78">
        <v>2.5000000000000001E-2</v>
      </c>
      <c r="D71" s="78">
        <v>50</v>
      </c>
      <c r="E71" s="77">
        <v>3.8580000000000001</v>
      </c>
      <c r="F71" s="88">
        <f t="shared" si="17"/>
        <v>96.45</v>
      </c>
      <c r="G71" s="102">
        <f t="shared" si="18"/>
        <v>96.45</v>
      </c>
      <c r="H71" s="77" t="s">
        <v>43</v>
      </c>
      <c r="I71" s="79">
        <f t="shared" si="19"/>
        <v>106.09500000000001</v>
      </c>
      <c r="J71" s="128">
        <f t="shared" si="20"/>
        <v>106.09500000000001</v>
      </c>
      <c r="L71" s="80"/>
    </row>
    <row r="72" spans="1:13" ht="15">
      <c r="A72" s="135"/>
      <c r="B72" s="88"/>
      <c r="C72" s="78"/>
      <c r="D72" s="78"/>
      <c r="E72" s="79"/>
      <c r="F72" s="88"/>
      <c r="G72" s="102"/>
      <c r="H72" s="77"/>
      <c r="I72" s="79"/>
      <c r="J72" s="128"/>
      <c r="L72" s="80"/>
    </row>
    <row r="73" spans="1:13" ht="15">
      <c r="A73" s="388" t="s">
        <v>608</v>
      </c>
      <c r="B73" s="88">
        <v>3.75</v>
      </c>
      <c r="C73" s="78">
        <v>18</v>
      </c>
      <c r="D73" s="78">
        <v>10</v>
      </c>
      <c r="E73" s="389">
        <v>0.88800000000000001</v>
      </c>
      <c r="F73" s="88">
        <f t="shared" ref="F73:F75" si="21">PRODUCT(B73:E73)</f>
        <v>599.4</v>
      </c>
      <c r="G73" s="102">
        <f t="shared" ref="G73:G75" si="22">F73</f>
        <v>599.4</v>
      </c>
      <c r="H73" s="77" t="s">
        <v>43</v>
      </c>
      <c r="I73" s="79">
        <f t="shared" ref="I73:I75" si="23">G73*1.1</f>
        <v>659.34</v>
      </c>
      <c r="J73" s="128">
        <f t="shared" ref="J73:J75" si="24">I73</f>
        <v>659.34</v>
      </c>
      <c r="L73" s="80"/>
      <c r="M73" s="390">
        <f>B73*C73*D73</f>
        <v>675</v>
      </c>
    </row>
    <row r="74" spans="1:13" ht="15">
      <c r="A74" s="135"/>
      <c r="B74" s="88">
        <v>3.75</v>
      </c>
      <c r="C74" s="78">
        <v>17</v>
      </c>
      <c r="D74" s="78">
        <v>10</v>
      </c>
      <c r="E74" s="389">
        <v>0.88800000000000001</v>
      </c>
      <c r="F74" s="88">
        <f t="shared" si="21"/>
        <v>566.1</v>
      </c>
      <c r="G74" s="102">
        <f t="shared" si="22"/>
        <v>566.1</v>
      </c>
      <c r="H74" s="77" t="s">
        <v>43</v>
      </c>
      <c r="I74" s="79">
        <f t="shared" si="23"/>
        <v>622.71</v>
      </c>
      <c r="J74" s="128">
        <f t="shared" si="24"/>
        <v>622.71</v>
      </c>
      <c r="L74" s="80"/>
      <c r="M74" s="390">
        <f>B74*C74*D74</f>
        <v>637.5</v>
      </c>
    </row>
    <row r="75" spans="1:13" ht="15">
      <c r="A75" s="135" t="s">
        <v>607</v>
      </c>
      <c r="B75" s="88">
        <f>ROUNDUP((675+637.5)/6,0)</f>
        <v>219</v>
      </c>
      <c r="C75" s="78">
        <v>1.2E-2</v>
      </c>
      <c r="D75" s="78">
        <v>50</v>
      </c>
      <c r="E75" s="389">
        <v>0.88800000000000001</v>
      </c>
      <c r="F75" s="88">
        <f t="shared" si="21"/>
        <v>116.68320000000001</v>
      </c>
      <c r="G75" s="102">
        <f t="shared" si="22"/>
        <v>116.68320000000001</v>
      </c>
      <c r="H75" s="77" t="s">
        <v>43</v>
      </c>
      <c r="I75" s="79">
        <f t="shared" si="23"/>
        <v>128.35152000000002</v>
      </c>
      <c r="J75" s="128">
        <f t="shared" si="24"/>
        <v>128.35152000000002</v>
      </c>
      <c r="L75" s="80"/>
    </row>
    <row r="76" spans="1:13" ht="15">
      <c r="A76" s="135"/>
      <c r="B76" s="88"/>
      <c r="C76" s="78"/>
      <c r="D76" s="78"/>
      <c r="E76" s="77"/>
      <c r="F76" s="88"/>
      <c r="G76" s="102"/>
      <c r="H76" s="77"/>
      <c r="I76" s="79"/>
      <c r="J76" s="103"/>
      <c r="L76" s="80"/>
    </row>
    <row r="77" spans="1:13" ht="15">
      <c r="A77" s="388" t="s">
        <v>609</v>
      </c>
      <c r="B77" s="391">
        <v>2.6749999999999998</v>
      </c>
      <c r="C77" s="78">
        <v>170</v>
      </c>
      <c r="D77" s="78"/>
      <c r="E77" s="77">
        <v>1.58</v>
      </c>
      <c r="F77" s="88">
        <f t="shared" ref="F77:F78" si="25">PRODUCT(B77:E77)</f>
        <v>718.505</v>
      </c>
      <c r="G77" s="102">
        <f t="shared" ref="G77:G78" si="26">F77</f>
        <v>718.505</v>
      </c>
      <c r="H77" s="77" t="s">
        <v>43</v>
      </c>
      <c r="I77" s="79">
        <f t="shared" ref="I77:I78" si="27">G77*1.1</f>
        <v>790.35550000000001</v>
      </c>
      <c r="J77" s="128">
        <f t="shared" ref="J77:J78" si="28">I77</f>
        <v>790.35550000000001</v>
      </c>
      <c r="L77" s="80"/>
    </row>
    <row r="78" spans="1:13" ht="15">
      <c r="A78" s="135" t="s">
        <v>607</v>
      </c>
      <c r="B78" s="391">
        <f>ROUNDUP((B77*C77)/6,0)</f>
        <v>76</v>
      </c>
      <c r="C78" s="78">
        <v>1.6E-2</v>
      </c>
      <c r="D78" s="78">
        <v>50</v>
      </c>
      <c r="E78" s="77">
        <v>1.58</v>
      </c>
      <c r="F78" s="88">
        <f t="shared" si="25"/>
        <v>96.063999999999993</v>
      </c>
      <c r="G78" s="102">
        <f t="shared" si="26"/>
        <v>96.063999999999993</v>
      </c>
      <c r="H78" s="77" t="s">
        <v>43</v>
      </c>
      <c r="I78" s="79">
        <f t="shared" si="27"/>
        <v>105.6704</v>
      </c>
      <c r="J78" s="128">
        <f t="shared" si="28"/>
        <v>105.6704</v>
      </c>
      <c r="L78" s="80"/>
    </row>
    <row r="79" spans="1:13" ht="15">
      <c r="A79" s="135"/>
      <c r="B79" s="88"/>
      <c r="C79" s="78"/>
      <c r="D79" s="78"/>
      <c r="E79" s="77"/>
      <c r="F79" s="88"/>
      <c r="G79" s="102"/>
      <c r="H79" s="77"/>
      <c r="I79" s="79"/>
      <c r="J79" s="103"/>
      <c r="L79" s="80"/>
    </row>
    <row r="80" spans="1:13" ht="15">
      <c r="A80" s="388" t="s">
        <v>608</v>
      </c>
      <c r="B80" s="88">
        <v>2.4</v>
      </c>
      <c r="C80" s="78">
        <v>170</v>
      </c>
      <c r="D80" s="78"/>
      <c r="E80" s="77">
        <v>0.88800000000000001</v>
      </c>
      <c r="F80" s="88">
        <f t="shared" ref="F80:F82" si="29">PRODUCT(B80:E80)</f>
        <v>362.30400000000003</v>
      </c>
      <c r="G80" s="102">
        <f t="shared" ref="G80:G82" si="30">F80</f>
        <v>362.30400000000003</v>
      </c>
      <c r="H80" s="77" t="s">
        <v>43</v>
      </c>
      <c r="I80" s="79">
        <f t="shared" ref="I80:I82" si="31">G80*1.1</f>
        <v>398.53440000000006</v>
      </c>
      <c r="J80" s="128">
        <f t="shared" ref="J80:J82" si="32">I80</f>
        <v>398.53440000000006</v>
      </c>
      <c r="L80" s="80"/>
      <c r="M80" s="390">
        <f>B80*C80</f>
        <v>408</v>
      </c>
    </row>
    <row r="81" spans="1:13" ht="15">
      <c r="A81" s="388"/>
      <c r="B81" s="88">
        <v>25.38</v>
      </c>
      <c r="C81" s="78">
        <v>31</v>
      </c>
      <c r="D81" s="78"/>
      <c r="E81" s="77">
        <v>0.88800000000000001</v>
      </c>
      <c r="F81" s="88">
        <f t="shared" si="29"/>
        <v>698.66063999999994</v>
      </c>
      <c r="G81" s="102">
        <f t="shared" si="30"/>
        <v>698.66063999999994</v>
      </c>
      <c r="H81" s="77" t="s">
        <v>43</v>
      </c>
      <c r="I81" s="79">
        <f t="shared" si="31"/>
        <v>768.526704</v>
      </c>
      <c r="J81" s="128">
        <f t="shared" si="32"/>
        <v>768.526704</v>
      </c>
      <c r="L81" s="80"/>
      <c r="M81" s="80">
        <f>B81*C81</f>
        <v>786.78</v>
      </c>
    </row>
    <row r="82" spans="1:13" ht="15">
      <c r="A82" s="135" t="s">
        <v>607</v>
      </c>
      <c r="B82" s="88">
        <f>ROUNDUP((M80+M81)/6,0)</f>
        <v>200</v>
      </c>
      <c r="C82" s="78">
        <v>1.2E-2</v>
      </c>
      <c r="D82" s="78">
        <v>50</v>
      </c>
      <c r="E82" s="389">
        <v>0.88800000000000001</v>
      </c>
      <c r="F82" s="88">
        <f t="shared" si="29"/>
        <v>106.56</v>
      </c>
      <c r="G82" s="102">
        <f t="shared" si="30"/>
        <v>106.56</v>
      </c>
      <c r="H82" s="77" t="s">
        <v>43</v>
      </c>
      <c r="I82" s="79">
        <f t="shared" si="31"/>
        <v>117.21600000000001</v>
      </c>
      <c r="J82" s="128">
        <f t="shared" si="32"/>
        <v>117.21600000000001</v>
      </c>
      <c r="L82" s="80"/>
      <c r="M82" s="390"/>
    </row>
    <row r="83" spans="1:13" ht="15">
      <c r="A83" s="87"/>
      <c r="B83" s="88"/>
      <c r="C83" s="78"/>
      <c r="D83" s="78"/>
      <c r="E83" s="77"/>
      <c r="F83" s="88"/>
      <c r="G83" s="102"/>
      <c r="H83" s="77"/>
      <c r="I83" s="79"/>
      <c r="J83" s="103"/>
      <c r="L83" s="80"/>
    </row>
    <row r="84" spans="1:13" ht="15">
      <c r="A84" s="87" t="s">
        <v>610</v>
      </c>
      <c r="B84" s="88">
        <v>85</v>
      </c>
      <c r="C84" s="78">
        <v>0.15</v>
      </c>
      <c r="D84" s="78">
        <v>16</v>
      </c>
      <c r="E84" s="77">
        <v>0.61699999999999999</v>
      </c>
      <c r="F84" s="88">
        <f t="shared" ref="F84:F85" si="33">PRODUCT(B84:E84)</f>
        <v>125.86799999999999</v>
      </c>
      <c r="G84" s="102">
        <f t="shared" ref="G84:G85" si="34">F84</f>
        <v>125.86799999999999</v>
      </c>
      <c r="H84" s="77" t="s">
        <v>43</v>
      </c>
      <c r="I84" s="79">
        <f t="shared" ref="I84:I85" si="35">G84*1.1</f>
        <v>138.45480000000001</v>
      </c>
      <c r="J84" s="128">
        <f t="shared" ref="J84:J85" si="36">I84</f>
        <v>138.45480000000001</v>
      </c>
      <c r="L84" s="80"/>
    </row>
    <row r="85" spans="1:13" ht="15">
      <c r="A85" s="135" t="s">
        <v>607</v>
      </c>
      <c r="B85" s="88">
        <f>ROUNDUP((B84*C84*D84)/6,0)</f>
        <v>34</v>
      </c>
      <c r="C85" s="78">
        <v>0.01</v>
      </c>
      <c r="D85" s="78">
        <v>50</v>
      </c>
      <c r="E85" s="77">
        <v>0.61699999999999999</v>
      </c>
      <c r="F85" s="88">
        <f t="shared" si="33"/>
        <v>10.489000000000001</v>
      </c>
      <c r="G85" s="102">
        <f t="shared" si="34"/>
        <v>10.489000000000001</v>
      </c>
      <c r="H85" s="77" t="s">
        <v>43</v>
      </c>
      <c r="I85" s="79">
        <f t="shared" si="35"/>
        <v>11.537900000000002</v>
      </c>
      <c r="J85" s="128">
        <f t="shared" si="36"/>
        <v>11.537900000000002</v>
      </c>
      <c r="L85" s="80"/>
    </row>
    <row r="86" spans="1:13" ht="15">
      <c r="A86" s="87"/>
      <c r="B86" s="88"/>
      <c r="C86" s="78"/>
      <c r="D86" s="78"/>
      <c r="E86" s="77"/>
      <c r="F86" s="88"/>
      <c r="G86" s="102"/>
      <c r="H86" s="77"/>
      <c r="I86" s="79"/>
      <c r="J86" s="103">
        <f>SUM(J70:J85)</f>
        <v>4343.3168240000005</v>
      </c>
      <c r="L86" s="80"/>
    </row>
    <row r="87" spans="1:13" ht="15">
      <c r="A87" s="87"/>
      <c r="B87" s="88"/>
      <c r="C87" s="78"/>
      <c r="D87" s="78"/>
      <c r="E87" s="77"/>
      <c r="F87" s="88"/>
      <c r="G87" s="102"/>
      <c r="H87" s="77"/>
      <c r="I87" s="79"/>
      <c r="J87" s="101"/>
      <c r="L87" s="80"/>
    </row>
    <row r="88" spans="1:13" ht="15">
      <c r="A88" s="87"/>
      <c r="B88" s="88"/>
      <c r="C88" s="78"/>
      <c r="D88" s="78"/>
      <c r="E88" s="77"/>
      <c r="F88" s="88"/>
      <c r="G88" s="102"/>
      <c r="H88" s="77"/>
      <c r="I88" s="79"/>
      <c r="J88" s="101"/>
      <c r="L88" s="80"/>
    </row>
    <row r="89" spans="1:13" ht="15">
      <c r="A89" s="392"/>
      <c r="B89" s="123"/>
      <c r="C89" s="122"/>
      <c r="D89" s="122"/>
      <c r="E89" s="121"/>
      <c r="F89" s="123"/>
      <c r="G89" s="124"/>
      <c r="H89" s="121"/>
      <c r="I89" s="124"/>
      <c r="J89" s="393"/>
      <c r="L89" s="80"/>
    </row>
    <row r="90" spans="1:13" ht="15">
      <c r="A90" s="394"/>
      <c r="B90" s="110"/>
      <c r="C90" s="78"/>
      <c r="D90" s="78"/>
      <c r="E90" s="77"/>
      <c r="F90" s="110"/>
      <c r="G90" s="395"/>
      <c r="H90" s="77"/>
      <c r="I90" s="79"/>
      <c r="J90" s="101"/>
      <c r="L90" s="80"/>
    </row>
    <row r="91" spans="1:13" ht="15">
      <c r="A91" s="87" t="s">
        <v>611</v>
      </c>
      <c r="B91" s="88"/>
      <c r="C91" s="78"/>
      <c r="D91" s="78"/>
      <c r="E91" s="77"/>
      <c r="F91" s="88"/>
      <c r="G91" s="102"/>
      <c r="H91" s="77"/>
      <c r="I91" s="79"/>
      <c r="J91" s="101"/>
      <c r="L91" s="80"/>
    </row>
    <row r="92" spans="1:13" ht="15">
      <c r="A92" s="87"/>
      <c r="B92" s="88"/>
      <c r="C92" s="78"/>
      <c r="D92" s="78"/>
      <c r="E92" s="77"/>
      <c r="F92" s="88"/>
      <c r="G92" s="102"/>
      <c r="H92" s="77"/>
      <c r="I92" s="79"/>
      <c r="J92" s="101"/>
      <c r="L92" s="80"/>
    </row>
    <row r="93" spans="1:13" ht="15">
      <c r="A93" s="87" t="s">
        <v>476</v>
      </c>
      <c r="B93" s="88">
        <v>15.96</v>
      </c>
      <c r="C93" s="78">
        <v>0.72</v>
      </c>
      <c r="D93" s="78"/>
      <c r="E93" s="77"/>
      <c r="F93" s="88">
        <f>PRODUCT(B93:E93)</f>
        <v>11.491200000000001</v>
      </c>
      <c r="G93" s="102">
        <f>F93</f>
        <v>11.491200000000001</v>
      </c>
      <c r="H93" s="77" t="s">
        <v>63</v>
      </c>
      <c r="I93" s="79">
        <f>G93*1.1</f>
        <v>12.640320000000003</v>
      </c>
      <c r="J93" s="103">
        <f>I93</f>
        <v>12.640320000000003</v>
      </c>
      <c r="L93" s="80"/>
    </row>
    <row r="94" spans="1:13" ht="15">
      <c r="A94" s="87" t="s">
        <v>77</v>
      </c>
      <c r="B94" s="88">
        <v>15.96</v>
      </c>
      <c r="C94" s="78">
        <v>0.8</v>
      </c>
      <c r="D94" s="78"/>
      <c r="E94" s="77"/>
      <c r="F94" s="88">
        <f>PRODUCT(B94:E94)</f>
        <v>12.768000000000001</v>
      </c>
      <c r="G94" s="102">
        <f>F94</f>
        <v>12.768000000000001</v>
      </c>
      <c r="H94" s="77" t="s">
        <v>63</v>
      </c>
      <c r="I94" s="79">
        <f>G94*1.1</f>
        <v>14.044800000000002</v>
      </c>
      <c r="J94" s="103">
        <f>I94</f>
        <v>14.044800000000002</v>
      </c>
      <c r="L94" s="80"/>
    </row>
    <row r="95" spans="1:13" ht="15">
      <c r="A95" s="87" t="s">
        <v>117</v>
      </c>
      <c r="B95" s="88">
        <v>15.96</v>
      </c>
      <c r="C95" s="78">
        <v>0.05</v>
      </c>
      <c r="D95" s="78">
        <v>0.95</v>
      </c>
      <c r="E95" s="77"/>
      <c r="F95" s="88">
        <f>PRODUCT(B95:E95)</f>
        <v>0.7581</v>
      </c>
      <c r="G95" s="102">
        <f t="shared" ref="G95:G100" si="37">F95</f>
        <v>0.7581</v>
      </c>
      <c r="H95" s="77" t="s">
        <v>63</v>
      </c>
      <c r="I95" s="79">
        <f>G95*1.1</f>
        <v>0.83391000000000004</v>
      </c>
      <c r="J95" s="103">
        <f t="shared" ref="J95:J100" si="38">I95</f>
        <v>0.83391000000000004</v>
      </c>
      <c r="L95" s="80"/>
    </row>
    <row r="96" spans="1:13" ht="15">
      <c r="A96" s="87" t="s">
        <v>602</v>
      </c>
      <c r="B96" s="88">
        <v>15.96</v>
      </c>
      <c r="C96" s="78">
        <v>0.19</v>
      </c>
      <c r="D96" s="78"/>
      <c r="E96" s="77"/>
      <c r="F96" s="88">
        <f>PRODUCT(B96:E96)</f>
        <v>3.0324</v>
      </c>
      <c r="G96" s="102">
        <f t="shared" si="37"/>
        <v>3.0324</v>
      </c>
      <c r="H96" s="77" t="s">
        <v>63</v>
      </c>
      <c r="I96" s="79">
        <f>G96*1.1</f>
        <v>3.3356400000000002</v>
      </c>
      <c r="J96" s="103">
        <f t="shared" si="38"/>
        <v>3.3356400000000002</v>
      </c>
      <c r="L96" s="80"/>
    </row>
    <row r="97" spans="1:12" ht="15">
      <c r="A97" s="87" t="s">
        <v>612</v>
      </c>
      <c r="B97" s="88">
        <v>15.96</v>
      </c>
      <c r="C97" s="78">
        <v>0.4</v>
      </c>
      <c r="D97" s="78">
        <v>0.4</v>
      </c>
      <c r="E97" s="77"/>
      <c r="F97" s="88">
        <f>PRODUCT(B97:E97)</f>
        <v>2.5536000000000003</v>
      </c>
      <c r="G97" s="102">
        <f t="shared" si="37"/>
        <v>2.5536000000000003</v>
      </c>
      <c r="H97" s="77" t="s">
        <v>63</v>
      </c>
      <c r="I97" s="79">
        <f>G97*1.1</f>
        <v>2.8089600000000008</v>
      </c>
      <c r="J97" s="103">
        <f t="shared" si="38"/>
        <v>2.8089600000000008</v>
      </c>
      <c r="L97" s="80"/>
    </row>
    <row r="98" spans="1:12" ht="15">
      <c r="A98" s="87"/>
      <c r="B98" s="88"/>
      <c r="C98" s="78"/>
      <c r="D98" s="78"/>
      <c r="E98" s="77"/>
      <c r="F98" s="88"/>
      <c r="G98" s="102"/>
      <c r="H98" s="77"/>
      <c r="I98" s="79"/>
      <c r="J98" s="101"/>
      <c r="L98" s="80"/>
    </row>
    <row r="99" spans="1:12" ht="15">
      <c r="A99" s="87" t="s">
        <v>82</v>
      </c>
      <c r="B99" s="88">
        <v>0.25</v>
      </c>
      <c r="C99" s="78">
        <v>15.96</v>
      </c>
      <c r="D99" s="78">
        <v>2</v>
      </c>
      <c r="E99" s="77"/>
      <c r="F99" s="88">
        <f>PRODUCT(B99:E99)</f>
        <v>7.98</v>
      </c>
      <c r="G99" s="102">
        <f t="shared" si="37"/>
        <v>7.98</v>
      </c>
      <c r="H99" s="77" t="s">
        <v>63</v>
      </c>
      <c r="I99" s="79">
        <f>G99*1.1</f>
        <v>8.7780000000000005</v>
      </c>
      <c r="J99" s="128">
        <f t="shared" si="38"/>
        <v>8.7780000000000005</v>
      </c>
      <c r="L99" s="80"/>
    </row>
    <row r="100" spans="1:12" ht="15">
      <c r="A100" s="87"/>
      <c r="B100" s="88">
        <v>0.19</v>
      </c>
      <c r="C100" s="78"/>
      <c r="D100" s="78">
        <v>2</v>
      </c>
      <c r="E100" s="77"/>
      <c r="F100" s="88">
        <f>PRODUCT(B100:E100)</f>
        <v>0.38</v>
      </c>
      <c r="G100" s="102">
        <f t="shared" si="37"/>
        <v>0.38</v>
      </c>
      <c r="H100" s="77" t="s">
        <v>63</v>
      </c>
      <c r="I100" s="79">
        <f>G100*1.1</f>
        <v>0.41800000000000004</v>
      </c>
      <c r="J100" s="128">
        <f t="shared" si="38"/>
        <v>0.41800000000000004</v>
      </c>
      <c r="L100" s="80"/>
    </row>
    <row r="101" spans="1:12" ht="15">
      <c r="A101" s="87"/>
      <c r="B101" s="88"/>
      <c r="C101" s="78"/>
      <c r="D101" s="78"/>
      <c r="E101" s="77"/>
      <c r="F101" s="88"/>
      <c r="G101" s="102"/>
      <c r="H101" s="77"/>
      <c r="I101" s="79"/>
      <c r="J101" s="103">
        <f>SUM(J99:J100)</f>
        <v>9.1959999999999997</v>
      </c>
      <c r="L101" s="80"/>
    </row>
    <row r="102" spans="1:12" ht="15">
      <c r="A102" s="87"/>
      <c r="B102" s="88"/>
      <c r="C102" s="78"/>
      <c r="D102" s="78"/>
      <c r="E102" s="77"/>
      <c r="F102" s="88"/>
      <c r="G102" s="102"/>
      <c r="H102" s="77"/>
      <c r="I102" s="79"/>
      <c r="J102" s="101"/>
      <c r="L102" s="80"/>
    </row>
    <row r="103" spans="1:12" ht="15">
      <c r="A103" s="87" t="s">
        <v>81</v>
      </c>
      <c r="B103" s="88">
        <v>1.5</v>
      </c>
      <c r="C103" s="78">
        <f>ROUNDUP(B97/0.25,0)+1</f>
        <v>65</v>
      </c>
      <c r="D103" s="78"/>
      <c r="E103" s="77">
        <v>0.61699999999999999</v>
      </c>
      <c r="F103" s="88">
        <f t="shared" ref="F103:F105" si="39">PRODUCT(B103:E103)</f>
        <v>60.157499999999999</v>
      </c>
      <c r="G103" s="102">
        <f t="shared" ref="G103:G105" si="40">F103</f>
        <v>60.157499999999999</v>
      </c>
      <c r="H103" s="77" t="s">
        <v>43</v>
      </c>
      <c r="I103" s="79">
        <f t="shared" ref="I103:I105" si="41">G103*1.1</f>
        <v>66.17325000000001</v>
      </c>
      <c r="J103" s="128">
        <f t="shared" ref="J103:J105" si="42">I103</f>
        <v>66.17325000000001</v>
      </c>
      <c r="L103" s="80"/>
    </row>
    <row r="104" spans="1:12" ht="15">
      <c r="A104" s="87"/>
      <c r="B104" s="88">
        <f>B97</f>
        <v>15.96</v>
      </c>
      <c r="C104" s="78">
        <f>ROUNDUP(B103/0.25,0)+1</f>
        <v>7</v>
      </c>
      <c r="D104" s="78"/>
      <c r="E104" s="77">
        <v>0.61699999999999999</v>
      </c>
      <c r="F104" s="88">
        <f t="shared" si="39"/>
        <v>68.931240000000003</v>
      </c>
      <c r="G104" s="102">
        <f t="shared" si="40"/>
        <v>68.931240000000003</v>
      </c>
      <c r="H104" s="77" t="s">
        <v>43</v>
      </c>
      <c r="I104" s="79">
        <f t="shared" si="41"/>
        <v>75.824364000000003</v>
      </c>
      <c r="J104" s="128">
        <f t="shared" si="42"/>
        <v>75.824364000000003</v>
      </c>
      <c r="L104" s="80"/>
    </row>
    <row r="105" spans="1:12" ht="15">
      <c r="A105" s="135" t="s">
        <v>613</v>
      </c>
      <c r="B105" s="88">
        <f>ROUNDUP(142/6,0)</f>
        <v>24</v>
      </c>
      <c r="C105" s="78">
        <v>0.01</v>
      </c>
      <c r="D105" s="78">
        <v>50</v>
      </c>
      <c r="E105" s="77">
        <v>1.617</v>
      </c>
      <c r="F105" s="88">
        <f t="shared" si="39"/>
        <v>19.404</v>
      </c>
      <c r="G105" s="102">
        <f t="shared" si="40"/>
        <v>19.404</v>
      </c>
      <c r="H105" s="77" t="s">
        <v>43</v>
      </c>
      <c r="I105" s="79">
        <f t="shared" si="41"/>
        <v>21.3444</v>
      </c>
      <c r="J105" s="128">
        <f t="shared" si="42"/>
        <v>21.3444</v>
      </c>
      <c r="L105" s="80"/>
    </row>
    <row r="106" spans="1:12" ht="15">
      <c r="A106" s="87"/>
      <c r="B106" s="88"/>
      <c r="C106" s="78"/>
      <c r="D106" s="78"/>
      <c r="E106" s="77"/>
      <c r="F106" s="88"/>
      <c r="G106" s="102"/>
      <c r="H106" s="77"/>
      <c r="I106" s="79"/>
      <c r="J106" s="103">
        <f>SUM(J103:J105)</f>
        <v>163.34201400000001</v>
      </c>
      <c r="L106" s="80"/>
    </row>
    <row r="107" spans="1:12" ht="15">
      <c r="A107" s="87"/>
      <c r="B107" s="88"/>
      <c r="C107" s="78"/>
      <c r="D107" s="78"/>
      <c r="E107" s="77"/>
      <c r="F107" s="88"/>
      <c r="G107" s="102"/>
      <c r="H107" s="77"/>
      <c r="I107" s="79"/>
      <c r="J107" s="101"/>
      <c r="L107" s="80"/>
    </row>
    <row r="108" spans="1:12" ht="15">
      <c r="A108" s="87" t="s">
        <v>614</v>
      </c>
      <c r="B108" s="88">
        <v>0.62</v>
      </c>
      <c r="C108" s="78">
        <f>ROUNDUP(B93/1.5,0)+1</f>
        <v>12</v>
      </c>
      <c r="D108" s="78"/>
      <c r="E108" s="77"/>
      <c r="F108" s="88">
        <f t="shared" ref="F108" si="43">PRODUCT(B108:E108)</f>
        <v>7.4399999999999995</v>
      </c>
      <c r="G108" s="102">
        <f t="shared" ref="G108" si="44">F108</f>
        <v>7.4399999999999995</v>
      </c>
      <c r="H108" s="77" t="s">
        <v>43</v>
      </c>
      <c r="I108" s="79">
        <f t="shared" ref="I108" si="45">G108*1.1</f>
        <v>8.1839999999999993</v>
      </c>
      <c r="J108" s="103">
        <f t="shared" ref="J108" si="46">I108</f>
        <v>8.1839999999999993</v>
      </c>
      <c r="L108" s="80"/>
    </row>
    <row r="109" spans="1:12" ht="15">
      <c r="A109" s="87"/>
      <c r="B109" s="88"/>
      <c r="C109" s="78"/>
      <c r="D109" s="78"/>
      <c r="E109" s="77"/>
      <c r="F109" s="88"/>
      <c r="G109" s="102"/>
      <c r="H109" s="77"/>
      <c r="I109" s="79"/>
      <c r="J109" s="101"/>
      <c r="L109" s="80"/>
    </row>
    <row r="110" spans="1:12" ht="15">
      <c r="A110" s="87"/>
      <c r="B110" s="88"/>
      <c r="C110" s="78"/>
      <c r="D110" s="78"/>
      <c r="E110" s="77"/>
      <c r="F110" s="88"/>
      <c r="G110" s="102"/>
      <c r="H110" s="77"/>
      <c r="I110" s="79"/>
      <c r="J110" s="101"/>
      <c r="L110" s="80"/>
    </row>
    <row r="111" spans="1:12" ht="15">
      <c r="A111" s="87"/>
      <c r="B111" s="88"/>
      <c r="C111" s="78"/>
      <c r="D111" s="78"/>
      <c r="E111" s="77"/>
      <c r="F111" s="88"/>
      <c r="G111" s="102"/>
      <c r="H111" s="77"/>
      <c r="I111" s="79"/>
      <c r="J111" s="101"/>
      <c r="L111" s="80"/>
    </row>
    <row r="112" spans="1:12" ht="15">
      <c r="A112" s="87"/>
      <c r="B112" s="88"/>
      <c r="C112" s="78"/>
      <c r="D112" s="78"/>
      <c r="E112" s="77"/>
      <c r="F112" s="88"/>
      <c r="G112" s="102"/>
      <c r="H112" s="77"/>
      <c r="I112" s="79"/>
      <c r="J112" s="101"/>
      <c r="L112" s="80"/>
    </row>
    <row r="113" spans="1:12" ht="15">
      <c r="A113" s="87"/>
      <c r="B113" s="88"/>
      <c r="C113" s="78"/>
      <c r="D113" s="78"/>
      <c r="E113" s="77"/>
      <c r="F113" s="88"/>
      <c r="G113" s="102"/>
      <c r="H113" s="77"/>
      <c r="I113" s="79"/>
      <c r="J113" s="101"/>
      <c r="L113" s="80"/>
    </row>
    <row r="114" spans="1:12" ht="15">
      <c r="A114" s="87"/>
      <c r="B114" s="88"/>
      <c r="C114" s="78"/>
      <c r="D114" s="78"/>
      <c r="E114" s="77"/>
      <c r="F114" s="88"/>
      <c r="G114" s="102"/>
      <c r="H114" s="77"/>
      <c r="I114" s="79"/>
      <c r="J114" s="101"/>
      <c r="L114" s="80"/>
    </row>
    <row r="115" spans="1:12" ht="15">
      <c r="A115" s="87"/>
      <c r="B115" s="88"/>
      <c r="C115" s="78"/>
      <c r="D115" s="78"/>
      <c r="E115" s="77"/>
      <c r="F115" s="88"/>
      <c r="G115" s="102"/>
      <c r="H115" s="77"/>
      <c r="I115" s="79"/>
      <c r="J115" s="101"/>
      <c r="L115" s="80"/>
    </row>
    <row r="116" spans="1:12" ht="15">
      <c r="A116" s="87"/>
      <c r="B116" s="88"/>
      <c r="C116" s="78"/>
      <c r="D116" s="78"/>
      <c r="E116" s="77"/>
      <c r="F116" s="88"/>
      <c r="G116" s="102"/>
      <c r="H116" s="77"/>
      <c r="I116" s="79"/>
      <c r="J116" s="101"/>
      <c r="L116" s="80"/>
    </row>
    <row r="117" spans="1:12" ht="15">
      <c r="A117" s="87"/>
      <c r="B117" s="88"/>
      <c r="C117" s="78"/>
      <c r="D117" s="78"/>
      <c r="E117" s="77"/>
      <c r="F117" s="88"/>
      <c r="G117" s="102"/>
      <c r="H117" s="77"/>
      <c r="I117" s="79"/>
      <c r="J117" s="101"/>
      <c r="L117" s="80"/>
    </row>
    <row r="118" spans="1:12" ht="15">
      <c r="A118" s="87"/>
      <c r="B118" s="88"/>
      <c r="C118" s="78"/>
      <c r="D118" s="78"/>
      <c r="E118" s="77"/>
      <c r="F118" s="88"/>
      <c r="G118" s="102"/>
      <c r="H118" s="77"/>
      <c r="I118" s="79"/>
      <c r="J118" s="79"/>
      <c r="L118" s="80"/>
    </row>
    <row r="119" spans="1:12" ht="30">
      <c r="A119" s="114"/>
      <c r="B119" s="115" t="s">
        <v>78</v>
      </c>
      <c r="C119" s="115" t="s">
        <v>55</v>
      </c>
      <c r="D119" s="115" t="s">
        <v>1</v>
      </c>
      <c r="E119" s="116" t="s">
        <v>79</v>
      </c>
      <c r="F119" s="115" t="s">
        <v>80</v>
      </c>
      <c r="G119" s="115"/>
      <c r="H119" s="115"/>
      <c r="I119" s="115"/>
      <c r="J119" s="115"/>
      <c r="L119" s="107"/>
    </row>
    <row r="120" spans="1:12" ht="15">
      <c r="A120" s="920" t="s">
        <v>81</v>
      </c>
      <c r="B120" s="921"/>
      <c r="C120" s="921"/>
      <c r="D120" s="921"/>
      <c r="E120" s="921"/>
      <c r="F120" s="922"/>
      <c r="G120" s="73"/>
      <c r="H120" s="74"/>
      <c r="I120" s="73"/>
    </row>
    <row r="121" spans="1:12" ht="15">
      <c r="A121" s="117"/>
      <c r="B121" s="99"/>
      <c r="C121" s="100"/>
      <c r="D121" s="99"/>
      <c r="E121" s="100"/>
      <c r="F121" s="82"/>
      <c r="G121" s="104"/>
      <c r="H121" s="100"/>
      <c r="I121" s="104"/>
      <c r="J121" s="73"/>
      <c r="L121" s="107"/>
    </row>
    <row r="122" spans="1:12" ht="15">
      <c r="A122" s="117"/>
      <c r="B122" s="99"/>
      <c r="C122" s="100"/>
      <c r="D122" s="99"/>
      <c r="E122" s="100"/>
      <c r="F122" s="82"/>
      <c r="G122" s="104"/>
      <c r="H122" s="100"/>
      <c r="I122" s="104"/>
      <c r="J122" s="93"/>
      <c r="L122" s="107"/>
    </row>
    <row r="123" spans="1:12" ht="15">
      <c r="A123" s="920" t="s">
        <v>82</v>
      </c>
      <c r="B123" s="921"/>
      <c r="C123" s="921"/>
      <c r="D123" s="921"/>
      <c r="E123" s="921"/>
      <c r="F123" s="922"/>
      <c r="G123" s="73"/>
      <c r="H123" s="74"/>
      <c r="I123" s="73"/>
      <c r="J123" s="73"/>
    </row>
    <row r="124" spans="1:12" ht="15">
      <c r="A124" s="75"/>
      <c r="B124" s="82"/>
      <c r="C124" s="100"/>
      <c r="D124" s="99"/>
      <c r="E124" s="100"/>
      <c r="F124" s="82"/>
      <c r="G124" s="92"/>
      <c r="H124" s="100"/>
      <c r="I124" s="92"/>
      <c r="J124" s="73"/>
      <c r="L124" s="80"/>
    </row>
    <row r="125" spans="1:12" ht="15">
      <c r="A125" s="75"/>
      <c r="B125" s="82"/>
      <c r="C125" s="100"/>
      <c r="D125" s="99"/>
      <c r="E125" s="100"/>
      <c r="F125" s="82"/>
      <c r="G125" s="92"/>
      <c r="H125" s="100"/>
      <c r="I125" s="92"/>
      <c r="J125" s="93"/>
      <c r="L125" s="80"/>
    </row>
    <row r="126" spans="1:12" ht="24.9" customHeight="1">
      <c r="A126" s="920" t="s">
        <v>83</v>
      </c>
      <c r="B126" s="921"/>
      <c r="C126" s="921"/>
      <c r="D126" s="921"/>
      <c r="E126" s="921"/>
      <c r="F126" s="922"/>
      <c r="G126" s="73"/>
      <c r="H126" s="74"/>
      <c r="I126" s="73"/>
      <c r="J126" s="73"/>
    </row>
    <row r="127" spans="1:12" ht="15">
      <c r="A127" s="75"/>
      <c r="B127" s="118"/>
      <c r="C127" s="104"/>
      <c r="D127" s="104"/>
      <c r="E127" s="118"/>
      <c r="F127" s="82"/>
      <c r="G127" s="100"/>
      <c r="H127" s="100"/>
      <c r="I127" s="92"/>
      <c r="J127" s="73"/>
    </row>
    <row r="128" spans="1:12" ht="15">
      <c r="A128" s="75"/>
      <c r="B128" s="118"/>
      <c r="C128" s="104"/>
      <c r="D128" s="104"/>
      <c r="E128" s="118"/>
      <c r="F128" s="82"/>
      <c r="G128" s="100"/>
      <c r="H128" s="100"/>
      <c r="I128" s="92"/>
      <c r="J128" s="101"/>
      <c r="L128" s="80"/>
    </row>
    <row r="129" spans="1:12" ht="15">
      <c r="A129" s="259" t="s">
        <v>84</v>
      </c>
      <c r="B129" s="260"/>
      <c r="C129" s="260"/>
      <c r="D129" s="260"/>
      <c r="E129" s="260"/>
      <c r="F129" s="260"/>
      <c r="G129" s="260"/>
      <c r="H129" s="260"/>
      <c r="I129" s="260"/>
      <c r="J129" s="261"/>
      <c r="L129" s="107"/>
    </row>
    <row r="130" spans="1:12" ht="24.9" customHeight="1">
      <c r="A130" s="920"/>
      <c r="B130" s="921"/>
      <c r="C130" s="921"/>
      <c r="D130" s="921"/>
      <c r="E130" s="921"/>
      <c r="F130" s="922"/>
      <c r="G130" s="73"/>
      <c r="H130" s="74"/>
      <c r="I130" s="73"/>
      <c r="J130" s="73"/>
    </row>
    <row r="131" spans="1:12" ht="15">
      <c r="A131" s="75"/>
      <c r="B131" s="118"/>
      <c r="C131" s="100"/>
      <c r="D131" s="99"/>
      <c r="E131" s="100"/>
      <c r="F131" s="82"/>
      <c r="G131" s="100"/>
      <c r="H131" s="100"/>
      <c r="I131" s="92"/>
      <c r="J131" s="79"/>
      <c r="L131" s="80"/>
    </row>
    <row r="132" spans="1:12" ht="15">
      <c r="A132" s="119"/>
      <c r="B132" s="120"/>
      <c r="C132" s="121"/>
      <c r="D132" s="122"/>
      <c r="E132" s="121"/>
      <c r="F132" s="123"/>
      <c r="G132" s="121"/>
      <c r="H132" s="121"/>
      <c r="I132" s="124"/>
      <c r="J132" s="124"/>
      <c r="L132" s="80"/>
    </row>
    <row r="133" spans="1:12" ht="12.75" customHeight="1">
      <c r="A133" s="262" t="s">
        <v>85</v>
      </c>
      <c r="B133" s="263"/>
      <c r="C133" s="263"/>
      <c r="D133" s="263"/>
      <c r="E133" s="263"/>
      <c r="F133" s="263"/>
      <c r="G133" s="263"/>
      <c r="H133" s="263"/>
      <c r="I133" s="263"/>
      <c r="J133" s="264"/>
      <c r="L133" s="80"/>
    </row>
    <row r="134" spans="1:12" ht="15">
      <c r="A134" s="914" t="s">
        <v>86</v>
      </c>
      <c r="B134" s="915"/>
      <c r="C134" s="915"/>
      <c r="D134" s="915"/>
      <c r="E134" s="915"/>
      <c r="F134" s="915"/>
      <c r="G134" s="915"/>
      <c r="H134" s="915"/>
      <c r="I134" s="125"/>
      <c r="J134" s="255"/>
      <c r="L134" s="80"/>
    </row>
    <row r="135" spans="1:12" ht="15">
      <c r="A135" s="371" t="s">
        <v>87</v>
      </c>
      <c r="B135" s="82"/>
      <c r="C135" s="91"/>
      <c r="D135" s="78"/>
      <c r="E135" s="77"/>
      <c r="F135" s="76"/>
      <c r="G135" s="77"/>
      <c r="H135" s="77"/>
      <c r="I135" s="79"/>
      <c r="L135" s="80"/>
    </row>
    <row r="136" spans="1:12" ht="15">
      <c r="A136" s="84"/>
      <c r="B136" s="82"/>
      <c r="C136" s="91"/>
      <c r="D136" s="78"/>
      <c r="E136" s="77"/>
      <c r="F136" s="76">
        <f>PRODUCT(B136:E136)</f>
        <v>0</v>
      </c>
      <c r="G136" s="77"/>
      <c r="H136" s="77" t="s">
        <v>5</v>
      </c>
      <c r="I136" s="79">
        <f>F136*1.1</f>
        <v>0</v>
      </c>
      <c r="J136" s="101"/>
      <c r="L136" s="80"/>
    </row>
    <row r="137" spans="1:12" ht="15">
      <c r="A137" s="84"/>
      <c r="B137" s="82"/>
      <c r="C137" s="91"/>
      <c r="D137" s="78"/>
      <c r="E137" s="77"/>
      <c r="F137" s="76">
        <f>PRODUCT(B137:E137)</f>
        <v>0</v>
      </c>
      <c r="G137" s="77"/>
      <c r="H137" s="77" t="s">
        <v>5</v>
      </c>
      <c r="I137" s="79">
        <f t="shared" ref="I137:I138" si="47">F137*1.1</f>
        <v>0</v>
      </c>
      <c r="J137" s="79">
        <f>I136</f>
        <v>0</v>
      </c>
      <c r="L137" s="80"/>
    </row>
    <row r="138" spans="1:12" ht="15">
      <c r="A138" s="84"/>
      <c r="B138" s="82"/>
      <c r="C138" s="91"/>
      <c r="D138" s="78"/>
      <c r="E138" s="77"/>
      <c r="F138" s="76">
        <f>PRODUCT(B138:E138)</f>
        <v>0</v>
      </c>
      <c r="G138" s="77"/>
      <c r="H138" s="77" t="s">
        <v>5</v>
      </c>
      <c r="I138" s="79">
        <f t="shared" si="47"/>
        <v>0</v>
      </c>
      <c r="J138" s="79">
        <f t="shared" ref="J138:J139" si="48">I137</f>
        <v>0</v>
      </c>
      <c r="L138" s="80"/>
    </row>
    <row r="139" spans="1:12" ht="15">
      <c r="A139" s="371"/>
      <c r="B139" s="82"/>
      <c r="C139" s="91"/>
      <c r="D139" s="78"/>
      <c r="E139" s="77"/>
      <c r="F139" s="76"/>
      <c r="G139" s="77"/>
      <c r="H139" s="77"/>
      <c r="I139" s="79"/>
      <c r="J139" s="79">
        <f t="shared" si="48"/>
        <v>0</v>
      </c>
      <c r="L139" s="80"/>
    </row>
    <row r="140" spans="1:12" ht="15">
      <c r="A140" s="84"/>
      <c r="B140" s="82"/>
      <c r="C140" s="91"/>
      <c r="D140" s="99"/>
      <c r="E140" s="100"/>
      <c r="F140" s="82"/>
      <c r="G140" s="100"/>
      <c r="H140" s="100"/>
      <c r="I140" s="79"/>
      <c r="J140" s="101">
        <f>SUM(J137:J139)</f>
        <v>0</v>
      </c>
      <c r="L140" s="80"/>
    </row>
    <row r="141" spans="1:12" ht="15">
      <c r="A141" s="371" t="s">
        <v>88</v>
      </c>
      <c r="B141" s="88"/>
      <c r="C141" s="91"/>
      <c r="D141" s="90"/>
      <c r="E141" s="91"/>
      <c r="F141" s="82"/>
      <c r="G141" s="91"/>
      <c r="H141" s="100"/>
      <c r="I141" s="79"/>
      <c r="J141" s="79"/>
      <c r="L141" s="80"/>
    </row>
    <row r="142" spans="1:12" ht="15">
      <c r="A142" s="84"/>
      <c r="B142" s="88"/>
      <c r="C142" s="91"/>
      <c r="D142" s="90"/>
      <c r="E142" s="91"/>
      <c r="F142" s="88"/>
      <c r="G142" s="91"/>
      <c r="H142" s="100"/>
      <c r="I142" s="79"/>
      <c r="J142" s="79"/>
      <c r="L142" s="80"/>
    </row>
    <row r="143" spans="1:12" ht="15">
      <c r="A143" s="84" t="s">
        <v>89</v>
      </c>
      <c r="B143" s="88"/>
      <c r="C143" s="91"/>
      <c r="D143" s="90"/>
      <c r="E143" s="91"/>
      <c r="F143" s="88"/>
      <c r="G143" s="91"/>
      <c r="H143" s="100"/>
      <c r="I143" s="79"/>
      <c r="J143" s="79"/>
      <c r="L143" s="80"/>
    </row>
    <row r="144" spans="1:12" ht="15">
      <c r="A144" s="84"/>
      <c r="B144" s="88"/>
      <c r="C144" s="91"/>
      <c r="D144" s="90"/>
      <c r="E144" s="91"/>
      <c r="F144" s="88"/>
      <c r="G144" s="91"/>
      <c r="H144" s="100"/>
      <c r="I144" s="79"/>
      <c r="J144" s="79"/>
      <c r="L144" s="80"/>
    </row>
    <row r="145" spans="1:12" ht="15">
      <c r="A145" s="84"/>
      <c r="B145" s="88"/>
      <c r="C145" s="91"/>
      <c r="D145" s="90"/>
      <c r="E145" s="91"/>
      <c r="F145" s="88"/>
      <c r="G145" s="91"/>
      <c r="H145" s="100"/>
      <c r="I145" s="79"/>
      <c r="J145" s="79"/>
      <c r="L145" s="80"/>
    </row>
    <row r="146" spans="1:12" ht="15">
      <c r="A146" s="250" t="s">
        <v>90</v>
      </c>
      <c r="B146" s="251"/>
      <c r="C146" s="251"/>
      <c r="D146" s="251"/>
      <c r="E146" s="251"/>
      <c r="F146" s="251"/>
      <c r="G146" s="251"/>
      <c r="H146" s="251"/>
      <c r="I146" s="251"/>
      <c r="J146" s="79"/>
      <c r="L146" s="80"/>
    </row>
    <row r="147" spans="1:12" ht="15">
      <c r="A147" s="130"/>
      <c r="B147" s="131"/>
      <c r="C147" s="77"/>
      <c r="D147" s="78"/>
      <c r="E147" s="77"/>
      <c r="F147" s="76"/>
      <c r="G147" s="77"/>
      <c r="H147" s="77"/>
      <c r="I147" s="79"/>
      <c r="J147" s="252"/>
      <c r="L147" s="80"/>
    </row>
    <row r="148" spans="1:12" ht="13.5" customHeight="1">
      <c r="A148" s="372"/>
      <c r="B148" s="131"/>
      <c r="C148" s="77"/>
      <c r="D148" s="78"/>
      <c r="E148" s="77"/>
      <c r="F148" s="76">
        <f t="shared" ref="F148" si="49">PRODUCT(B148:E148)</f>
        <v>0</v>
      </c>
      <c r="G148" s="77"/>
      <c r="H148" s="77" t="s">
        <v>5</v>
      </c>
      <c r="I148" s="79"/>
      <c r="J148" s="79"/>
      <c r="L148" s="80"/>
    </row>
    <row r="149" spans="1:12" ht="15">
      <c r="A149" s="130"/>
      <c r="B149" s="131"/>
      <c r="C149" s="77"/>
      <c r="D149" s="78"/>
      <c r="E149" s="77"/>
      <c r="F149" s="76"/>
      <c r="G149" s="77"/>
      <c r="H149" s="77"/>
      <c r="I149" s="79"/>
      <c r="J149" s="101">
        <f t="shared" ref="J149" si="50">F148</f>
        <v>0</v>
      </c>
      <c r="L149" s="80"/>
    </row>
    <row r="150" spans="1:12" ht="15" customHeight="1">
      <c r="A150" s="372"/>
      <c r="B150" s="131"/>
      <c r="C150" s="77"/>
      <c r="D150" s="78"/>
      <c r="E150" s="77"/>
      <c r="F150" s="76">
        <f>PRODUCT(B150:E150)</f>
        <v>0</v>
      </c>
      <c r="G150" s="77"/>
      <c r="H150" s="77" t="s">
        <v>5</v>
      </c>
      <c r="I150" s="79"/>
      <c r="J150" s="79"/>
      <c r="L150" s="80"/>
    </row>
    <row r="151" spans="1:12" ht="15">
      <c r="A151" s="372"/>
      <c r="B151" s="118"/>
      <c r="C151" s="100"/>
      <c r="D151" s="99"/>
      <c r="E151" s="100"/>
      <c r="F151" s="76">
        <f t="shared" ref="F151:F154" si="51">PRODUCT(B151:E151)</f>
        <v>0</v>
      </c>
      <c r="G151" s="100"/>
      <c r="H151" s="77" t="s">
        <v>5</v>
      </c>
      <c r="I151" s="92"/>
      <c r="J151" s="79">
        <f>F150</f>
        <v>0</v>
      </c>
      <c r="L151" s="80"/>
    </row>
    <row r="152" spans="1:12" ht="15">
      <c r="A152" s="372"/>
      <c r="B152" s="118"/>
      <c r="C152" s="100"/>
      <c r="D152" s="99"/>
      <c r="E152" s="100"/>
      <c r="F152" s="76">
        <f t="shared" si="51"/>
        <v>0</v>
      </c>
      <c r="G152" s="100"/>
      <c r="H152" s="77" t="s">
        <v>5</v>
      </c>
      <c r="I152" s="92"/>
      <c r="J152" s="79">
        <f t="shared" ref="J152:J154" si="52">F151</f>
        <v>0</v>
      </c>
      <c r="L152" s="80"/>
    </row>
    <row r="153" spans="1:12" ht="15">
      <c r="A153" s="372"/>
      <c r="B153" s="89"/>
      <c r="C153" s="91"/>
      <c r="D153" s="90"/>
      <c r="E153" s="91"/>
      <c r="F153" s="76">
        <f t="shared" si="51"/>
        <v>0</v>
      </c>
      <c r="G153" s="91"/>
      <c r="H153" s="77" t="s">
        <v>5</v>
      </c>
      <c r="I153" s="102"/>
      <c r="J153" s="79">
        <f t="shared" si="52"/>
        <v>0</v>
      </c>
      <c r="L153" s="80"/>
    </row>
    <row r="154" spans="1:12" ht="15">
      <c r="A154" s="372"/>
      <c r="B154" s="89"/>
      <c r="C154" s="91"/>
      <c r="D154" s="90"/>
      <c r="E154" s="91"/>
      <c r="F154" s="76">
        <f t="shared" si="51"/>
        <v>0</v>
      </c>
      <c r="G154" s="91"/>
      <c r="H154" s="77" t="s">
        <v>5</v>
      </c>
      <c r="I154" s="102"/>
      <c r="J154" s="79">
        <f t="shared" si="52"/>
        <v>0</v>
      </c>
      <c r="L154" s="80"/>
    </row>
    <row r="155" spans="1:12" ht="15">
      <c r="A155" s="372"/>
      <c r="B155" s="89"/>
      <c r="C155" s="91"/>
      <c r="D155" s="90"/>
      <c r="E155" s="91"/>
      <c r="F155" s="88"/>
      <c r="G155" s="91"/>
      <c r="H155" s="91"/>
      <c r="I155" s="102"/>
      <c r="J155" s="134">
        <f>SUM(J151:J154)</f>
        <v>0</v>
      </c>
      <c r="L155" s="80"/>
    </row>
    <row r="156" spans="1:12" ht="15">
      <c r="A156" s="250" t="s">
        <v>91</v>
      </c>
      <c r="B156" s="251"/>
      <c r="C156" s="251"/>
      <c r="D156" s="251"/>
      <c r="E156" s="251"/>
      <c r="F156" s="251"/>
      <c r="G156" s="251"/>
      <c r="H156" s="251"/>
      <c r="I156" s="251"/>
      <c r="J156" s="134"/>
      <c r="L156" s="80"/>
    </row>
    <row r="157" spans="1:12" ht="15">
      <c r="A157" s="130"/>
      <c r="B157" s="131"/>
      <c r="C157" s="77"/>
      <c r="D157" s="78"/>
      <c r="E157" s="77"/>
      <c r="F157" s="76"/>
      <c r="G157" s="79">
        <f>F157</f>
        <v>0</v>
      </c>
      <c r="H157" s="77" t="s">
        <v>5</v>
      </c>
      <c r="I157" s="79">
        <f>G157*1.1</f>
        <v>0</v>
      </c>
      <c r="J157" s="252"/>
      <c r="L157" s="80"/>
    </row>
    <row r="158" spans="1:12" ht="15">
      <c r="A158" s="130"/>
      <c r="B158" s="131"/>
      <c r="C158" s="77"/>
      <c r="D158" s="78"/>
      <c r="E158" s="77"/>
      <c r="F158" s="76"/>
      <c r="G158" s="79">
        <f>F158</f>
        <v>0</v>
      </c>
      <c r="H158" s="77" t="s">
        <v>5</v>
      </c>
      <c r="I158" s="79">
        <f>G158*1.1</f>
        <v>0</v>
      </c>
      <c r="J158" s="79">
        <f>I157*1.1</f>
        <v>0</v>
      </c>
      <c r="L158" s="80"/>
    </row>
    <row r="159" spans="1:12" ht="15">
      <c r="A159" s="84"/>
      <c r="B159" s="118"/>
      <c r="C159" s="100"/>
      <c r="D159" s="99"/>
      <c r="E159" s="100"/>
      <c r="F159" s="82"/>
      <c r="G159" s="100"/>
      <c r="H159" s="100"/>
      <c r="I159" s="92"/>
      <c r="J159" s="79">
        <f>I158*1.1</f>
        <v>0</v>
      </c>
      <c r="L159" s="80"/>
    </row>
    <row r="160" spans="1:12" ht="15">
      <c r="A160" s="84"/>
      <c r="B160" s="118"/>
      <c r="C160" s="100"/>
      <c r="D160" s="99"/>
      <c r="E160" s="100"/>
      <c r="F160" s="82"/>
      <c r="G160" s="100"/>
      <c r="H160" s="100"/>
      <c r="I160" s="92"/>
      <c r="J160" s="93">
        <f>SUM(J158:J159)</f>
        <v>0</v>
      </c>
      <c r="L160" s="80"/>
    </row>
    <row r="161" spans="1:12" ht="15">
      <c r="A161" s="920" t="s">
        <v>483</v>
      </c>
      <c r="B161" s="921"/>
      <c r="C161" s="921"/>
      <c r="D161" s="921"/>
      <c r="E161" s="921"/>
      <c r="F161" s="922"/>
      <c r="G161" s="73"/>
      <c r="H161" s="74"/>
      <c r="I161" s="73"/>
      <c r="J161" s="93"/>
      <c r="L161" s="80"/>
    </row>
    <row r="162" spans="1:12" ht="15">
      <c r="A162" s="135"/>
      <c r="B162" s="89"/>
      <c r="C162" s="90"/>
      <c r="D162" s="136"/>
      <c r="E162" s="91"/>
      <c r="F162" s="82"/>
      <c r="G162" s="92"/>
      <c r="H162" s="100" t="s">
        <v>5</v>
      </c>
      <c r="I162" s="92"/>
      <c r="J162" s="73"/>
      <c r="L162" s="80"/>
    </row>
    <row r="163" spans="1:12" ht="15">
      <c r="A163" s="135"/>
      <c r="B163" s="89"/>
      <c r="C163" s="90"/>
      <c r="D163" s="136"/>
      <c r="E163" s="91"/>
      <c r="F163" s="82"/>
      <c r="G163" s="92"/>
      <c r="H163" s="100"/>
      <c r="I163" s="92"/>
      <c r="J163" s="92">
        <f>F162</f>
        <v>0</v>
      </c>
    </row>
    <row r="164" spans="1:12" ht="15">
      <c r="A164" s="135"/>
      <c r="B164" s="89"/>
      <c r="C164" s="90"/>
      <c r="D164" s="136"/>
      <c r="E164" s="91"/>
      <c r="F164" s="88"/>
      <c r="G164" s="102"/>
      <c r="H164" s="91"/>
      <c r="I164" s="102"/>
      <c r="J164" s="92"/>
    </row>
    <row r="165" spans="1:12" ht="15">
      <c r="A165" s="87"/>
      <c r="B165" s="89"/>
      <c r="C165" s="90"/>
      <c r="D165" s="136"/>
      <c r="E165" s="91"/>
      <c r="F165" s="88"/>
      <c r="G165" s="102"/>
      <c r="H165" s="91"/>
      <c r="I165" s="102"/>
      <c r="J165" s="134">
        <f>SUM(J163:J164)</f>
        <v>0</v>
      </c>
    </row>
    <row r="166" spans="1:12" ht="15">
      <c r="A166" s="250" t="s">
        <v>485</v>
      </c>
      <c r="B166" s="251"/>
      <c r="C166" s="251"/>
      <c r="D166" s="251"/>
      <c r="E166" s="251"/>
      <c r="F166" s="251"/>
      <c r="G166" s="251"/>
      <c r="H166" s="251"/>
      <c r="I166" s="251"/>
      <c r="J166" s="102"/>
    </row>
    <row r="167" spans="1:12" ht="15">
      <c r="A167" s="250"/>
      <c r="B167" s="251"/>
      <c r="C167" s="251"/>
      <c r="D167" s="251"/>
      <c r="E167" s="251"/>
      <c r="F167" s="251"/>
      <c r="G167" s="251"/>
      <c r="H167" s="251"/>
      <c r="I167" s="251"/>
      <c r="J167" s="252"/>
    </row>
    <row r="168" spans="1:12" ht="15">
      <c r="A168" s="142"/>
      <c r="B168" s="143"/>
      <c r="C168" s="144"/>
      <c r="D168" s="145"/>
      <c r="E168" s="144"/>
      <c r="F168" s="146">
        <f>B168</f>
        <v>0</v>
      </c>
      <c r="G168" s="144"/>
      <c r="H168" s="144" t="s">
        <v>5</v>
      </c>
      <c r="I168" s="147">
        <f>F168*1.1</f>
        <v>0</v>
      </c>
      <c r="J168" s="252"/>
    </row>
    <row r="169" spans="1:12" ht="15">
      <c r="J169" s="95">
        <f>I168</f>
        <v>0</v>
      </c>
    </row>
    <row r="170" spans="1:12" ht="15">
      <c r="A170" s="250" t="s">
        <v>92</v>
      </c>
      <c r="B170" s="251"/>
      <c r="C170" s="251"/>
      <c r="D170" s="251"/>
      <c r="E170" s="251"/>
      <c r="F170" s="251"/>
      <c r="G170" s="251"/>
      <c r="H170" s="251"/>
      <c r="I170" s="251"/>
    </row>
    <row r="171" spans="1:12" ht="15">
      <c r="A171" s="149"/>
      <c r="B171" s="82"/>
      <c r="C171" s="91"/>
      <c r="D171" s="82"/>
      <c r="E171" s="91"/>
      <c r="F171" s="82"/>
      <c r="G171" s="92"/>
      <c r="H171" s="100"/>
      <c r="I171" s="92"/>
      <c r="J171" s="252"/>
    </row>
    <row r="172" spans="1:12" ht="15">
      <c r="A172" s="87" t="s">
        <v>615</v>
      </c>
      <c r="B172" s="88"/>
      <c r="C172" s="91"/>
      <c r="D172" s="88"/>
      <c r="E172" s="91"/>
      <c r="F172" s="88">
        <f>PRODUCT(B172:E172)</f>
        <v>0</v>
      </c>
      <c r="G172" s="102">
        <f>F172</f>
        <v>0</v>
      </c>
      <c r="H172" s="77" t="s">
        <v>63</v>
      </c>
      <c r="I172" s="79">
        <f>G172*1.1</f>
        <v>0</v>
      </c>
      <c r="J172" s="92"/>
    </row>
    <row r="173" spans="1:12" ht="15">
      <c r="A173" s="87" t="s">
        <v>616</v>
      </c>
      <c r="B173" s="88"/>
      <c r="C173" s="91"/>
      <c r="D173" s="88"/>
      <c r="E173" s="91"/>
      <c r="F173" s="88">
        <f>PRODUCT(B173:E173)</f>
        <v>0</v>
      </c>
      <c r="G173" s="102">
        <f>F173</f>
        <v>0</v>
      </c>
      <c r="H173" s="77" t="s">
        <v>63</v>
      </c>
      <c r="I173" s="79">
        <f>G173*1.1</f>
        <v>0</v>
      </c>
      <c r="J173" s="79">
        <f>I172</f>
        <v>0</v>
      </c>
    </row>
    <row r="174" spans="1:12" ht="15">
      <c r="A174" s="87" t="s">
        <v>617</v>
      </c>
      <c r="B174" s="88"/>
      <c r="C174" s="91"/>
      <c r="D174" s="88"/>
      <c r="E174" s="91"/>
      <c r="F174" s="88">
        <f>PRODUCT(B174:E174)</f>
        <v>0</v>
      </c>
      <c r="G174" s="102">
        <f>F174</f>
        <v>0</v>
      </c>
      <c r="H174" s="77" t="s">
        <v>63</v>
      </c>
      <c r="I174" s="79">
        <f>G174*1.1</f>
        <v>0</v>
      </c>
      <c r="J174" s="79">
        <f>I173</f>
        <v>0</v>
      </c>
    </row>
    <row r="175" spans="1:12" ht="15">
      <c r="A175" s="75"/>
      <c r="B175" s="88"/>
      <c r="C175" s="91"/>
      <c r="D175" s="88"/>
      <c r="E175" s="91"/>
      <c r="F175" s="88"/>
      <c r="G175" s="102"/>
      <c r="H175" s="91"/>
      <c r="I175" s="102"/>
      <c r="J175" s="79">
        <f>I174</f>
        <v>0</v>
      </c>
    </row>
    <row r="176" spans="1:12" ht="15">
      <c r="A176" s="75"/>
      <c r="B176" s="88"/>
      <c r="C176" s="91"/>
      <c r="D176" s="88"/>
      <c r="E176" s="91"/>
      <c r="F176" s="88"/>
      <c r="G176" s="102"/>
      <c r="H176" s="91"/>
      <c r="I176" s="102"/>
      <c r="J176" s="134">
        <f>SUM(J173:J175)</f>
        <v>0</v>
      </c>
    </row>
    <row r="177" spans="1:12" ht="15">
      <c r="A177" s="256" t="s">
        <v>93</v>
      </c>
      <c r="B177" s="257"/>
      <c r="C177" s="257"/>
      <c r="D177" s="257"/>
      <c r="E177" s="257"/>
      <c r="F177" s="257"/>
      <c r="G177" s="257"/>
      <c r="H177" s="257"/>
      <c r="I177" s="257"/>
      <c r="J177" s="102"/>
    </row>
    <row r="178" spans="1:12" ht="15">
      <c r="A178" s="84"/>
      <c r="B178" s="82"/>
      <c r="C178" s="91"/>
      <c r="D178" s="82"/>
      <c r="E178" s="91"/>
      <c r="F178" s="82"/>
      <c r="G178" s="92"/>
      <c r="H178" s="100"/>
      <c r="I178" s="92"/>
      <c r="J178" s="258"/>
    </row>
    <row r="179" spans="1:12" ht="15">
      <c r="A179" s="84"/>
      <c r="B179" s="88"/>
      <c r="C179" s="91"/>
      <c r="D179" s="88"/>
      <c r="E179" s="91"/>
      <c r="F179" s="88"/>
      <c r="G179" s="102"/>
      <c r="H179" s="91"/>
      <c r="I179" s="102"/>
      <c r="J179" s="92"/>
      <c r="L179" s="68" t="s">
        <v>94</v>
      </c>
    </row>
    <row r="180" spans="1:12" ht="15">
      <c r="J180" s="150"/>
    </row>
  </sheetData>
  <mergeCells count="22">
    <mergeCell ref="A126:F126"/>
    <mergeCell ref="A130:F130"/>
    <mergeCell ref="A134:H134"/>
    <mergeCell ref="A161:F161"/>
    <mergeCell ref="A38:J38"/>
    <mergeCell ref="A39:F39"/>
    <mergeCell ref="A42:F42"/>
    <mergeCell ref="A43:J43"/>
    <mergeCell ref="A120:F120"/>
    <mergeCell ref="A123:F123"/>
    <mergeCell ref="A37:J37"/>
    <mergeCell ref="A1:J1"/>
    <mergeCell ref="A3:J3"/>
    <mergeCell ref="A4:F4"/>
    <mergeCell ref="A11:J11"/>
    <mergeCell ref="A12:F12"/>
    <mergeCell ref="A13:F13"/>
    <mergeCell ref="A14:F14"/>
    <mergeCell ref="A22:F22"/>
    <mergeCell ref="A23:F23"/>
    <mergeCell ref="A24:F24"/>
    <mergeCell ref="A30:J30"/>
  </mergeCells>
  <pageMargins left="0.7" right="0.7" top="0.75" bottom="0.75" header="0.3" footer="0.3"/>
  <pageSetup paperSize="9" scale="63" orientation="portrait" r:id="rId1"/>
  <rowBreaks count="1" manualBreakCount="1">
    <brk id="40" max="16383"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C59F7-B298-4E72-94F1-A67319906319}">
  <dimension ref="B3:W251"/>
  <sheetViews>
    <sheetView zoomScale="70" zoomScaleNormal="70" workbookViewId="0">
      <pane ySplit="1" topLeftCell="A101" activePane="bottomLeft" state="frozen"/>
      <selection activeCell="B16" sqref="B16"/>
      <selection pane="bottomLeft" activeCell="B16" sqref="B16"/>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95</v>
      </c>
      <c r="C3" s="151" t="s">
        <v>96</v>
      </c>
      <c r="D3" s="151" t="s">
        <v>97</v>
      </c>
      <c r="E3" s="151" t="s">
        <v>98</v>
      </c>
      <c r="F3" s="151" t="s">
        <v>99</v>
      </c>
      <c r="G3" s="151"/>
      <c r="H3" s="928" t="s">
        <v>100</v>
      </c>
      <c r="I3" s="928"/>
      <c r="J3" s="928"/>
      <c r="K3" s="151" t="s">
        <v>101</v>
      </c>
      <c r="L3" s="152" t="s">
        <v>102</v>
      </c>
      <c r="M3" s="153"/>
    </row>
    <row r="4" spans="2:23" ht="19.5" customHeight="1">
      <c r="B4" s="155"/>
      <c r="C4" s="155"/>
      <c r="D4" s="155"/>
      <c r="E4" s="155"/>
      <c r="F4" s="156" t="s">
        <v>98</v>
      </c>
      <c r="G4" s="156" t="s">
        <v>103</v>
      </c>
      <c r="H4" s="156" t="s">
        <v>104</v>
      </c>
      <c r="I4" s="156" t="s">
        <v>103</v>
      </c>
      <c r="J4" s="156" t="s">
        <v>105</v>
      </c>
      <c r="K4" s="156" t="s">
        <v>106</v>
      </c>
      <c r="L4" s="157" t="s">
        <v>107</v>
      </c>
      <c r="M4" s="157" t="s">
        <v>108</v>
      </c>
    </row>
    <row r="5" spans="2:23">
      <c r="B5" s="158"/>
      <c r="C5" s="158"/>
      <c r="D5" s="158"/>
      <c r="E5" s="158"/>
      <c r="F5" s="159"/>
      <c r="G5" s="159"/>
      <c r="H5" s="159"/>
      <c r="I5" s="159"/>
      <c r="J5" s="159"/>
      <c r="K5" s="160"/>
      <c r="L5" s="160"/>
      <c r="M5" s="160"/>
    </row>
    <row r="6" spans="2:23" ht="18">
      <c r="B6" s="160" t="s">
        <v>109</v>
      </c>
      <c r="C6" s="161">
        <v>0.3</v>
      </c>
      <c r="D6" s="161">
        <v>0.3</v>
      </c>
      <c r="E6" s="161">
        <v>0.1</v>
      </c>
      <c r="F6" s="161">
        <v>0.05</v>
      </c>
      <c r="G6" s="161">
        <v>10</v>
      </c>
      <c r="H6" s="161">
        <v>0.2</v>
      </c>
      <c r="I6" s="161">
        <v>10</v>
      </c>
      <c r="J6" s="161">
        <v>0.25</v>
      </c>
      <c r="K6" s="161">
        <v>3</v>
      </c>
      <c r="L6" s="160"/>
      <c r="M6" s="160"/>
      <c r="T6" s="929" t="s">
        <v>110</v>
      </c>
      <c r="U6" s="929"/>
    </row>
    <row r="7" spans="2:23">
      <c r="B7" s="160"/>
      <c r="C7" s="161"/>
      <c r="D7" s="161"/>
      <c r="E7" s="161"/>
      <c r="F7" s="161"/>
      <c r="G7" s="161"/>
      <c r="H7" s="160"/>
      <c r="I7" s="160"/>
      <c r="J7" s="160"/>
      <c r="K7" s="161"/>
      <c r="L7" s="160"/>
      <c r="M7" s="160"/>
      <c r="S7" s="162"/>
      <c r="V7" s="162"/>
      <c r="W7" s="930" t="s">
        <v>6</v>
      </c>
    </row>
    <row r="8" spans="2:23">
      <c r="B8" s="160"/>
      <c r="C8" s="161"/>
      <c r="D8" s="161"/>
      <c r="E8" s="161"/>
      <c r="F8" s="161"/>
      <c r="G8" s="161"/>
      <c r="H8" s="160"/>
      <c r="I8" s="160"/>
      <c r="J8" s="160"/>
      <c r="K8" s="161"/>
      <c r="L8" s="160"/>
      <c r="M8" s="160"/>
      <c r="S8" s="162"/>
      <c r="V8" s="162"/>
      <c r="W8" s="930"/>
    </row>
    <row r="9" spans="2:23">
      <c r="B9" s="160" t="s">
        <v>111</v>
      </c>
      <c r="C9" s="161">
        <v>0.45</v>
      </c>
      <c r="D9" s="161">
        <v>0.45</v>
      </c>
      <c r="E9" s="161">
        <v>0.1</v>
      </c>
      <c r="F9" s="161">
        <v>0.05</v>
      </c>
      <c r="G9" s="161">
        <v>10</v>
      </c>
      <c r="H9" s="161">
        <v>0.2</v>
      </c>
      <c r="I9" s="161">
        <v>10</v>
      </c>
      <c r="J9" s="161">
        <v>0.25</v>
      </c>
      <c r="K9" s="161">
        <v>3</v>
      </c>
      <c r="L9" s="160"/>
      <c r="M9" s="160"/>
      <c r="S9" s="162"/>
      <c r="V9" s="162"/>
      <c r="W9" s="930"/>
    </row>
    <row r="10" spans="2:23">
      <c r="B10" s="160"/>
      <c r="C10" s="161"/>
      <c r="D10" s="161"/>
      <c r="E10" s="161"/>
      <c r="F10" s="161"/>
      <c r="G10" s="161"/>
      <c r="H10" s="161"/>
      <c r="I10" s="161"/>
      <c r="J10" s="161"/>
      <c r="K10" s="161"/>
      <c r="L10" s="160"/>
      <c r="M10" s="160"/>
      <c r="S10" s="162"/>
      <c r="V10" s="162"/>
      <c r="W10" s="930"/>
    </row>
    <row r="11" spans="2:23">
      <c r="B11" s="160"/>
      <c r="C11" s="161"/>
      <c r="D11" s="161"/>
      <c r="E11" s="161"/>
      <c r="F11" s="161"/>
      <c r="G11" s="161"/>
      <c r="H11" s="160"/>
      <c r="I11" s="160"/>
      <c r="J11" s="160"/>
      <c r="K11" s="161"/>
      <c r="L11" s="160"/>
      <c r="M11" s="160"/>
      <c r="S11" s="162"/>
      <c r="V11" s="162"/>
      <c r="W11" s="930"/>
    </row>
    <row r="12" spans="2:23">
      <c r="B12" s="160" t="s">
        <v>112</v>
      </c>
      <c r="C12" s="161">
        <v>0.6</v>
      </c>
      <c r="D12" s="161">
        <v>0.6</v>
      </c>
      <c r="E12" s="161">
        <v>0.1</v>
      </c>
      <c r="F12" s="161">
        <v>0.05</v>
      </c>
      <c r="G12" s="161">
        <v>10</v>
      </c>
      <c r="H12" s="160">
        <v>0.2</v>
      </c>
      <c r="I12" s="160">
        <v>10</v>
      </c>
      <c r="J12" s="160">
        <v>0.25</v>
      </c>
      <c r="K12" s="161">
        <v>3</v>
      </c>
      <c r="L12" s="160"/>
      <c r="M12" s="160"/>
      <c r="S12" s="162"/>
      <c r="V12" s="162"/>
      <c r="W12" s="930"/>
    </row>
    <row r="13" spans="2:23">
      <c r="B13" s="160"/>
      <c r="C13" s="161"/>
      <c r="D13" s="161"/>
      <c r="E13" s="161"/>
      <c r="F13" s="161"/>
      <c r="G13" s="161"/>
      <c r="H13" s="160"/>
      <c r="I13" s="160"/>
      <c r="J13" s="160"/>
      <c r="K13" s="161"/>
      <c r="L13" s="160"/>
      <c r="M13" s="160"/>
      <c r="S13" s="162"/>
      <c r="V13" s="162"/>
      <c r="W13" s="930"/>
    </row>
    <row r="14" spans="2:23">
      <c r="B14" s="160"/>
      <c r="C14" s="161"/>
      <c r="D14" s="161"/>
      <c r="E14" s="161"/>
      <c r="F14" s="161"/>
      <c r="G14" s="161"/>
      <c r="H14" s="160"/>
      <c r="I14" s="160"/>
      <c r="J14" s="160"/>
      <c r="K14" s="161"/>
      <c r="L14" s="160"/>
      <c r="M14" s="160"/>
      <c r="S14" s="162"/>
      <c r="V14" s="162"/>
      <c r="W14" s="930"/>
    </row>
    <row r="15" spans="2:23">
      <c r="B15" s="160" t="s">
        <v>113</v>
      </c>
      <c r="C15" s="161">
        <v>0.75</v>
      </c>
      <c r="D15" s="161">
        <v>0.75</v>
      </c>
      <c r="E15" s="163">
        <v>0.125</v>
      </c>
      <c r="F15" s="161">
        <v>0.05</v>
      </c>
      <c r="G15" s="161">
        <v>10</v>
      </c>
      <c r="H15" s="160">
        <v>0.2</v>
      </c>
      <c r="I15" s="160">
        <v>10</v>
      </c>
      <c r="J15" s="160">
        <v>0.25</v>
      </c>
      <c r="K15" s="161">
        <v>3</v>
      </c>
      <c r="L15" s="160"/>
      <c r="M15" s="160"/>
      <c r="S15" s="162"/>
      <c r="V15" s="162"/>
      <c r="W15" s="930"/>
    </row>
    <row r="16" spans="2:23">
      <c r="B16" s="160"/>
      <c r="C16" s="161"/>
      <c r="D16" s="161"/>
      <c r="E16" s="161"/>
      <c r="F16" s="161"/>
      <c r="G16" s="161"/>
      <c r="H16" s="160"/>
      <c r="I16" s="160"/>
      <c r="J16" s="160"/>
      <c r="K16" s="161"/>
      <c r="L16" s="160"/>
      <c r="M16" s="160"/>
      <c r="S16" s="162"/>
      <c r="V16" s="162"/>
      <c r="W16" s="930"/>
    </row>
    <row r="17" spans="2:23">
      <c r="B17" s="160"/>
      <c r="C17" s="161"/>
      <c r="D17" s="161"/>
      <c r="E17" s="161"/>
      <c r="F17" s="161"/>
      <c r="G17" s="161"/>
      <c r="H17" s="160"/>
      <c r="I17" s="160"/>
      <c r="J17" s="160"/>
      <c r="K17" s="161"/>
      <c r="L17" s="160"/>
      <c r="M17" s="160"/>
      <c r="S17" s="162"/>
      <c r="V17" s="162"/>
      <c r="W17" s="930"/>
    </row>
    <row r="18" spans="2:23">
      <c r="B18" s="164" t="s">
        <v>114</v>
      </c>
      <c r="C18" s="161">
        <v>0.9</v>
      </c>
      <c r="D18" s="161">
        <v>0.9</v>
      </c>
      <c r="E18" s="163">
        <v>0.15</v>
      </c>
      <c r="F18" s="161">
        <v>0.05</v>
      </c>
      <c r="G18" s="161">
        <v>10</v>
      </c>
      <c r="H18" s="160">
        <v>0.17499999999999999</v>
      </c>
      <c r="I18" s="160">
        <v>10</v>
      </c>
      <c r="J18" s="160">
        <v>0.25</v>
      </c>
      <c r="K18" s="161">
        <v>3</v>
      </c>
      <c r="L18" s="160"/>
      <c r="M18" s="160"/>
      <c r="S18" s="162"/>
      <c r="T18" s="162"/>
      <c r="U18" s="162"/>
      <c r="V18" s="162"/>
      <c r="W18" s="930" t="s">
        <v>115</v>
      </c>
    </row>
    <row r="19" spans="2:23">
      <c r="B19" s="160"/>
      <c r="C19" s="161"/>
      <c r="D19" s="161"/>
      <c r="E19" s="161"/>
      <c r="F19" s="161"/>
      <c r="G19" s="161"/>
      <c r="H19" s="160"/>
      <c r="I19" s="160"/>
      <c r="J19" s="160"/>
      <c r="K19" s="161"/>
      <c r="L19" s="160"/>
      <c r="M19" s="160"/>
      <c r="S19" s="162"/>
      <c r="T19" s="162"/>
      <c r="U19" s="162"/>
      <c r="V19" s="162"/>
      <c r="W19" s="930"/>
    </row>
    <row r="20" spans="2:23">
      <c r="B20" s="160"/>
      <c r="C20" s="161"/>
      <c r="D20" s="161"/>
      <c r="E20" s="161"/>
      <c r="F20" s="161"/>
      <c r="G20" s="161"/>
      <c r="H20" s="160"/>
      <c r="I20" s="160"/>
      <c r="J20" s="160"/>
      <c r="K20" s="161"/>
      <c r="L20" s="160"/>
      <c r="M20" s="160"/>
      <c r="S20" s="162"/>
      <c r="T20" s="162"/>
      <c r="U20" s="162"/>
      <c r="V20" s="162"/>
      <c r="W20" s="930"/>
    </row>
    <row r="21" spans="2:23">
      <c r="B21" s="160" t="s">
        <v>116</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117</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118</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119</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120</v>
      </c>
      <c r="C30" s="161">
        <v>0.3</v>
      </c>
      <c r="D30" s="161">
        <v>0.3</v>
      </c>
      <c r="E30" s="161">
        <v>0.1</v>
      </c>
      <c r="F30" s="161">
        <v>0.05</v>
      </c>
      <c r="G30" s="161">
        <v>10</v>
      </c>
      <c r="H30" s="160">
        <v>0.25</v>
      </c>
      <c r="I30" s="160">
        <v>10</v>
      </c>
      <c r="J30" s="160">
        <v>0.25</v>
      </c>
      <c r="K30" s="161">
        <v>0</v>
      </c>
      <c r="L30" s="160"/>
      <c r="M30" s="160"/>
    </row>
    <row r="31" spans="2:23">
      <c r="B31" s="166" t="s">
        <v>121</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122</v>
      </c>
      <c r="C33" s="161">
        <v>0.45</v>
      </c>
      <c r="D33" s="161">
        <v>0.45</v>
      </c>
      <c r="E33" s="161">
        <v>0.1</v>
      </c>
      <c r="F33" s="161">
        <v>0.05</v>
      </c>
      <c r="G33" s="161">
        <v>10</v>
      </c>
      <c r="H33" s="160">
        <v>0.25</v>
      </c>
      <c r="I33" s="160">
        <v>10</v>
      </c>
      <c r="J33" s="160">
        <v>0.25</v>
      </c>
      <c r="K33" s="161">
        <v>0</v>
      </c>
      <c r="L33" s="160"/>
      <c r="M33" s="160"/>
    </row>
    <row r="34" spans="2:13">
      <c r="B34" s="166" t="s">
        <v>121</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123</v>
      </c>
      <c r="L35" s="160"/>
      <c r="M35" s="160"/>
    </row>
    <row r="36" spans="2:13">
      <c r="B36" s="168" t="s">
        <v>124</v>
      </c>
      <c r="C36" s="161">
        <v>1</v>
      </c>
      <c r="D36" s="161">
        <v>0.15</v>
      </c>
      <c r="E36" s="161">
        <v>0.1</v>
      </c>
      <c r="F36" s="161">
        <v>0.05</v>
      </c>
      <c r="G36" s="161">
        <v>10</v>
      </c>
      <c r="H36" s="160">
        <v>0.25</v>
      </c>
      <c r="I36" s="160">
        <v>10</v>
      </c>
      <c r="J36" s="160">
        <v>0.25</v>
      </c>
      <c r="K36" s="161">
        <v>0</v>
      </c>
      <c r="L36" s="160"/>
      <c r="M36" s="160"/>
    </row>
    <row r="37" spans="2:13">
      <c r="B37" s="166" t="s">
        <v>121</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125</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126</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127</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128</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129</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130</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131</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132</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133</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134</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135</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136</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137</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138</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139</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140</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141</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142</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143</v>
      </c>
      <c r="L103" s="931" t="s">
        <v>144</v>
      </c>
      <c r="M103" s="932"/>
      <c r="N103" s="932"/>
      <c r="O103" s="932"/>
      <c r="P103" s="932"/>
      <c r="Q103" s="932"/>
      <c r="R103" s="932"/>
      <c r="S103" s="933"/>
    </row>
    <row r="104" spans="2:21">
      <c r="B104" s="178" t="s">
        <v>145</v>
      </c>
      <c r="K104" s="179">
        <v>1</v>
      </c>
      <c r="L104" s="926" t="s">
        <v>7</v>
      </c>
      <c r="M104" s="934"/>
      <c r="N104" s="927"/>
      <c r="O104" s="926" t="s">
        <v>6</v>
      </c>
      <c r="P104" s="934"/>
      <c r="Q104" s="927"/>
      <c r="R104" s="926" t="s">
        <v>146</v>
      </c>
      <c r="S104" s="927"/>
    </row>
    <row r="105" spans="2:21">
      <c r="D105" s="180" t="s">
        <v>147</v>
      </c>
      <c r="E105" s="181" t="s">
        <v>1</v>
      </c>
      <c r="G105" s="182" t="s">
        <v>148</v>
      </c>
      <c r="H105" s="182" t="s">
        <v>149</v>
      </c>
      <c r="I105" s="182" t="s">
        <v>150</v>
      </c>
      <c r="J105" s="182" t="s">
        <v>151</v>
      </c>
      <c r="K105" s="182" t="s">
        <v>152</v>
      </c>
      <c r="L105" s="926" t="s">
        <v>153</v>
      </c>
      <c r="M105" s="927"/>
      <c r="N105" s="183" t="s">
        <v>1</v>
      </c>
      <c r="O105" s="926" t="s">
        <v>153</v>
      </c>
      <c r="P105" s="927"/>
      <c r="Q105" s="183" t="s">
        <v>1</v>
      </c>
      <c r="R105" s="183" t="s">
        <v>1</v>
      </c>
      <c r="S105" s="183" t="s">
        <v>80</v>
      </c>
    </row>
    <row r="106" spans="2:21">
      <c r="D106" s="180"/>
      <c r="E106" s="181"/>
      <c r="G106" s="396"/>
      <c r="H106" s="396"/>
      <c r="I106" s="396"/>
      <c r="J106" s="396"/>
      <c r="K106" s="396"/>
      <c r="L106" s="266"/>
      <c r="M106" s="267"/>
      <c r="N106" s="267"/>
      <c r="O106" s="266"/>
      <c r="P106" s="267"/>
      <c r="Q106" s="183"/>
      <c r="R106" s="183"/>
      <c r="S106" s="183"/>
    </row>
    <row r="107" spans="2:21" ht="18" customHeight="1">
      <c r="B107" s="374" t="s">
        <v>154</v>
      </c>
      <c r="C107" s="375" t="s">
        <v>155</v>
      </c>
      <c r="E107" s="184">
        <v>42.67</v>
      </c>
      <c r="G107" s="185">
        <f>+E107*(C6+E6*2+1.5)</f>
        <v>85.34</v>
      </c>
      <c r="H107" s="185">
        <f>+E107*(C6+E6*2)*(D6+E6+F6)</f>
        <v>9.6007500000000014</v>
      </c>
      <c r="I107" s="186">
        <f>+(C6+E6*2)*E107*F6</f>
        <v>1.0667500000000001</v>
      </c>
      <c r="J107" s="186">
        <f>+E107*((C6+E6*2)*E6+(D6*E6*2))</f>
        <v>4.6937000000000006</v>
      </c>
      <c r="K107" s="186">
        <f>+(D6+$K$104*(D6+E6))*E107*2</f>
        <v>59.738</v>
      </c>
      <c r="L107" s="187">
        <f>+(E107)/H6+ IF(E107&gt;0,1,0)</f>
        <v>214.35</v>
      </c>
      <c r="M107" s="188">
        <f>+ROUNDUP(L107,0)</f>
        <v>215</v>
      </c>
      <c r="N107" s="189">
        <f>+(D6+E6-0.08)*2+(C6+E6*2-0.08)</f>
        <v>1.06</v>
      </c>
      <c r="O107" s="187">
        <f>+N107/J6+1</f>
        <v>5.24</v>
      </c>
      <c r="P107" s="188">
        <f>+ROUNDUP(O107,0)</f>
        <v>6</v>
      </c>
      <c r="Q107" s="188">
        <f>+E107+E107/6*50*(G6/1000)</f>
        <v>46.225833333333334</v>
      </c>
      <c r="R107" s="190">
        <f>+N107*M107+P107*Q107</f>
        <v>505.255</v>
      </c>
      <c r="S107" s="186">
        <f>((I6*I6)/162)*R107</f>
        <v>311.8858024691358</v>
      </c>
      <c r="T107" s="154" t="s">
        <v>156</v>
      </c>
    </row>
    <row r="108" spans="2:21">
      <c r="C108" s="154" t="s">
        <v>101</v>
      </c>
      <c r="D108" s="191">
        <f>ROUNDUP(+E107/K6,0)</f>
        <v>15</v>
      </c>
      <c r="E108" s="184"/>
      <c r="G108" s="192"/>
      <c r="H108" s="192"/>
      <c r="I108" s="191"/>
      <c r="J108" s="191">
        <f>0.5*(0.075+0.05)*0.075*C6*D108</f>
        <v>2.1093749999999998E-2</v>
      </c>
      <c r="K108" s="191">
        <f>+(0.075+0.08)*C6*D108</f>
        <v>0.69750000000000001</v>
      </c>
      <c r="L108" s="193">
        <f>+D108</f>
        <v>15</v>
      </c>
      <c r="M108" s="188">
        <f>+ROUNDUP(L108,0)</f>
        <v>15</v>
      </c>
      <c r="N108" s="194">
        <f>+(C6-0.08)+((0.075+0.05-0.04)*2)</f>
        <v>0.38999999999999996</v>
      </c>
      <c r="O108" s="193"/>
      <c r="P108" s="195"/>
      <c r="Q108" s="195"/>
      <c r="R108" s="190">
        <f>+N108*M108+P108*Q108</f>
        <v>5.85</v>
      </c>
      <c r="S108" s="186">
        <f>((I6*I6)/162)*R108</f>
        <v>3.6111111111111107</v>
      </c>
      <c r="T108" s="154" t="s">
        <v>156</v>
      </c>
      <c r="U108" s="191">
        <f>S107+S108</f>
        <v>315.49691358024688</v>
      </c>
    </row>
    <row r="109" spans="2:21">
      <c r="E109" s="184"/>
    </row>
    <row r="110" spans="2:21">
      <c r="B110" s="374" t="s">
        <v>154</v>
      </c>
      <c r="C110" s="375" t="s">
        <v>157</v>
      </c>
      <c r="E110" s="184">
        <v>25.9</v>
      </c>
      <c r="G110" s="185">
        <f>+E110*(C9+E9*2+3)</f>
        <v>94.534999999999997</v>
      </c>
      <c r="H110" s="185">
        <f>+E110*(C9+E9*2)*(D9+E9+F9)</f>
        <v>10.101000000000003</v>
      </c>
      <c r="I110" s="186">
        <f>+(C9+E9*2)*E110*F9</f>
        <v>0.84175000000000011</v>
      </c>
      <c r="J110" s="186">
        <f>+E110*((C9+E9*2)*E9+(D9*E9*2))</f>
        <v>4.0145000000000008</v>
      </c>
      <c r="K110" s="186">
        <f>+(D9+$K$104*(D9+E9))*E110*2</f>
        <v>51.8</v>
      </c>
      <c r="L110" s="187">
        <f>+(E110)/H9+ IF(E110&gt;0,1,0)</f>
        <v>130.49999999999997</v>
      </c>
      <c r="M110" s="188">
        <f>+ROUNDUP(L110,0)</f>
        <v>131</v>
      </c>
      <c r="N110" s="189">
        <f>+(D9+E9-0.08)*2+(C9+E9*2-0.08)</f>
        <v>1.5100000000000002</v>
      </c>
      <c r="O110" s="187">
        <f>+N110/J9+1</f>
        <v>7.0400000000000009</v>
      </c>
      <c r="P110" s="188">
        <f>+ROUNDUP(O110,0)</f>
        <v>8</v>
      </c>
      <c r="Q110" s="188">
        <f>+E110+E110/6*50*(G9/1000)</f>
        <v>28.05833333333333</v>
      </c>
      <c r="R110" s="190">
        <f>+N110*M110+P110*Q110</f>
        <v>422.27666666666664</v>
      </c>
      <c r="S110" s="186">
        <f>((I9*I9)/162)*R110</f>
        <v>260.66460905349794</v>
      </c>
      <c r="T110" s="154" t="s">
        <v>156</v>
      </c>
    </row>
    <row r="111" spans="2:21">
      <c r="C111" s="154" t="s">
        <v>101</v>
      </c>
      <c r="D111" s="191">
        <f>ROUNDUP(+E110/K9,0)</f>
        <v>9</v>
      </c>
      <c r="E111" s="184"/>
      <c r="G111" s="192"/>
      <c r="H111" s="192"/>
      <c r="I111" s="191"/>
      <c r="J111" s="191">
        <f>0.5*(0.075+0.05)*0.075*C9*D111</f>
        <v>1.8984375000000001E-2</v>
      </c>
      <c r="K111" s="191">
        <f>+(0.075+0.08)*C9*D111</f>
        <v>0.62775000000000003</v>
      </c>
      <c r="L111" s="193">
        <f>+D111</f>
        <v>9</v>
      </c>
      <c r="M111" s="188">
        <f>+ROUNDUP(L111,0)</f>
        <v>9</v>
      </c>
      <c r="N111" s="194">
        <f>+(C9-0.08)+((0.075+0.05-0.04)*2)</f>
        <v>0.54</v>
      </c>
      <c r="O111" s="193"/>
      <c r="P111" s="195"/>
      <c r="Q111" s="195"/>
      <c r="R111" s="190">
        <f>+N111*M111+P111*Q111</f>
        <v>4.8600000000000003</v>
      </c>
      <c r="S111" s="186">
        <f>((I9*I9)/162)*R111</f>
        <v>3</v>
      </c>
      <c r="T111" s="154" t="s">
        <v>156</v>
      </c>
      <c r="U111" s="191">
        <f>S110+S111</f>
        <v>263.66460905349794</v>
      </c>
    </row>
    <row r="112" spans="2:21">
      <c r="E112" s="184"/>
    </row>
    <row r="113" spans="2:21">
      <c r="B113" s="374" t="s">
        <v>154</v>
      </c>
      <c r="C113" s="375" t="s">
        <v>158</v>
      </c>
      <c r="E113" s="184">
        <v>6</v>
      </c>
      <c r="G113" s="185">
        <f>+E113*(C12+E12*2+3)</f>
        <v>22.799999999999997</v>
      </c>
      <c r="H113" s="185">
        <f>+E113*(C12+E12*2)*(D12+E12+F12)</f>
        <v>3.6000000000000005</v>
      </c>
      <c r="I113" s="186">
        <f>+(C12+E12*2)*E113*F12</f>
        <v>0.24000000000000005</v>
      </c>
      <c r="J113" s="186">
        <f>+E113*((C12+E12*2)*E12+(D12*E12*2))</f>
        <v>1.2000000000000002</v>
      </c>
      <c r="K113" s="186">
        <f>+(D12+$K$104*(D12+E12))*E113*2</f>
        <v>15.599999999999998</v>
      </c>
      <c r="L113" s="187">
        <f>+(E113)/H12+ IF(E113&gt;0,1,0)</f>
        <v>31</v>
      </c>
      <c r="M113" s="188">
        <f>+ROUNDUP(L113,0)</f>
        <v>31</v>
      </c>
      <c r="N113" s="189">
        <f>+(D12+E12-0.08)*2+(C12+E12*2-0.08)</f>
        <v>1.96</v>
      </c>
      <c r="O113" s="187">
        <f>+N113/J12+1</f>
        <v>8.84</v>
      </c>
      <c r="P113" s="188">
        <f>+ROUNDUP(O113,0)</f>
        <v>9</v>
      </c>
      <c r="Q113" s="188">
        <f>+E113+E113/6*50*(G12/1000)</f>
        <v>6.5</v>
      </c>
      <c r="R113" s="190">
        <f>+N113*M113+P113*Q113</f>
        <v>119.25999999999999</v>
      </c>
      <c r="S113" s="186">
        <f>((I12*I12)/162)*R113</f>
        <v>73.617283950617278</v>
      </c>
      <c r="T113" s="154" t="s">
        <v>156</v>
      </c>
    </row>
    <row r="114" spans="2:21">
      <c r="C114" s="154" t="s">
        <v>101</v>
      </c>
      <c r="D114" s="191">
        <f>ROUNDUP(+E113/K12,0)</f>
        <v>2</v>
      </c>
      <c r="E114" s="184"/>
      <c r="G114" s="192"/>
      <c r="H114" s="192">
        <f>E113*0.6*0.6</f>
        <v>2.1599999999999997</v>
      </c>
      <c r="I114" s="191"/>
      <c r="J114" s="191">
        <f>0.5*(0.075+0.05)*0.075*C12*D114</f>
        <v>5.6249999999999998E-3</v>
      </c>
      <c r="K114" s="191">
        <f>+(0.075+0.08)*C12*D114</f>
        <v>0.186</v>
      </c>
      <c r="L114" s="193">
        <f>+D114</f>
        <v>2</v>
      </c>
      <c r="M114" s="188">
        <f>+ROUNDUP(L114,0)</f>
        <v>2</v>
      </c>
      <c r="N114" s="194">
        <f>+(C12-0.08)+((0.075+0.05-0.04)*2)</f>
        <v>0.69</v>
      </c>
      <c r="O114" s="193"/>
      <c r="P114" s="195"/>
      <c r="Q114" s="195"/>
      <c r="R114" s="190">
        <f>+N114*M114+P114*Q114</f>
        <v>1.38</v>
      </c>
      <c r="S114" s="186">
        <f>((I12*I12)/162)*R114</f>
        <v>0.85185185185185175</v>
      </c>
      <c r="T114" s="154" t="s">
        <v>156</v>
      </c>
      <c r="U114" s="191">
        <f>S113+S114</f>
        <v>74.469135802469125</v>
      </c>
    </row>
    <row r="115" spans="2:21">
      <c r="E115" s="184"/>
    </row>
    <row r="116" spans="2:21" hidden="1">
      <c r="B116" s="154" t="s">
        <v>154</v>
      </c>
      <c r="C116" s="178" t="s">
        <v>159</v>
      </c>
      <c r="E116" s="184">
        <f>38.37+14.75+46.92</f>
        <v>100.03999999999999</v>
      </c>
      <c r="G116" s="185">
        <f>+E116*(C15+E15*2+1.5)</f>
        <v>250.09999999999997</v>
      </c>
      <c r="H116" s="185">
        <f>+E116*(C15+E15*2)*(D15+E15+F15)</f>
        <v>92.536999999999992</v>
      </c>
      <c r="I116" s="186">
        <f>+(C15+E15*2)*E116*F15</f>
        <v>5.0019999999999998</v>
      </c>
      <c r="J116" s="186">
        <f>+E116*((C15+E15*2)*E15+(D15*E15*2))</f>
        <v>31.262499999999996</v>
      </c>
      <c r="K116" s="186">
        <f>+(D15+$K$104*(D15+E15))*E116*2</f>
        <v>325.13</v>
      </c>
      <c r="L116" s="187">
        <f>+(E116)/H15+ IF(E116&gt;0,1,0)</f>
        <v>501.19999999999993</v>
      </c>
      <c r="M116" s="188">
        <f>+ROUNDUP(L116,0)</f>
        <v>502</v>
      </c>
      <c r="N116" s="189">
        <f>+(D15+E15-0.08)*2+(C15+E15*2-0.08)</f>
        <v>2.5100000000000002</v>
      </c>
      <c r="O116" s="187">
        <f>+N116/J15+1</f>
        <v>11.040000000000001</v>
      </c>
      <c r="P116" s="188">
        <f>+ROUNDUP(O116,0)</f>
        <v>12</v>
      </c>
      <c r="Q116" s="188">
        <f>+E116+E116/6*50*(G15/1000)</f>
        <v>108.37666666666667</v>
      </c>
      <c r="R116" s="190">
        <f>+N116*M116+P116*Q116</f>
        <v>2560.54</v>
      </c>
      <c r="S116" s="186">
        <f>((I15*I15)/162)*R116</f>
        <v>1580.5802469135801</v>
      </c>
      <c r="T116" s="154" t="s">
        <v>156</v>
      </c>
    </row>
    <row r="117" spans="2:21" hidden="1">
      <c r="C117" s="154" t="s">
        <v>101</v>
      </c>
      <c r="D117" s="191">
        <f>ROUNDUP(+E116/K15,0)</f>
        <v>34</v>
      </c>
      <c r="E117" s="184"/>
      <c r="G117" s="192"/>
      <c r="H117" s="192"/>
      <c r="I117" s="191"/>
      <c r="J117" s="191">
        <f>0.5*(0.075+0.05)*0.075*C15*D117</f>
        <v>0.11953124999999999</v>
      </c>
      <c r="K117" s="191">
        <f>+(0.075+0.08)*C15*D117</f>
        <v>3.9524999999999997</v>
      </c>
      <c r="L117" s="193">
        <f>+D117</f>
        <v>34</v>
      </c>
      <c r="M117" s="188">
        <f>+ROUNDUP(L117,0)</f>
        <v>34</v>
      </c>
      <c r="N117" s="194">
        <f>+(C15-0.08)+((0.075+0.05-0.04)*2)</f>
        <v>0.84000000000000008</v>
      </c>
      <c r="O117" s="193"/>
      <c r="P117" s="195"/>
      <c r="Q117" s="195"/>
      <c r="R117" s="190">
        <f>+N117*M117+P117*Q117</f>
        <v>28.560000000000002</v>
      </c>
      <c r="S117" s="186">
        <f>((I15*I15)/162)*R117</f>
        <v>17.62962962962963</v>
      </c>
      <c r="T117" s="154" t="s">
        <v>156</v>
      </c>
      <c r="U117" s="191">
        <f>S116+S117</f>
        <v>1598.2098765432097</v>
      </c>
    </row>
    <row r="118" spans="2:21" hidden="1">
      <c r="B118" s="154" t="s">
        <v>154</v>
      </c>
      <c r="C118" s="178" t="s">
        <v>160</v>
      </c>
      <c r="E118" s="184">
        <v>73.95</v>
      </c>
      <c r="G118" s="196">
        <f>+E118*(C15+E15*2+1.5)</f>
        <v>184.875</v>
      </c>
      <c r="H118" s="196">
        <f>+E118*(C15+E15*2)*(D15+E15+F15)</f>
        <v>68.403750000000002</v>
      </c>
      <c r="I118" s="197">
        <f>+(C15+E15*2)*E118*F15</f>
        <v>3.6975000000000002</v>
      </c>
      <c r="J118" s="197">
        <f>+E118*((C15+E15*2)*E15+(D15*E15*2))</f>
        <v>23.109375</v>
      </c>
      <c r="K118" s="197">
        <f>+(D15+$K$104*(D15+E15))*E118*2</f>
        <v>240.33750000000001</v>
      </c>
      <c r="L118" s="187">
        <f>+(E118)/H15+ IF(E118&gt;0,1,0)</f>
        <v>370.75</v>
      </c>
      <c r="M118" s="198">
        <f>+ROUNDUP(L118,0)</f>
        <v>371</v>
      </c>
      <c r="N118" s="189">
        <f>+(D15+E15-0.08)*2+(C15+E15*2-0.08)</f>
        <v>2.5100000000000002</v>
      </c>
      <c r="O118" s="187">
        <f>+N118/J15+1</f>
        <v>11.040000000000001</v>
      </c>
      <c r="P118" s="198">
        <f>+ROUNDUP(O118,0)</f>
        <v>12</v>
      </c>
      <c r="Q118" s="188">
        <f>+E118+E118/6*50*(G15/1000)</f>
        <v>80.112499999999997</v>
      </c>
      <c r="R118" s="190">
        <f>+N118*M118+P118*Q118</f>
        <v>1892.56</v>
      </c>
      <c r="S118" s="197">
        <f>((I15*I15)/162)*R118</f>
        <v>1168.2469135802469</v>
      </c>
      <c r="T118" s="154" t="s">
        <v>156</v>
      </c>
    </row>
    <row r="119" spans="2:21" hidden="1">
      <c r="C119" s="154" t="s">
        <v>101</v>
      </c>
      <c r="D119" s="191">
        <f>ROUNDUP(+E118/K15,0)</f>
        <v>25</v>
      </c>
      <c r="E119" s="184"/>
      <c r="G119" s="199"/>
      <c r="H119" s="199"/>
      <c r="I119" s="200"/>
      <c r="J119" s="200">
        <f>0.5*(0.075+0.05)*0.075*C15*D119</f>
        <v>8.7890624999999986E-2</v>
      </c>
      <c r="K119" s="200">
        <f>+(0.075+0.08)*C15*D119</f>
        <v>2.90625</v>
      </c>
      <c r="L119" s="193">
        <f>+D119</f>
        <v>25</v>
      </c>
      <c r="M119" s="198">
        <f>+ROUNDUP(L119,0)</f>
        <v>25</v>
      </c>
      <c r="N119" s="194">
        <f>+(C15-0.08)+((0.075+0.05-0.04)*2)</f>
        <v>0.84000000000000008</v>
      </c>
      <c r="O119" s="193"/>
      <c r="P119" s="201"/>
      <c r="Q119" s="195"/>
      <c r="R119" s="190">
        <f>+N119*M119+P119*Q119</f>
        <v>21.000000000000004</v>
      </c>
      <c r="S119" s="197">
        <f>((I15*I15)/162)*R119</f>
        <v>12.962962962962964</v>
      </c>
      <c r="T119" s="154" t="s">
        <v>156</v>
      </c>
    </row>
    <row r="120" spans="2:21" hidden="1">
      <c r="B120" s="202" t="s">
        <v>161</v>
      </c>
      <c r="D120" s="191"/>
      <c r="E120" s="184"/>
      <c r="G120" s="192"/>
      <c r="H120" s="192"/>
      <c r="I120" s="191"/>
      <c r="J120" s="191"/>
      <c r="K120" s="191"/>
      <c r="L120" s="193"/>
      <c r="M120" s="195"/>
      <c r="N120" s="194"/>
      <c r="O120" s="193"/>
      <c r="P120" s="195"/>
      <c r="Q120" s="195"/>
      <c r="R120" s="203"/>
      <c r="S120" s="191"/>
    </row>
    <row r="121" spans="2:21" hidden="1">
      <c r="C121" s="202" t="s">
        <v>162</v>
      </c>
      <c r="D121" s="191"/>
      <c r="E121" s="184">
        <f>E118*1.1</f>
        <v>81.345000000000013</v>
      </c>
      <c r="G121" s="192"/>
      <c r="H121" s="192"/>
      <c r="I121" s="191"/>
      <c r="J121" s="191"/>
      <c r="K121" s="191"/>
      <c r="L121" s="193"/>
      <c r="M121" s="195"/>
      <c r="N121" s="194"/>
      <c r="O121" s="193"/>
      <c r="P121" s="195"/>
      <c r="Q121" s="195"/>
      <c r="R121" s="203"/>
      <c r="S121" s="191"/>
    </row>
    <row r="122" spans="2:21" hidden="1">
      <c r="C122" s="202" t="s">
        <v>163</v>
      </c>
      <c r="D122" s="191"/>
      <c r="E122" s="184">
        <f>((E118*0.6*0.6)*1.1)-(3.142*0.55*0.055*E118)</f>
        <v>22.255585274999998</v>
      </c>
      <c r="G122" s="192"/>
      <c r="H122" s="192"/>
      <c r="I122" s="191"/>
      <c r="J122" s="191"/>
      <c r="K122" s="191"/>
      <c r="L122" s="193"/>
      <c r="M122" s="195"/>
      <c r="N122" s="194"/>
      <c r="O122" s="193"/>
      <c r="P122" s="195"/>
      <c r="Q122" s="195"/>
      <c r="R122" s="203"/>
      <c r="S122" s="191"/>
    </row>
    <row r="123" spans="2:21" hidden="1"/>
    <row r="124" spans="2:21" hidden="1">
      <c r="B124" s="154" t="s">
        <v>154</v>
      </c>
      <c r="C124" s="178" t="s">
        <v>164</v>
      </c>
      <c r="E124" s="184">
        <f>205*1.1</f>
        <v>225.50000000000003</v>
      </c>
      <c r="G124" s="196">
        <f>+E124*(C18+E18*2+1.5)</f>
        <v>608.85000000000014</v>
      </c>
      <c r="H124" s="196">
        <f>+E124*(C18+E18*2)*(D18+E18+F18)</f>
        <v>297.66000000000003</v>
      </c>
      <c r="I124" s="197">
        <f>+(C18+E18*2)*E124*F18</f>
        <v>13.530000000000001</v>
      </c>
      <c r="J124" s="197">
        <f>+E124*((C18+E18*2)*E18+(D18*E18*2))</f>
        <v>101.47500000000001</v>
      </c>
      <c r="K124" s="197">
        <f>+(D18+$K$104*(D18+E18))*E124*2</f>
        <v>879.45000000000016</v>
      </c>
      <c r="L124" s="187">
        <f>+(E124)/H18+ IF(E124&gt;0,1,0)</f>
        <v>1289.5714285714289</v>
      </c>
      <c r="M124" s="198">
        <f>+ROUNDUP(L124,0)</f>
        <v>1290</v>
      </c>
      <c r="N124" s="189">
        <f>+(D18+E18-0.08)*2+(C18+E18*2-0.08)</f>
        <v>3.06</v>
      </c>
      <c r="O124" s="187">
        <f>+N124/J18+1</f>
        <v>13.24</v>
      </c>
      <c r="P124" s="198">
        <f>+ROUNDUP(O124,0)</f>
        <v>14</v>
      </c>
      <c r="Q124" s="188">
        <f>+E124+E124/6*50*(G18/1000)</f>
        <v>244.29166666666669</v>
      </c>
      <c r="R124" s="190">
        <f>+N124*M124+P124*Q124</f>
        <v>7367.4833333333336</v>
      </c>
      <c r="S124" s="197">
        <f>((I18*I18)/162)*R124</f>
        <v>4547.8292181069955</v>
      </c>
      <c r="T124" s="154" t="s">
        <v>156</v>
      </c>
    </row>
    <row r="125" spans="2:21" hidden="1">
      <c r="C125" s="154" t="s">
        <v>101</v>
      </c>
      <c r="D125" s="191">
        <f>ROUNDUP(+E124/K18,0)</f>
        <v>76</v>
      </c>
      <c r="E125" s="184"/>
      <c r="G125" s="199"/>
      <c r="H125" s="199"/>
      <c r="I125" s="200"/>
      <c r="J125" s="200">
        <f>0.5*(0.075+0.05)*0.075*C18*D125</f>
        <v>0.32062500000000005</v>
      </c>
      <c r="K125" s="200">
        <f>+(0.075+0.08)*C18*D125</f>
        <v>10.602</v>
      </c>
      <c r="L125" s="193">
        <f>+D125</f>
        <v>76</v>
      </c>
      <c r="M125" s="198">
        <f>+ROUNDUP(L125,0)</f>
        <v>76</v>
      </c>
      <c r="N125" s="194">
        <f>+(C18-0.08)+((0.075+0.05-0.04)*2)</f>
        <v>0.99</v>
      </c>
      <c r="O125" s="193"/>
      <c r="P125" s="201"/>
      <c r="Q125" s="195"/>
      <c r="R125" s="190">
        <f>+N125*M125+P125*Q125</f>
        <v>75.239999999999995</v>
      </c>
      <c r="S125" s="197">
        <f>((I18*I18)/162)*R125</f>
        <v>46.444444444444436</v>
      </c>
      <c r="T125" s="154" t="s">
        <v>156</v>
      </c>
    </row>
    <row r="126" spans="2:21" hidden="1"/>
    <row r="127" spans="2:21" hidden="1">
      <c r="B127" s="154" t="s">
        <v>154</v>
      </c>
      <c r="C127" s="178" t="s">
        <v>165</v>
      </c>
      <c r="E127" s="184">
        <f>32.19+61.79</f>
        <v>93.97999999999999</v>
      </c>
      <c r="G127" s="185">
        <f>+E127*(C21+E21*2+3)</f>
        <v>404.11399999999992</v>
      </c>
      <c r="H127" s="185">
        <f>+E127*(C21+E21*2)*(D21+E21+F21)</f>
        <v>146.60879999999997</v>
      </c>
      <c r="I127" s="186">
        <f>+(C21+E21*2)*E127*F21</f>
        <v>6.1086999999999998</v>
      </c>
      <c r="J127" s="186">
        <f>+E127*((C21+E21*2)*E21+(D21*E21*2))</f>
        <v>46.520099999999992</v>
      </c>
      <c r="K127" s="186">
        <f>+(D21+$K$104*(D21+E21))*E127*2</f>
        <v>404.11399999999992</v>
      </c>
      <c r="L127" s="187">
        <f>+(E127)/H21+ IF(E127&gt;0,1,0)</f>
        <v>538.02857142857135</v>
      </c>
      <c r="M127" s="188">
        <f>+ROUNDUP(L127,0)</f>
        <v>539</v>
      </c>
      <c r="N127" s="189">
        <f>+(D21+E21-0.08)*2+(C21+E21*2-0.08)</f>
        <v>3.3599999999999994</v>
      </c>
      <c r="O127" s="187">
        <f>+N127/J21+1</f>
        <v>14.439999999999998</v>
      </c>
      <c r="P127" s="188">
        <f>+ROUNDUP(O127,0)</f>
        <v>15</v>
      </c>
      <c r="Q127" s="188">
        <f>+E127+E127/6*50*(G21/1000)</f>
        <v>101.81166666666665</v>
      </c>
      <c r="R127" s="190">
        <f>+N127*M127+P127*Q127</f>
        <v>3338.2149999999992</v>
      </c>
      <c r="S127" s="186">
        <f>((I21*I21)/162)*R127</f>
        <v>2060.6265432098758</v>
      </c>
      <c r="T127" s="154" t="s">
        <v>156</v>
      </c>
    </row>
    <row r="128" spans="2:21" hidden="1">
      <c r="C128" s="154" t="s">
        <v>101</v>
      </c>
      <c r="D128" s="191">
        <f>ROUNDUP(+E127/K21,0)</f>
        <v>32</v>
      </c>
      <c r="E128" s="184"/>
      <c r="G128" s="192"/>
      <c r="H128" s="192"/>
      <c r="I128" s="191"/>
      <c r="J128" s="191">
        <f>0.5*(0.075+0.05)*0.075*C21*D128</f>
        <v>0.15</v>
      </c>
      <c r="K128" s="191">
        <f>+(0.075+0.08)*C21*D128</f>
        <v>4.96</v>
      </c>
      <c r="L128" s="193">
        <f>+D128</f>
        <v>32</v>
      </c>
      <c r="M128" s="188">
        <f>+ROUNDUP(L128,0)</f>
        <v>32</v>
      </c>
      <c r="N128" s="194">
        <f>+(C21-0.08)+((0.075+0.05-0.04)*2)</f>
        <v>1.0900000000000001</v>
      </c>
      <c r="O128" s="193"/>
      <c r="P128" s="195"/>
      <c r="Q128" s="195"/>
      <c r="R128" s="190">
        <f>+N128*M128+P128*Q128</f>
        <v>34.880000000000003</v>
      </c>
      <c r="S128" s="186">
        <f>((I21*I21)/162)*R128</f>
        <v>21.530864197530864</v>
      </c>
      <c r="T128" s="154" t="s">
        <v>156</v>
      </c>
    </row>
    <row r="129" spans="2:20" hidden="1"/>
    <row r="130" spans="2:20" hidden="1">
      <c r="B130" s="154" t="s">
        <v>154</v>
      </c>
      <c r="C130" s="178" t="s">
        <v>166</v>
      </c>
      <c r="E130" s="184">
        <f>205*1.1</f>
        <v>225.50000000000003</v>
      </c>
      <c r="G130" s="196">
        <f>+E130*(C24+E24*2+1.5)</f>
        <v>451.00000000000006</v>
      </c>
      <c r="H130" s="196">
        <f>+E130*(C24+E24*2)*(((D24+E24+F24)*2+0.1)/2)</f>
        <v>56.375000000000007</v>
      </c>
      <c r="I130" s="197">
        <f>+(C24+E24*2)*E130*F24</f>
        <v>5.6375000000000011</v>
      </c>
      <c r="J130" s="197">
        <f>+E130*((C24+E24*2)*E24+(D24*E24)+((D24+0.1)*E24))</f>
        <v>27.060000000000006</v>
      </c>
      <c r="K130" s="197">
        <f>+((D24*2)+$K$104*((D24+E24)+(D24+E24+0.1)))*E130</f>
        <v>338.25000000000006</v>
      </c>
      <c r="L130" s="187">
        <f>+(E130)/H24+ IF(E130&gt;0,1,0)</f>
        <v>1128.5</v>
      </c>
      <c r="M130" s="198">
        <f>+ROUNDUP(L130,0)</f>
        <v>1129</v>
      </c>
      <c r="N130" s="189">
        <f>+(D24+E24-0.08)+(D24+E24+0.1-0.08)+(C24+E24*2-0.08)</f>
        <v>1.1599999999999999</v>
      </c>
      <c r="O130" s="187">
        <f>+N130/J24+1</f>
        <v>5.64</v>
      </c>
      <c r="P130" s="198">
        <f>+ROUNDUP(O130,0)</f>
        <v>6</v>
      </c>
      <c r="Q130" s="188">
        <f>+E130+E130/6*50*(G24/1000)</f>
        <v>244.29166666666669</v>
      </c>
      <c r="R130" s="190">
        <f>+N130*M130+P130*Q130</f>
        <v>2775.39</v>
      </c>
      <c r="S130" s="197">
        <f>((I24*I24)/162)*R130</f>
        <v>1713.2037037037035</v>
      </c>
      <c r="T130" s="154" t="s">
        <v>156</v>
      </c>
    </row>
    <row r="131" spans="2:20" hidden="1">
      <c r="C131" s="154" t="s">
        <v>101</v>
      </c>
      <c r="D131" s="191">
        <f>ROUNDUP(+E130/K24,0)</f>
        <v>76</v>
      </c>
      <c r="E131" s="184"/>
      <c r="G131" s="199"/>
      <c r="H131" s="199"/>
      <c r="I131" s="200"/>
      <c r="J131" s="200">
        <f>0.5*(0.075+0.05)*0.075*C24*D131</f>
        <v>0.106875</v>
      </c>
      <c r="K131" s="200">
        <f>+(0.075+0.08)*C24*D131</f>
        <v>3.5339999999999998</v>
      </c>
      <c r="L131" s="193">
        <f>+D131</f>
        <v>76</v>
      </c>
      <c r="M131" s="198">
        <f>+ROUNDUP(L131,0)</f>
        <v>76</v>
      </c>
      <c r="N131" s="194">
        <f>+(C24-0.08)+((0.075+0.05-0.04)*2)</f>
        <v>0.38999999999999996</v>
      </c>
      <c r="O131" s="193"/>
      <c r="P131" s="201"/>
      <c r="Q131" s="195"/>
      <c r="R131" s="190">
        <f>+N131*M131+P131*Q131</f>
        <v>29.639999999999997</v>
      </c>
      <c r="S131" s="197">
        <f>((I24*I24)/162)*R131</f>
        <v>18.296296296296294</v>
      </c>
      <c r="T131" s="154" t="s">
        <v>156</v>
      </c>
    </row>
    <row r="132" spans="2:20" hidden="1"/>
    <row r="133" spans="2:20" hidden="1">
      <c r="B133" s="154" t="s">
        <v>154</v>
      </c>
      <c r="C133" s="178" t="s">
        <v>167</v>
      </c>
      <c r="E133" s="184">
        <f>41.61*1.1</f>
        <v>45.771000000000001</v>
      </c>
      <c r="G133" s="185">
        <f>+E133*(C27+E27*2+1.5)</f>
        <v>105.27329999999999</v>
      </c>
      <c r="H133" s="185">
        <f>+E133*(C27+E27*2)*(((D27+E27+F27)*2+0.1)/2)</f>
        <v>29.293440000000004</v>
      </c>
      <c r="I133" s="186">
        <f>+(C27+E27*2)*E133*F27</f>
        <v>1.8308400000000002</v>
      </c>
      <c r="J133" s="186">
        <f>+E133*((C27+E27*2)*E27+(D27*E27)+((D27+0.1)*E27))</f>
        <v>9.6119100000000017</v>
      </c>
      <c r="K133" s="186">
        <f>+((D27*2)+$K$104*((D27+E27)+(D27+E27+0.1)))*E133</f>
        <v>123.58170000000001</v>
      </c>
      <c r="L133" s="187">
        <f>+(E133)/H27+ IF(E133&gt;0,1,0)</f>
        <v>229.85499999999999</v>
      </c>
      <c r="M133" s="188">
        <f>+ROUNDUP(L133,0)</f>
        <v>230</v>
      </c>
      <c r="N133" s="189">
        <f>+(D27+E27-0.08)+(D27+E27+0.1-0.08)+(C27+E27*2-0.08)</f>
        <v>2.06</v>
      </c>
      <c r="O133" s="187">
        <f>+N133/J27+1</f>
        <v>9.24</v>
      </c>
      <c r="P133" s="188">
        <f>+ROUNDUP(O133,0)</f>
        <v>10</v>
      </c>
      <c r="Q133" s="188">
        <f>+E133+E133/6*50*(G27/1000)</f>
        <v>49.585250000000002</v>
      </c>
      <c r="R133" s="190">
        <f>+N133*M133+P133*Q133</f>
        <v>969.65250000000003</v>
      </c>
      <c r="S133" s="186">
        <f>((I27*I27)/162)*R133</f>
        <v>598.55092592592587</v>
      </c>
      <c r="T133" s="154" t="s">
        <v>156</v>
      </c>
    </row>
    <row r="134" spans="2:20" hidden="1">
      <c r="C134" s="154" t="s">
        <v>101</v>
      </c>
      <c r="D134" s="191">
        <f>ROUNDUP(+E133/K27,0)</f>
        <v>16</v>
      </c>
      <c r="E134" s="184"/>
      <c r="G134" s="192"/>
      <c r="H134" s="192"/>
      <c r="I134" s="191"/>
      <c r="J134" s="191">
        <f>0.5*(0.075+0.05)*0.075*C27*D134</f>
        <v>4.4999999999999998E-2</v>
      </c>
      <c r="K134" s="191">
        <f>+(0.075+0.08)*C27*D134</f>
        <v>1.488</v>
      </c>
      <c r="L134" s="193">
        <f>+D134</f>
        <v>16</v>
      </c>
      <c r="M134" s="188">
        <f>+ROUNDUP(L134,0)</f>
        <v>16</v>
      </c>
      <c r="N134" s="194">
        <f>+(C27-0.08)+((0.075+0.05-0.04)*2)</f>
        <v>0.69</v>
      </c>
      <c r="O134" s="193"/>
      <c r="P134" s="195"/>
      <c r="Q134" s="195"/>
      <c r="R134" s="190">
        <f>+N134*M134+P134*Q134</f>
        <v>11.04</v>
      </c>
      <c r="S134" s="186">
        <f>((I27*I27)/162)*R134</f>
        <v>6.814814814814814</v>
      </c>
      <c r="T134" s="154" t="s">
        <v>156</v>
      </c>
    </row>
    <row r="135" spans="2:20" hidden="1"/>
    <row r="136" spans="2:20" hidden="1">
      <c r="B136" s="154" t="s">
        <v>154</v>
      </c>
      <c r="C136" s="178" t="s">
        <v>168</v>
      </c>
      <c r="E136" s="184">
        <f>51.84+59.36</f>
        <v>111.2</v>
      </c>
      <c r="G136" s="185">
        <f>+E136*(C30+E30*2+0.5)</f>
        <v>111.2</v>
      </c>
      <c r="H136" s="185">
        <f>+E136*(C30+E30*2)*(((D30+E30+F30)*2+0.1)/2)</f>
        <v>27.8</v>
      </c>
      <c r="I136" s="186">
        <f>+(C30+E30*2)*E136*F30</f>
        <v>2.7800000000000002</v>
      </c>
      <c r="J136" s="186">
        <f>+E136*((C30+E30*2)*E30+(D30*E30)+((D30+0.1)*E30))</f>
        <v>13.344000000000001</v>
      </c>
      <c r="K136" s="186">
        <f>+((D30*2)+$K$104*((D30+E30)+(D30+E30+0.1)))*E136</f>
        <v>166.8</v>
      </c>
      <c r="L136" s="187">
        <f>+(E136)/H30+ IF(E136&gt;0,1,0)</f>
        <v>445.8</v>
      </c>
      <c r="M136" s="188">
        <f>+ROUNDUP(L136,0)</f>
        <v>446</v>
      </c>
      <c r="N136" s="189">
        <f>+(D30+E30-0.08)+(D30+E30+0.1-0.08)+(C30+E30*2-0.08)</f>
        <v>1.1599999999999999</v>
      </c>
      <c r="O136" s="187">
        <f>+N136/J30+1</f>
        <v>5.64</v>
      </c>
      <c r="P136" s="188">
        <f>+ROUNDUP(O136,0)</f>
        <v>6</v>
      </c>
      <c r="Q136" s="188">
        <f>+E136+E136/6*50*(G30/1000)</f>
        <v>120.46666666666667</v>
      </c>
      <c r="R136" s="190">
        <f>+N136*M136+P136*Q136</f>
        <v>1240.1599999999999</v>
      </c>
      <c r="S136" s="186">
        <f>((I30*I30)/162)*R136</f>
        <v>765.53086419753072</v>
      </c>
      <c r="T136" s="154" t="s">
        <v>156</v>
      </c>
    </row>
    <row r="137" spans="2:20" hidden="1">
      <c r="C137" s="154" t="s">
        <v>121</v>
      </c>
      <c r="D137" s="191"/>
      <c r="E137" s="184">
        <f>+E136</f>
        <v>111.2</v>
      </c>
      <c r="G137" s="185">
        <f>+E137*(C31+0.5)</f>
        <v>222.4</v>
      </c>
      <c r="H137" s="192">
        <f>+E137*C31*E31</f>
        <v>16.680000000000003</v>
      </c>
      <c r="I137" s="191"/>
      <c r="J137" s="191">
        <f>+E137*C31*E31</f>
        <v>16.680000000000003</v>
      </c>
      <c r="K137" s="191">
        <f>+E137*E31</f>
        <v>11.120000000000001</v>
      </c>
      <c r="L137" s="187">
        <f>+(E137)/H31+ IF(E137&gt;0,1,0)</f>
        <v>445.8</v>
      </c>
      <c r="M137" s="188">
        <f>+ROUNDUP(L137,0)</f>
        <v>446</v>
      </c>
      <c r="N137" s="189">
        <f>+C31-0.04</f>
        <v>1.46</v>
      </c>
      <c r="O137" s="187">
        <f>+N137/J31+1</f>
        <v>10.733333333333334</v>
      </c>
      <c r="P137" s="188">
        <f>+ROUNDUP(O137,0)</f>
        <v>11</v>
      </c>
      <c r="Q137" s="188">
        <f>+E137+E137/6*50*(G31/1000)</f>
        <v>120.46666666666667</v>
      </c>
      <c r="R137" s="190">
        <f>+N137*M137+P137*Q137</f>
        <v>1976.2933333333335</v>
      </c>
      <c r="S137" s="186">
        <f>((I31*I31)/162)*R137</f>
        <v>1219.9341563786008</v>
      </c>
      <c r="T137" s="154" t="s">
        <v>156</v>
      </c>
    </row>
    <row r="138" spans="2:20" hidden="1">
      <c r="N138" s="189"/>
    </row>
    <row r="139" spans="2:20" hidden="1">
      <c r="B139" s="154" t="s">
        <v>154</v>
      </c>
      <c r="C139" s="178" t="s">
        <v>169</v>
      </c>
      <c r="E139" s="184">
        <f>205*1.1</f>
        <v>225.50000000000003</v>
      </c>
      <c r="G139" s="196">
        <f>+E139*(C33+E33*2+0.5)</f>
        <v>259.32499999999999</v>
      </c>
      <c r="H139" s="196">
        <f>+E139*(C33+E33*2)*(((D33+E33+F33)*2+0.1)/2)</f>
        <v>95.273750000000035</v>
      </c>
      <c r="I139" s="197">
        <f>+(C33+E33*2)*E139*F33</f>
        <v>7.3287500000000012</v>
      </c>
      <c r="J139" s="197">
        <f>+E139*((C33+E33*2)*E33+(D33*E33)+((D33+0.1)*E33))</f>
        <v>37.20750000000001</v>
      </c>
      <c r="K139" s="197">
        <f>+((D33*2)+$K$104*((D33+E33)+(D33+E33+0.1)))*E139</f>
        <v>473.55000000000007</v>
      </c>
      <c r="L139" s="187">
        <f>+(E139)/H33+ IF(E139&gt;0,1,0)</f>
        <v>903.00000000000011</v>
      </c>
      <c r="M139" s="198">
        <f>+ROUNDUP(L139,0)</f>
        <v>903</v>
      </c>
      <c r="N139" s="189">
        <f>+(D33+E33-0.08)+(D33+E33+0.1-0.08)+(C33+E33*2-0.08)</f>
        <v>1.61</v>
      </c>
      <c r="O139" s="187">
        <f>+N139/J33+1</f>
        <v>7.44</v>
      </c>
      <c r="P139" s="198">
        <f>+ROUNDUP(O139,0)</f>
        <v>8</v>
      </c>
      <c r="Q139" s="188">
        <f>+E139+E139/6*50*(G33/1000)</f>
        <v>244.29166666666669</v>
      </c>
      <c r="R139" s="190">
        <f>+N139*M139+P139*Q139</f>
        <v>3408.1633333333339</v>
      </c>
      <c r="S139" s="197">
        <f>((I33*I33)/162)*R139</f>
        <v>2103.8045267489715</v>
      </c>
      <c r="T139" s="154" t="s">
        <v>156</v>
      </c>
    </row>
    <row r="140" spans="2:20" hidden="1">
      <c r="C140" s="154" t="s">
        <v>121</v>
      </c>
      <c r="D140" s="191"/>
      <c r="E140" s="184">
        <f>+E139</f>
        <v>225.50000000000003</v>
      </c>
      <c r="G140" s="196">
        <f>+E140*(C34+0.5)</f>
        <v>451.00000000000006</v>
      </c>
      <c r="H140" s="199">
        <f>+E140*C34*E34</f>
        <v>33.82500000000001</v>
      </c>
      <c r="I140" s="200"/>
      <c r="J140" s="200">
        <f>+E140*C34*E34</f>
        <v>33.82500000000001</v>
      </c>
      <c r="K140" s="200">
        <f>+E140*E34</f>
        <v>22.550000000000004</v>
      </c>
      <c r="L140" s="187">
        <f>+(E140)/H34+ IF(E140&gt;0,1,0)</f>
        <v>903.00000000000011</v>
      </c>
      <c r="M140" s="198">
        <f>+ROUNDUP(L140,0)</f>
        <v>903</v>
      </c>
      <c r="N140" s="189">
        <f>+C34-0.04</f>
        <v>1.46</v>
      </c>
      <c r="O140" s="187">
        <f>+N140/J34+1</f>
        <v>10.733333333333334</v>
      </c>
      <c r="P140" s="198">
        <f>+ROUNDUP(O140,0)</f>
        <v>11</v>
      </c>
      <c r="Q140" s="188">
        <f>+E140+E140/6*50*(G34/1000)</f>
        <v>244.29166666666669</v>
      </c>
      <c r="R140" s="190">
        <f>+N140*M140+P140*Q140</f>
        <v>4005.5883333333331</v>
      </c>
      <c r="S140" s="197">
        <f>((I34*I34)/162)*R140</f>
        <v>2472.5853909465018</v>
      </c>
      <c r="T140" s="154" t="s">
        <v>156</v>
      </c>
    </row>
    <row r="141" spans="2:20" hidden="1">
      <c r="N141" s="189"/>
    </row>
    <row r="142" spans="2:20" hidden="1">
      <c r="B142" s="154" t="s">
        <v>154</v>
      </c>
      <c r="C142" s="178" t="s">
        <v>170</v>
      </c>
      <c r="E142" s="184">
        <f>205*1.1</f>
        <v>225.50000000000003</v>
      </c>
      <c r="G142" s="196">
        <f>+E142*(C36+E36*2+0.5)</f>
        <v>383.35</v>
      </c>
      <c r="H142" s="196">
        <f>+E142*(C36+E36*2)*(((D36+E36+F36)*2+0.1)/2)</f>
        <v>94.710000000000008</v>
      </c>
      <c r="I142" s="197">
        <f>+(C36+E36*2)*E142*F36</f>
        <v>13.530000000000001</v>
      </c>
      <c r="J142" s="197">
        <f>+E142*((C36+E36*2)*E36+(D36*E36)+((D36+0.1)*E36))</f>
        <v>36.080000000000005</v>
      </c>
      <c r="K142" s="197">
        <f>+((D36*2)+$K$104*((D36+E36)+(D36+E36+0.1)))*E142</f>
        <v>202.95000000000002</v>
      </c>
      <c r="L142" s="187">
        <f>+(E142)/H36+ IF(E142&gt;0,1,0)</f>
        <v>903.00000000000011</v>
      </c>
      <c r="M142" s="198">
        <f>+ROUNDUP(L142,0)</f>
        <v>903</v>
      </c>
      <c r="N142" s="189">
        <f>+(D36+E36-0.08)+(D36+E36+0.1-0.08)+(C36+E36*2-0.08)</f>
        <v>1.5599999999999998</v>
      </c>
      <c r="O142" s="187">
        <f>+N142/J36+1</f>
        <v>7.2399999999999993</v>
      </c>
      <c r="P142" s="198">
        <f>+ROUNDUP(O142,0)</f>
        <v>8</v>
      </c>
      <c r="Q142" s="188">
        <f>+E142+E142/6*50*(G36/1000)</f>
        <v>244.29166666666669</v>
      </c>
      <c r="R142" s="190">
        <f>+N142*M142+P142*Q142</f>
        <v>3363.0133333333333</v>
      </c>
      <c r="S142" s="197">
        <f>((I36*I36)/162)*R142</f>
        <v>2075.9341563786006</v>
      </c>
      <c r="T142" s="154" t="s">
        <v>156</v>
      </c>
    </row>
    <row r="143" spans="2:20" hidden="1">
      <c r="C143" s="154" t="s">
        <v>121</v>
      </c>
      <c r="D143" s="191"/>
      <c r="E143" s="184">
        <f>+E142</f>
        <v>225.50000000000003</v>
      </c>
      <c r="G143" s="196">
        <f>+E143*(C37+0.5)</f>
        <v>451.00000000000006</v>
      </c>
      <c r="H143" s="199">
        <f>+E143*C37*E37</f>
        <v>33.82500000000001</v>
      </c>
      <c r="I143" s="200"/>
      <c r="J143" s="200">
        <f>+E143*C37*E37</f>
        <v>33.82500000000001</v>
      </c>
      <c r="K143" s="200">
        <f>+E143*E37</f>
        <v>22.550000000000004</v>
      </c>
      <c r="L143" s="187">
        <f>+(E143)/H37+ IF(E143&gt;0,1,0)</f>
        <v>903.00000000000011</v>
      </c>
      <c r="M143" s="198">
        <f>+ROUNDUP(L143,0)</f>
        <v>903</v>
      </c>
      <c r="N143" s="189">
        <f>+C37-0.04</f>
        <v>1.46</v>
      </c>
      <c r="O143" s="187">
        <f>+N143/J37+1</f>
        <v>10.733333333333334</v>
      </c>
      <c r="P143" s="198">
        <f>+ROUNDUP(O143,0)</f>
        <v>11</v>
      </c>
      <c r="Q143" s="188">
        <f>+E143+E143/6*50*(G37/1000)</f>
        <v>244.29166666666669</v>
      </c>
      <c r="R143" s="190">
        <f>+N143*M143+P143*Q143</f>
        <v>4005.5883333333331</v>
      </c>
      <c r="S143" s="197">
        <f>((I37*I37)/162)*R143</f>
        <v>2472.5853909465018</v>
      </c>
      <c r="T143" s="154" t="s">
        <v>156</v>
      </c>
    </row>
    <row r="144" spans="2:20" hidden="1">
      <c r="N144" s="189"/>
    </row>
    <row r="145" spans="2:20" hidden="1">
      <c r="B145" s="376" t="s">
        <v>154</v>
      </c>
      <c r="C145" s="377" t="s">
        <v>171</v>
      </c>
      <c r="E145" s="184">
        <v>312.66000000000003</v>
      </c>
      <c r="G145" s="185">
        <f>+E145*(C39+E39)</f>
        <v>343.92600000000004</v>
      </c>
      <c r="H145" s="185">
        <f>+E145*(C39+E39)*E39</f>
        <v>34.392600000000009</v>
      </c>
      <c r="I145" s="186">
        <f>+E145*(C39+E39)*F39</f>
        <v>17.196300000000004</v>
      </c>
      <c r="J145" s="186">
        <f>+E145*((C39+E39)*E39+(E39*D39))</f>
        <v>40.645800000000001</v>
      </c>
      <c r="K145" s="186">
        <f>+E145*(E39*2+D39*2)</f>
        <v>187.59600000000003</v>
      </c>
      <c r="L145" s="187">
        <f>+(E145)/H39+ IF(E145&gt;0,1,0)</f>
        <v>1251.6400000000001</v>
      </c>
      <c r="M145" s="188">
        <f>+ROUNDUP(L145,0)</f>
        <v>1252</v>
      </c>
      <c r="N145" s="189">
        <f>+(C39+E39-0.08)+(D39+E39-0.08)</f>
        <v>1.24</v>
      </c>
      <c r="O145" s="187">
        <f>+N145/J39+1</f>
        <v>5.96</v>
      </c>
      <c r="P145" s="188">
        <f>+ROUNDUP(O145,0)</f>
        <v>6</v>
      </c>
      <c r="Q145" s="188">
        <f>+E145+E145/6*50*(G39/1000)</f>
        <v>338.71500000000003</v>
      </c>
      <c r="R145" s="190">
        <f>+N145*M145+P145*Q145</f>
        <v>3584.7700000000004</v>
      </c>
      <c r="S145" s="186">
        <f>((I39*I39)/162)*R145</f>
        <v>2212.820987654321</v>
      </c>
      <c r="T145" s="154" t="s">
        <v>156</v>
      </c>
    </row>
    <row r="146" spans="2:20" hidden="1">
      <c r="N146" s="189"/>
    </row>
    <row r="147" spans="2:20" hidden="1">
      <c r="B147" s="154" t="s">
        <v>154</v>
      </c>
      <c r="C147" s="178" t="s">
        <v>172</v>
      </c>
      <c r="E147" s="184">
        <f>205*1.1</f>
        <v>225.50000000000003</v>
      </c>
      <c r="G147" s="196">
        <f>+E147*(C41+E41)</f>
        <v>248.05000000000004</v>
      </c>
      <c r="H147" s="196">
        <f>+E147*(C41+E41)*E41</f>
        <v>24.805000000000007</v>
      </c>
      <c r="I147" s="197">
        <f>+E147*(C41+E41)*F41</f>
        <v>12.402500000000003</v>
      </c>
      <c r="J147" s="197">
        <f>+E147*((C41+E41)*E41+(E41*D41))</f>
        <v>31.570000000000007</v>
      </c>
      <c r="K147" s="197">
        <f>+E147*(E41*2+D41*2)</f>
        <v>180.40000000000003</v>
      </c>
      <c r="L147" s="187">
        <f>+(E147)/H41+ IF(E147&gt;0,1,0)</f>
        <v>903.00000000000011</v>
      </c>
      <c r="M147" s="198">
        <f>+ROUNDUP(L147,0)</f>
        <v>903</v>
      </c>
      <c r="N147" s="189">
        <f>+(C41+E41-0.08)+(D41+E41-0.08)</f>
        <v>1.34</v>
      </c>
      <c r="O147" s="187">
        <f>+N147/J41+1</f>
        <v>6.36</v>
      </c>
      <c r="P147" s="198">
        <f>+ROUNDUP(O147,0)</f>
        <v>7</v>
      </c>
      <c r="Q147" s="188">
        <f>+E147+E147/6*50*(G41/1000)</f>
        <v>244.29166666666669</v>
      </c>
      <c r="R147" s="190">
        <f>+N147*M147+P147*Q147</f>
        <v>2920.0616666666665</v>
      </c>
      <c r="S147" s="197">
        <f>((I41*I41)/162)*R147</f>
        <v>1802.5072016460904</v>
      </c>
      <c r="T147" s="154" t="s">
        <v>156</v>
      </c>
    </row>
    <row r="148" spans="2:20" hidden="1">
      <c r="N148" s="189"/>
    </row>
    <row r="149" spans="2:20" hidden="1">
      <c r="B149" s="154" t="s">
        <v>154</v>
      </c>
      <c r="C149" s="178" t="s">
        <v>173</v>
      </c>
      <c r="E149" s="184">
        <v>81.819999999999993</v>
      </c>
      <c r="G149" s="196">
        <f>+E149*(C43+E43*2+1.5)</f>
        <v>196.36799999999997</v>
      </c>
      <c r="H149" s="196">
        <f>+E149*(C43+E43*2)*(((D43+E43+F43)*2+0.6)/2)</f>
        <v>81.001800000000003</v>
      </c>
      <c r="I149" s="197">
        <f>+(C43+E43*2)*E149*F43</f>
        <v>3.6818999999999997</v>
      </c>
      <c r="J149" s="197">
        <f>+E149*((C43+E43*2)*E43+(D43*E43)+((D43+0.6)*E43))</f>
        <v>33.137099999999997</v>
      </c>
      <c r="K149" s="197">
        <f>+((D43*2)+$K$104*((D43+E43)+(D43+E43+0.6)))*E149</f>
        <v>270.00599999999997</v>
      </c>
      <c r="L149" s="187">
        <f>+(E149)/H43+ IF(E149&gt;0,1,0)</f>
        <v>328.28</v>
      </c>
      <c r="M149" s="198">
        <f>+ROUNDUP(L149,0)</f>
        <v>329</v>
      </c>
      <c r="N149" s="189">
        <f>+(E43+D43+E43+C43+2*E43+E43+D43+0.6+E43-9*0.04)+(E43+D43+2*E43-5*0.04)+(E43+0.6+D43+2*E43-5*0.04)+(C43+4*E43-6*0.04)</f>
        <v>6.2</v>
      </c>
      <c r="O149" s="187">
        <f>2*(D43/J43+1)+2*((D43+0.6)/J43+1)+((C43+2*E43)/J43+1)</f>
        <v>23</v>
      </c>
      <c r="P149" s="198">
        <f>+ROUNDUP(O149,0)</f>
        <v>23</v>
      </c>
      <c r="Q149" s="188">
        <f>+E149+E149/6*50*(G43/1000)</f>
        <v>88.638333333333321</v>
      </c>
      <c r="R149" s="190">
        <f>+N149*M149+P149*Q149</f>
        <v>4078.4816666666666</v>
      </c>
      <c r="S149" s="197">
        <f>((I43*I43)/162)*R149</f>
        <v>2517.5812757201643</v>
      </c>
      <c r="T149" s="154" t="s">
        <v>156</v>
      </c>
    </row>
    <row r="150" spans="2:20" hidden="1"/>
    <row r="151" spans="2:20" hidden="1">
      <c r="B151" s="154" t="s">
        <v>154</v>
      </c>
      <c r="C151" s="178" t="s">
        <v>174</v>
      </c>
      <c r="E151" s="184">
        <f>205*1.1</f>
        <v>225.50000000000003</v>
      </c>
      <c r="G151" s="196">
        <f>+E151*(C45+E45*2+1.5)</f>
        <v>586.30000000000007</v>
      </c>
      <c r="H151" s="196">
        <f>+E151*(C45+E45*2)*(((D45+E45+F45)*2+0.6)/2)</f>
        <v>322.46500000000009</v>
      </c>
      <c r="I151" s="197">
        <f>+(C45+E45*2)*E151*F45</f>
        <v>12.402500000000003</v>
      </c>
      <c r="J151" s="197">
        <f>+E151*((C45+E45*2)*E45+(D45*E45)+((D45+0.6)*E45))</f>
        <v>111.62250000000002</v>
      </c>
      <c r="K151" s="197">
        <f>+((D45*2)+$K$104*((D45+E45)+(D45+E45+0.6)))*E151</f>
        <v>924.55000000000007</v>
      </c>
      <c r="L151" s="187">
        <f>+(E151)/H45+ IF(E151&gt;0,1,0)</f>
        <v>903.00000000000011</v>
      </c>
      <c r="M151" s="198">
        <f>+ROUNDUP(L151,0)</f>
        <v>903</v>
      </c>
      <c r="N151" s="189">
        <f>+(E45+D45+E45+C45+2*E45+E45+D45+0.6+E45-9*0.04)+(E45+D45+2*E45-5*0.04)+(E45+0.6+D45+2*E45-5*0.04)+(C45+4*E45-6*0.04)</f>
        <v>7.4000000000000012</v>
      </c>
      <c r="O151" s="187">
        <f>2*(D45/J45+1)+2*((D45+0.6)/J45+1)+((C45+2*E45)/J45+1)</f>
        <v>27</v>
      </c>
      <c r="P151" s="198">
        <f>+ROUNDUP(O151,0)</f>
        <v>27</v>
      </c>
      <c r="Q151" s="188">
        <f>+E151+E151/6*50*(G45/1000)</f>
        <v>244.29166666666669</v>
      </c>
      <c r="R151" s="190">
        <f>+N151*M151+P151*Q151</f>
        <v>13278.075000000001</v>
      </c>
      <c r="S151" s="197">
        <f>((I45*I45)/162)*R151</f>
        <v>8196.3425925925931</v>
      </c>
      <c r="T151" s="154" t="s">
        <v>156</v>
      </c>
    </row>
    <row r="152" spans="2:20" hidden="1"/>
    <row r="153" spans="2:20" hidden="1">
      <c r="B153" s="154" t="s">
        <v>154</v>
      </c>
      <c r="C153" s="178" t="s">
        <v>175</v>
      </c>
      <c r="E153" s="184">
        <v>100</v>
      </c>
      <c r="G153" s="196">
        <f>+E153*(C47+E47*2+1.5)</f>
        <v>270</v>
      </c>
      <c r="H153" s="196">
        <f>+E153*(C47+E47*2)*(D47+F47+F47)</f>
        <v>84.000000000000014</v>
      </c>
      <c r="I153" s="197">
        <f>+(C47+E47*2)*E153*F47</f>
        <v>6</v>
      </c>
      <c r="J153" s="197">
        <f>+E153*((C47+E47*2)*E47+(D47*E47*2))</f>
        <v>24</v>
      </c>
      <c r="K153" s="197">
        <f>+(D47+$K$104*(D47+E47))*E153*2</f>
        <v>259.99999999999994</v>
      </c>
      <c r="L153" s="187">
        <f>+(E153)/H47+ IF(E153&gt;0,1,0)</f>
        <v>401</v>
      </c>
      <c r="M153" s="198">
        <f>+ROUNDUP(L153,0)</f>
        <v>401</v>
      </c>
      <c r="N153" s="189">
        <f>+(D47+E47-0.08)*2+(C47+E47*2-0.08)</f>
        <v>2.36</v>
      </c>
      <c r="O153" s="187">
        <f>+N153/J47+1</f>
        <v>10.44</v>
      </c>
      <c r="P153" s="198">
        <f>+ROUNDUP(O153,0)</f>
        <v>11</v>
      </c>
      <c r="Q153" s="188">
        <f>+E153+E153/6*50*(G47/1000)</f>
        <v>108.33333333333333</v>
      </c>
      <c r="R153" s="190">
        <f>+N153*M153+P153*Q153</f>
        <v>2138.0266666666666</v>
      </c>
      <c r="S153" s="197">
        <f>((I47*I47)/162)*R153</f>
        <v>1319.7695473251028</v>
      </c>
      <c r="T153" s="154" t="s">
        <v>156</v>
      </c>
    </row>
    <row r="154" spans="2:20" hidden="1">
      <c r="C154" s="154" t="s">
        <v>101</v>
      </c>
      <c r="D154" s="191">
        <f>ROUNDUP(+E153/K47,0)</f>
        <v>34</v>
      </c>
      <c r="E154" s="184"/>
      <c r="G154" s="199"/>
      <c r="H154" s="199"/>
      <c r="I154" s="200"/>
      <c r="J154" s="200">
        <f>0.5*(0.075+0.05)*0.075*C47*D154</f>
        <v>0.15937499999999999</v>
      </c>
      <c r="K154" s="200">
        <f>+(0.075+0.08)*C47*D154</f>
        <v>5.27</v>
      </c>
      <c r="L154" s="193">
        <f>+D154</f>
        <v>34</v>
      </c>
      <c r="M154" s="198">
        <f>+ROUNDUP(L154,0)</f>
        <v>34</v>
      </c>
      <c r="N154" s="194">
        <f>+(C47-0.08)+((0.075+0.05-2*0.04)*2)</f>
        <v>1.01</v>
      </c>
      <c r="O154" s="193"/>
      <c r="P154" s="201"/>
      <c r="Q154" s="195"/>
      <c r="R154" s="190">
        <f>+N154*M154+P154*Q154</f>
        <v>34.340000000000003</v>
      </c>
      <c r="S154" s="197">
        <f>((I47*I47)/162)*R154</f>
        <v>21.197530864197532</v>
      </c>
      <c r="T154" s="154" t="s">
        <v>156</v>
      </c>
    </row>
    <row r="155" spans="2:20" hidden="1">
      <c r="E155" s="184"/>
      <c r="M155" s="204"/>
    </row>
    <row r="156" spans="2:20" hidden="1">
      <c r="B156" s="154" t="s">
        <v>154</v>
      </c>
      <c r="C156" s="178" t="s">
        <v>176</v>
      </c>
      <c r="E156" s="184">
        <f>70.25*1.06418</f>
        <v>74.758644999999987</v>
      </c>
      <c r="G156" s="196">
        <f>+E156*(C50+E50*2+1.5)</f>
        <v>205.58627374999998</v>
      </c>
      <c r="H156" s="196">
        <f>+E156*(C50+E50*2)*(D50+F50+F50)</f>
        <v>84.103475625000002</v>
      </c>
      <c r="I156" s="197">
        <f>+(C50+E50*2)*E156*F50</f>
        <v>4.6724153124999992</v>
      </c>
      <c r="J156" s="197">
        <f>+E156*((C50+E50*2)*E50+(D50*E50*2))</f>
        <v>26.632767281249997</v>
      </c>
      <c r="K156" s="197">
        <f>+(D50+$K$104*(D50+E50))*E156*2</f>
        <v>257.91732524999998</v>
      </c>
      <c r="L156" s="187">
        <f>+(E156)/H50+ IF(E156&gt;0,1,0)</f>
        <v>300.03457999999995</v>
      </c>
      <c r="M156" s="198">
        <f>+ROUNDUP(L156,0)</f>
        <v>301</v>
      </c>
      <c r="N156" s="189">
        <f>+(D50+E50-0.08)*2+(C50+E50*2-0.08)</f>
        <v>2.8600000000000003</v>
      </c>
      <c r="O156" s="187">
        <f>+N156/J50+1</f>
        <v>12.440000000000001</v>
      </c>
      <c r="P156" s="198">
        <f>+ROUNDUP(O156,0)</f>
        <v>13</v>
      </c>
      <c r="Q156" s="188">
        <f>+E156+E156/6*50*(G50/1000)</f>
        <v>80.988532083333325</v>
      </c>
      <c r="R156" s="190">
        <f>+N156*M156+P156*Q156</f>
        <v>1913.7109170833332</v>
      </c>
      <c r="S156" s="197">
        <f>((I50*I50)/162)*R156</f>
        <v>1181.3030352366254</v>
      </c>
      <c r="T156" s="154" t="s">
        <v>156</v>
      </c>
    </row>
    <row r="157" spans="2:20" hidden="1">
      <c r="C157" s="154" t="s">
        <v>101</v>
      </c>
      <c r="D157" s="191">
        <f>ROUNDUP(+E156/K50,0)</f>
        <v>25</v>
      </c>
      <c r="E157" s="184"/>
      <c r="G157" s="199"/>
      <c r="H157" s="199"/>
      <c r="I157" s="200"/>
      <c r="J157" s="200">
        <f>0.5*(0.075+0.05)*0.075*C50*D157</f>
        <v>0.1171875</v>
      </c>
      <c r="K157" s="200">
        <f>+(0.075+0.08)*C50*D157</f>
        <v>3.875</v>
      </c>
      <c r="L157" s="193">
        <f>+D157</f>
        <v>25</v>
      </c>
      <c r="M157" s="198">
        <f>+ROUNDUP(L157,0)</f>
        <v>25</v>
      </c>
      <c r="N157" s="194">
        <f>+(C50-0.08)+((0.075+0.05-2*0.04)*2)</f>
        <v>1.01</v>
      </c>
      <c r="O157" s="193"/>
      <c r="P157" s="201"/>
      <c r="Q157" s="195"/>
      <c r="R157" s="190">
        <f>+N157*M157+P157*Q157</f>
        <v>25.25</v>
      </c>
      <c r="S157" s="197">
        <f>((I50*I50)/162)*R157</f>
        <v>15.586419753086419</v>
      </c>
      <c r="T157" s="154" t="s">
        <v>156</v>
      </c>
    </row>
    <row r="158" spans="2:20" hidden="1"/>
    <row r="159" spans="2:20" hidden="1">
      <c r="B159" s="154" t="s">
        <v>154</v>
      </c>
      <c r="C159" s="178" t="s">
        <v>177</v>
      </c>
      <c r="E159" s="184">
        <v>100</v>
      </c>
      <c r="G159" s="196">
        <f>+E159*(C53+E53*2+1.5)</f>
        <v>275</v>
      </c>
      <c r="H159" s="196">
        <f>+E159*(C53+E53*2)*(D53+F53+F53)</f>
        <v>137.5</v>
      </c>
      <c r="I159" s="197">
        <f>+(C53+E53*2)*E159*F53</f>
        <v>6.25</v>
      </c>
      <c r="J159" s="197">
        <f>+E159*((C53+E53*2)*E53+(D53*E53*2))</f>
        <v>40.625</v>
      </c>
      <c r="K159" s="197">
        <f>+(D53+$K$104*(D53+E53))*E159*2</f>
        <v>425</v>
      </c>
      <c r="L159" s="187">
        <f>+(E159)/H53+ IF(E159&gt;0,1,0)</f>
        <v>401</v>
      </c>
      <c r="M159" s="198">
        <f>+ROUNDUP(L159,0)</f>
        <v>401</v>
      </c>
      <c r="N159" s="189">
        <f>+(E53+D53+E53+C53+2*E53+D53+2*E53-0.04*10)+(E53+D53+2*E53-5*0.04)*2+(C53+4*E53-6*0.04)</f>
        <v>6.96</v>
      </c>
      <c r="O159" s="187">
        <f>(2*(D53+E53)+(C53+2*E53)-6*0.04)/J53*2</f>
        <v>26.08</v>
      </c>
      <c r="P159" s="198">
        <f>+ROUNDUP(O159,0)</f>
        <v>27</v>
      </c>
      <c r="Q159" s="188">
        <f>+E159+E159/6*50*(G53/1000)</f>
        <v>108.33333333333333</v>
      </c>
      <c r="R159" s="190">
        <f>+N159*M159+P159*Q159</f>
        <v>5715.96</v>
      </c>
      <c r="S159" s="197">
        <f>((I53*I53)/162)*R159</f>
        <v>3528.37037037037</v>
      </c>
      <c r="T159" s="154" t="s">
        <v>156</v>
      </c>
    </row>
    <row r="160" spans="2:20" hidden="1">
      <c r="C160" s="154" t="s">
        <v>101</v>
      </c>
      <c r="D160" s="191">
        <f>ROUNDUP(+E159/K53,0)</f>
        <v>34</v>
      </c>
      <c r="E160" s="184"/>
      <c r="G160" s="199"/>
      <c r="H160" s="199"/>
      <c r="I160" s="200"/>
      <c r="J160" s="200">
        <f>0.5*(0.075+0.05)*0.075*C53*D160</f>
        <v>0.15937499999999999</v>
      </c>
      <c r="K160" s="200">
        <f>+(0.075+0.08)*C53*D160</f>
        <v>5.27</v>
      </c>
      <c r="L160" s="193">
        <f>+D160</f>
        <v>34</v>
      </c>
      <c r="M160" s="198">
        <f>+ROUNDUP(L160,0)</f>
        <v>34</v>
      </c>
      <c r="N160" s="194">
        <f>+(C53-0.08)+((0.075+0.05-2*0.04)*2)</f>
        <v>1.01</v>
      </c>
      <c r="O160" s="193"/>
      <c r="P160" s="201"/>
      <c r="Q160" s="195"/>
      <c r="R160" s="190">
        <f>+N160*M160+P160*Q160</f>
        <v>34.340000000000003</v>
      </c>
      <c r="S160" s="197">
        <f>((I53*I53)/162)*R160</f>
        <v>21.197530864197532</v>
      </c>
      <c r="T160" s="154" t="s">
        <v>156</v>
      </c>
    </row>
    <row r="161" spans="2:20" hidden="1"/>
    <row r="162" spans="2:20" hidden="1">
      <c r="B162" s="154" t="s">
        <v>154</v>
      </c>
      <c r="C162" s="178" t="s">
        <v>178</v>
      </c>
      <c r="E162" s="184">
        <v>100</v>
      </c>
      <c r="G162" s="196">
        <f>+E162*(C56+E56*2+1.5)</f>
        <v>275</v>
      </c>
      <c r="H162" s="196">
        <f>+E162*(C56+E56*2)*(D56+F56+F56)</f>
        <v>137.5</v>
      </c>
      <c r="I162" s="197">
        <f>+(C56+E56*2)*E162*F56</f>
        <v>6.25</v>
      </c>
      <c r="J162" s="197">
        <f>+E162*((C56+E56*2)*E56+(D56*E56*2))</f>
        <v>40.625</v>
      </c>
      <c r="K162" s="197">
        <f>+(D56+$K$104*(D56+E56))*E162*2</f>
        <v>425</v>
      </c>
      <c r="L162" s="187">
        <f>+(E162)/H56+ IF(E162&gt;0,1,0)</f>
        <v>401</v>
      </c>
      <c r="M162" s="198">
        <f>+ROUNDUP(L162,0)</f>
        <v>401</v>
      </c>
      <c r="N162" s="189">
        <f>+(E56+D56+E56+C56+2*E56+D56+2*E56-0.04*10)+(E56+D56+2*E56-5*0.04)*2+(C56+4*E56-6*0.04)</f>
        <v>6.96</v>
      </c>
      <c r="O162" s="187">
        <f>(2*(D56+E56)+(C56+2*E56)-6*0.04)/J56*2</f>
        <v>26.08</v>
      </c>
      <c r="P162" s="198">
        <f>+ROUNDUP(O162,0)</f>
        <v>27</v>
      </c>
      <c r="Q162" s="188">
        <f>+E162+E162/6*50*(G56/1000)</f>
        <v>108.33333333333333</v>
      </c>
      <c r="R162" s="190">
        <f>+N162*M162+P162*Q162</f>
        <v>5715.96</v>
      </c>
      <c r="S162" s="197">
        <f>((I56*I56)/162)*R162</f>
        <v>3528.37037037037</v>
      </c>
      <c r="T162" s="154" t="s">
        <v>156</v>
      </c>
    </row>
    <row r="163" spans="2:20" hidden="1">
      <c r="C163" s="154" t="s">
        <v>101</v>
      </c>
      <c r="D163" s="191">
        <f>ROUNDUP(+E162/K56,0)</f>
        <v>34</v>
      </c>
      <c r="E163" s="184"/>
      <c r="G163" s="199"/>
      <c r="H163" s="199"/>
      <c r="I163" s="200"/>
      <c r="J163" s="200">
        <f>0.5*(0.075+0.05)*0.075*C56*D163</f>
        <v>0.15937499999999999</v>
      </c>
      <c r="K163" s="200">
        <f>+(0.075+0.08)*C56*D163</f>
        <v>5.27</v>
      </c>
      <c r="L163" s="193">
        <f>+D163</f>
        <v>34</v>
      </c>
      <c r="M163" s="198">
        <f>+ROUNDUP(L163,0)</f>
        <v>34</v>
      </c>
      <c r="N163" s="194">
        <f>+(C56-0.08)+((0.075+0.05-2*0.04)*2)</f>
        <v>1.01</v>
      </c>
      <c r="O163" s="193"/>
      <c r="P163" s="201"/>
      <c r="Q163" s="195"/>
      <c r="R163" s="190">
        <f>+N163*M163+P163*Q163</f>
        <v>34.340000000000003</v>
      </c>
      <c r="S163" s="197">
        <f>((I56*I56)/162)*R163</f>
        <v>21.197530864197532</v>
      </c>
      <c r="T163" s="154" t="s">
        <v>156</v>
      </c>
    </row>
    <row r="164" spans="2:20" hidden="1"/>
    <row r="165" spans="2:20">
      <c r="B165" s="378" t="s">
        <v>179</v>
      </c>
      <c r="C165" s="375" t="s">
        <v>180</v>
      </c>
      <c r="E165" s="184">
        <v>8.49</v>
      </c>
      <c r="G165" s="196">
        <f>+E165*(C59+E59*2+1)</f>
        <v>14.0085</v>
      </c>
      <c r="H165" s="196">
        <f>(+E165*(C59+E59*2)*(D59+F59+F59))*50%</f>
        <v>1.5175875000000003</v>
      </c>
      <c r="I165" s="197">
        <f>+(C59+E59*2)*E165*F59</f>
        <v>0.27592500000000003</v>
      </c>
      <c r="J165" s="197">
        <f>+E165*((C59+E59*2+0.06)*E59+(D59*E59*2))</f>
        <v>1.3668900000000002</v>
      </c>
      <c r="K165" s="197">
        <f>+(D59+(D59+E59))*E165*2</f>
        <v>16.98</v>
      </c>
      <c r="L165" s="187">
        <f>+(E165)/H59+ IF(E165&gt;0,1,0)</f>
        <v>34.96</v>
      </c>
      <c r="M165" s="198">
        <f>+ROUNDUP(L165,0)</f>
        <v>35</v>
      </c>
      <c r="N165" s="189">
        <f>+(D59+E59-0.08)*2+(C59+E59*2-0.08)</f>
        <v>1.5100000000000002</v>
      </c>
      <c r="O165" s="187">
        <f>+N165/J59+1</f>
        <v>7.0400000000000009</v>
      </c>
      <c r="P165" s="198">
        <f>+ROUNDUP(O165,0)</f>
        <v>8</v>
      </c>
      <c r="Q165" s="188">
        <f>+E165+E165/6*50*(G59/1000)</f>
        <v>9.1974999999999998</v>
      </c>
      <c r="R165" s="190">
        <f>+N165*M165+P165*Q165</f>
        <v>126.43</v>
      </c>
      <c r="S165" s="197">
        <f>((I59*I59)/162)*R165</f>
        <v>78.043209876543216</v>
      </c>
      <c r="T165" s="154" t="s">
        <v>156</v>
      </c>
    </row>
    <row r="166" spans="2:20">
      <c r="C166" s="154" t="s">
        <v>181</v>
      </c>
      <c r="D166" s="191">
        <f>ROUNDUP(+(E165/SQRT(L59^2+M59^2)),0)</f>
        <v>22</v>
      </c>
      <c r="E166" s="184"/>
      <c r="G166" s="199"/>
      <c r="H166" s="199"/>
      <c r="I166" s="200"/>
      <c r="J166" s="200">
        <f>0.5*(0.075+0.05)*0.075*C59*D166</f>
        <v>4.6406250000000003E-2</v>
      </c>
      <c r="K166" s="200">
        <f>+M59*C59*D166</f>
        <v>2.7225000000000001</v>
      </c>
      <c r="L166" s="193"/>
      <c r="M166" s="198">
        <f>+ROUNDUP(L166,0)</f>
        <v>0</v>
      </c>
      <c r="N166" s="194"/>
      <c r="O166" s="193"/>
      <c r="P166" s="201"/>
      <c r="Q166" s="195"/>
      <c r="R166" s="190">
        <f>+N166*M166+P166*Q166</f>
        <v>0</v>
      </c>
      <c r="S166" s="197">
        <f>((I59*I59)/162)*R166</f>
        <v>0</v>
      </c>
    </row>
    <row r="167" spans="2:20">
      <c r="C167" s="154" t="s">
        <v>182</v>
      </c>
      <c r="D167" s="154">
        <f>ROUNDUP(+E165/1,0)</f>
        <v>9</v>
      </c>
    </row>
    <row r="169" spans="2:20">
      <c r="B169" s="378" t="s">
        <v>179</v>
      </c>
      <c r="C169" s="375" t="s">
        <v>183</v>
      </c>
      <c r="E169" s="184">
        <v>7.07</v>
      </c>
      <c r="G169" s="185">
        <f>+E169*(C63+E63*2+1)</f>
        <v>11.6655</v>
      </c>
      <c r="H169" s="185">
        <f>(+E169*(C63+E63*2)*(D63+F63+F63))*50%</f>
        <v>1.6084250000000002</v>
      </c>
      <c r="I169" s="186">
        <f>+(C63+E63*2)*E169*F63</f>
        <v>0.22977500000000003</v>
      </c>
      <c r="J169" s="186">
        <f>+E169*((C63+E63*2+0.06)*E63+(D63*E63*2))</f>
        <v>1.3503700000000001</v>
      </c>
      <c r="K169" s="186">
        <f>+(D63+(D63+E63))*E169*2</f>
        <v>18.381999999999998</v>
      </c>
      <c r="L169" s="187">
        <f>+(E169)/H63+ IF(E169&gt;0,1,0)</f>
        <v>29.28</v>
      </c>
      <c r="M169" s="188">
        <f>+ROUNDUP(L169,0)</f>
        <v>30</v>
      </c>
      <c r="N169" s="189">
        <f>+(D63+E63-0.08)*2+(C63+E63*2-0.08)</f>
        <v>1.81</v>
      </c>
      <c r="O169" s="187">
        <f>+N169/J63+1</f>
        <v>8.24</v>
      </c>
      <c r="P169" s="188">
        <f>+ROUNDUP(O169,0)</f>
        <v>9</v>
      </c>
      <c r="Q169" s="188">
        <f>+E169+E169/6*50*(G63/1000)</f>
        <v>7.6591666666666667</v>
      </c>
      <c r="R169" s="190">
        <f>+N169*M169+P169*Q169</f>
        <v>123.23250000000002</v>
      </c>
      <c r="S169" s="186">
        <f>((I63*I63)/162)*R169</f>
        <v>76.069444444444457</v>
      </c>
      <c r="T169" s="154" t="s">
        <v>156</v>
      </c>
    </row>
    <row r="170" spans="2:20">
      <c r="C170" s="154" t="s">
        <v>181</v>
      </c>
      <c r="D170" s="191">
        <f>ROUNDUP(+(E169/SQRT(L63^2+M63^2)),0)</f>
        <v>19</v>
      </c>
      <c r="E170" s="184"/>
      <c r="G170" s="192"/>
      <c r="H170" s="192"/>
      <c r="I170" s="191"/>
      <c r="J170" s="191">
        <f>0.5*(0.075+0.05)*0.075*C63*D170</f>
        <v>4.0078125000000006E-2</v>
      </c>
      <c r="K170" s="191">
        <f>+M63*C63*D170</f>
        <v>2.3512500000000003</v>
      </c>
      <c r="L170" s="193"/>
      <c r="M170" s="188">
        <f>+ROUNDUP(L170,0)</f>
        <v>0</v>
      </c>
      <c r="N170" s="194"/>
      <c r="O170" s="193"/>
      <c r="P170" s="195"/>
      <c r="Q170" s="195"/>
      <c r="R170" s="190">
        <f>+N170*M170+P170*Q170</f>
        <v>0</v>
      </c>
      <c r="S170" s="186">
        <f>((I63*I63)/162)*R170</f>
        <v>0</v>
      </c>
    </row>
    <row r="171" spans="2:20">
      <c r="C171" s="154" t="s">
        <v>182</v>
      </c>
      <c r="D171" s="154">
        <f>ROUNDUP(+E169/1,0)</f>
        <v>8</v>
      </c>
    </row>
    <row r="172" spans="2:20">
      <c r="K172" s="186"/>
    </row>
    <row r="173" spans="2:20" hidden="1">
      <c r="B173" s="378" t="s">
        <v>179</v>
      </c>
      <c r="C173" s="375" t="s">
        <v>184</v>
      </c>
      <c r="E173" s="184">
        <v>73.25</v>
      </c>
      <c r="G173" s="185">
        <f>+E173*(C67+E67*2+1)</f>
        <v>131.85</v>
      </c>
      <c r="H173" s="185">
        <f>(+E173*(C67+E67*2)*(D67+F67+F67))*50%</f>
        <v>20.51</v>
      </c>
      <c r="I173" s="186">
        <f>+(C67+E67*2)*E173*F67</f>
        <v>2.93</v>
      </c>
      <c r="J173" s="186">
        <f>+E173*((C67+E67*2+0.06)*E67+(D67*E67*2))</f>
        <v>15.089500000000001</v>
      </c>
      <c r="K173" s="186">
        <f>+(D67+(D67+E67))*E173*2</f>
        <v>190.44999999999996</v>
      </c>
      <c r="L173" s="187">
        <f>+(E173)/H67+ IF(E173&gt;0,1,0)</f>
        <v>294</v>
      </c>
      <c r="M173" s="188">
        <f>+ROUNDUP(L173,0)</f>
        <v>294</v>
      </c>
      <c r="N173" s="189">
        <f>+(D67+E67-0.08)*2+(C67+E67*2-0.08)</f>
        <v>1.96</v>
      </c>
      <c r="O173" s="187">
        <f>+N173/J67+1</f>
        <v>8.84</v>
      </c>
      <c r="P173" s="188">
        <f>+ROUNDUP(O173,0)</f>
        <v>9</v>
      </c>
      <c r="Q173" s="188">
        <f>+E173+E173/6*50*(G67/1000)</f>
        <v>79.354166666666671</v>
      </c>
      <c r="R173" s="190">
        <f>+N173*M173+P173*Q173</f>
        <v>1290.4275</v>
      </c>
      <c r="S173" s="186">
        <f>((I67*I67)/162)*R173</f>
        <v>796.56018518518511</v>
      </c>
      <c r="T173" s="154" t="s">
        <v>156</v>
      </c>
    </row>
    <row r="174" spans="2:20" hidden="1">
      <c r="C174" s="154" t="s">
        <v>181</v>
      </c>
      <c r="D174" s="191">
        <f>ROUNDUP(+(E173/SQRT(L67^2+M67^2)),0)</f>
        <v>189</v>
      </c>
      <c r="E174" s="184"/>
      <c r="G174" s="192"/>
      <c r="H174" s="192"/>
      <c r="I174" s="191"/>
      <c r="J174" s="191">
        <f>0.5*(0.075+0.05)*0.075*C67*D174</f>
        <v>0.53156249999999994</v>
      </c>
      <c r="K174" s="191">
        <f>+M67*C67*D174</f>
        <v>31.185000000000002</v>
      </c>
      <c r="L174" s="193"/>
      <c r="M174" s="188">
        <f>+ROUNDUP(L174,0)</f>
        <v>0</v>
      </c>
      <c r="N174" s="194"/>
      <c r="O174" s="193"/>
      <c r="P174" s="195"/>
      <c r="Q174" s="195"/>
      <c r="R174" s="190">
        <f>+N174*M174+P174*Q174</f>
        <v>0</v>
      </c>
      <c r="S174" s="186">
        <f>((I67*I67)/162)*R174</f>
        <v>0</v>
      </c>
    </row>
    <row r="175" spans="2:20" hidden="1">
      <c r="C175" s="154" t="s">
        <v>182</v>
      </c>
      <c r="D175" s="154">
        <f>ROUNDUP(+E173/1,0)</f>
        <v>74</v>
      </c>
    </row>
    <row r="176" spans="2:20" hidden="1"/>
    <row r="177" spans="2:20" hidden="1">
      <c r="B177" s="205" t="s">
        <v>179</v>
      </c>
      <c r="C177" s="178" t="s">
        <v>185</v>
      </c>
      <c r="E177" s="184">
        <v>8.6</v>
      </c>
      <c r="G177" s="196">
        <f>+E177*(C71+E71*2+1)</f>
        <v>17.2</v>
      </c>
      <c r="H177" s="196">
        <f>(+E177*(C71+E71*2)*(D71+F71+F71))*50%</f>
        <v>3.8700000000000006</v>
      </c>
      <c r="I177" s="197">
        <f>+(C71+E71*2)*E177*F71</f>
        <v>0.43</v>
      </c>
      <c r="J177" s="197">
        <f>+E177*((C71+E71*2+0.06)*E71+(D71*E71*2))</f>
        <v>2.2875999999999999</v>
      </c>
      <c r="K177" s="197">
        <f>+(D71+(D71+E71))*E177*2</f>
        <v>29.240000000000002</v>
      </c>
      <c r="L177" s="187">
        <f>+(E177)/H71+ IF(E177&gt;0,1,0)</f>
        <v>35.4</v>
      </c>
      <c r="M177" s="198">
        <f>+ROUNDUP(L177,0)</f>
        <v>36</v>
      </c>
      <c r="N177" s="189">
        <f>+(D71+E71-0.08)*2+(C71+E71*2-0.08)</f>
        <v>2.56</v>
      </c>
      <c r="O177" s="187">
        <f>+N177/J71+1</f>
        <v>11.24</v>
      </c>
      <c r="P177" s="198">
        <f>+ROUNDUP(O177,0)</f>
        <v>12</v>
      </c>
      <c r="Q177" s="188">
        <f>+E177+E177/6*50*(G71/1000)</f>
        <v>9.3166666666666664</v>
      </c>
      <c r="R177" s="190">
        <f>+N177*M177+P177*Q177</f>
        <v>203.95999999999998</v>
      </c>
      <c r="S177" s="197">
        <f>((I71*I71)/162)*R177</f>
        <v>125.90123456790121</v>
      </c>
      <c r="T177" s="154" t="s">
        <v>156</v>
      </c>
    </row>
    <row r="178" spans="2:20" hidden="1">
      <c r="C178" s="154" t="s">
        <v>181</v>
      </c>
      <c r="D178" s="191">
        <f>ROUNDUP(+(E177/SQRT(L71^2+M71^2)),0)</f>
        <v>23</v>
      </c>
      <c r="E178" s="184"/>
      <c r="G178" s="199"/>
      <c r="H178" s="199"/>
      <c r="I178" s="200"/>
      <c r="J178" s="200">
        <f>0.5*(0.075+0.05)*0.075*C71*D178</f>
        <v>8.6249999999999993E-2</v>
      </c>
      <c r="K178" s="200">
        <f>+M71*C71*D178</f>
        <v>5.0600000000000005</v>
      </c>
      <c r="L178" s="193"/>
      <c r="M178" s="198">
        <f>+ROUNDUP(L178,0)</f>
        <v>0</v>
      </c>
      <c r="N178" s="194"/>
      <c r="O178" s="193"/>
      <c r="P178" s="201"/>
      <c r="Q178" s="195"/>
      <c r="R178" s="190">
        <f>+N178*M178+P178*Q178</f>
        <v>0</v>
      </c>
      <c r="S178" s="197">
        <f>((I71*I71)/162)*R178</f>
        <v>0</v>
      </c>
    </row>
    <row r="179" spans="2:20" hidden="1">
      <c r="C179" s="154" t="s">
        <v>182</v>
      </c>
      <c r="D179" s="154">
        <f>ROUNDUP(+E177/1,0)</f>
        <v>9</v>
      </c>
      <c r="H179" s="191"/>
    </row>
    <row r="180" spans="2:20" hidden="1"/>
    <row r="181" spans="2:20" hidden="1">
      <c r="B181" s="207" t="s">
        <v>179</v>
      </c>
      <c r="C181" s="178" t="s">
        <v>186</v>
      </c>
      <c r="E181" s="184">
        <v>13.83</v>
      </c>
      <c r="G181" s="196">
        <f>+E181*(C75+E75*2+1)</f>
        <v>31.1175</v>
      </c>
      <c r="H181" s="196">
        <f>(+E181*(C75+E75*2)*(D75+F75+F75))*50%</f>
        <v>9.5081250000000015</v>
      </c>
      <c r="I181" s="197">
        <f>+(C75+E75*2)*E181*F75</f>
        <v>0.86437500000000012</v>
      </c>
      <c r="J181" s="197">
        <f>+E181*((C75+E75*2+0.06)*E75+(D75*E75*2))</f>
        <v>5.7221625000000005</v>
      </c>
      <c r="K181" s="197">
        <f>+(D75+(D75+E75))*E181*2</f>
        <v>58.777500000000003</v>
      </c>
      <c r="L181" s="187">
        <f>+(E181)/H75+ IF(E181&gt;0,1,0)</f>
        <v>56.32</v>
      </c>
      <c r="M181" s="198">
        <f>+ROUNDUP(L181,0)</f>
        <v>57</v>
      </c>
      <c r="N181" s="189">
        <f>+(D75+E75-0.08)*2+(C75+E75*2-0.08)</f>
        <v>3.26</v>
      </c>
      <c r="O181" s="187">
        <f>+N181/J75+1</f>
        <v>14.04</v>
      </c>
      <c r="P181" s="198">
        <f>+ROUNDUP(O181,0)</f>
        <v>15</v>
      </c>
      <c r="Q181" s="188">
        <f>+E181+E181/6*50*(G75/1000)</f>
        <v>14.9825</v>
      </c>
      <c r="R181" s="190">
        <f>+N181*M181+P181*Q181</f>
        <v>410.5575</v>
      </c>
      <c r="S181" s="197">
        <f>((I75*I75)/162)*R181</f>
        <v>253.43055555555554</v>
      </c>
      <c r="T181" s="154" t="s">
        <v>156</v>
      </c>
    </row>
    <row r="182" spans="2:20" hidden="1">
      <c r="C182" s="154" t="s">
        <v>181</v>
      </c>
      <c r="D182" s="191">
        <f>ROUNDUP(+(E181/SQRT(L75^2+M75^2)),0)</f>
        <v>36</v>
      </c>
      <c r="E182" s="184"/>
      <c r="G182" s="199"/>
      <c r="H182" s="199"/>
      <c r="I182" s="200"/>
      <c r="J182" s="200">
        <f>0.5*(0.075+0.05)*0.075*C75*D182</f>
        <v>0.16874999999999998</v>
      </c>
      <c r="K182" s="200">
        <f>+M75*C75*D182</f>
        <v>9.9</v>
      </c>
      <c r="L182" s="193"/>
      <c r="M182" s="198">
        <f>+ROUNDUP(L182,0)</f>
        <v>0</v>
      </c>
      <c r="N182" s="194"/>
      <c r="O182" s="193"/>
      <c r="P182" s="201"/>
      <c r="Q182" s="195"/>
      <c r="R182" s="190">
        <f>+N182*M182+P182*Q182</f>
        <v>0</v>
      </c>
      <c r="S182" s="197">
        <f>((I75*I75)/162)*R182</f>
        <v>0</v>
      </c>
    </row>
    <row r="183" spans="2:20" hidden="1">
      <c r="C183" s="154" t="s">
        <v>182</v>
      </c>
      <c r="D183" s="154">
        <f>ROUNDUP(+E181/1,0)</f>
        <v>14</v>
      </c>
    </row>
    <row r="184" spans="2:20" hidden="1"/>
    <row r="185" spans="2:20" hidden="1">
      <c r="B185" s="205" t="s">
        <v>187</v>
      </c>
      <c r="C185" s="178" t="s">
        <v>180</v>
      </c>
      <c r="E185" s="184">
        <v>100</v>
      </c>
      <c r="G185" s="196">
        <f>+E185*(C79+E79*2+1)</f>
        <v>165</v>
      </c>
      <c r="H185" s="196">
        <f>0.5*L79*M79*D186</f>
        <v>20.25</v>
      </c>
      <c r="I185" s="197">
        <f>+(L79*(C79+2*E79)*D186*E79)</f>
        <v>5.8500000000000014</v>
      </c>
      <c r="J185" s="197">
        <f>+D186*(L79+M79)*E79*(C79+2*E79)+D186*((L79+M79)*E79*D79)*2</f>
        <v>20.925000000000001</v>
      </c>
      <c r="K185" s="197">
        <f>+(D79+(D79+E79))*E185*2</f>
        <v>200</v>
      </c>
      <c r="L185" s="187">
        <f>+(D186*(L79+M79))/H79+ IF(E185&gt;0,1,0)</f>
        <v>541</v>
      </c>
      <c r="M185" s="198">
        <f>+ROUNDUP(L185,0)</f>
        <v>541</v>
      </c>
      <c r="N185" s="189">
        <f>+(D79+E79-0.08)*2+(C79+E79*2-0.08)</f>
        <v>1.5100000000000002</v>
      </c>
      <c r="O185" s="187">
        <f>+N185/J79+1</f>
        <v>7.0400000000000009</v>
      </c>
      <c r="P185" s="198">
        <f>+ROUNDUP(O185,0)</f>
        <v>8</v>
      </c>
      <c r="Q185" s="188">
        <f>+(L79+M79-2*0.04)*D186+(((L79+M79-2*0.04)*D186)/6*50*(I79/1000))</f>
        <v>137.58333333333334</v>
      </c>
      <c r="R185" s="190">
        <f>+N185*M185+P185*Q185</f>
        <v>1917.5766666666668</v>
      </c>
      <c r="S185" s="197">
        <f>((I79*I79)/162)*R185</f>
        <v>1183.6893004115227</v>
      </c>
      <c r="T185" s="154" t="s">
        <v>156</v>
      </c>
    </row>
    <row r="186" spans="2:20" hidden="1">
      <c r="C186" s="154" t="s">
        <v>181</v>
      </c>
      <c r="D186" s="191">
        <f>ROUNDUP(+(E185/SQRT(L79^2+M79^2)),0)</f>
        <v>100</v>
      </c>
      <c r="E186" s="184"/>
      <c r="G186" s="199"/>
      <c r="H186" s="199"/>
      <c r="I186" s="200"/>
      <c r="J186" s="200"/>
      <c r="K186" s="200"/>
      <c r="L186" s="193"/>
      <c r="M186" s="198"/>
      <c r="N186" s="194"/>
      <c r="O186" s="193"/>
      <c r="P186" s="201"/>
      <c r="Q186" s="195"/>
      <c r="R186" s="190"/>
      <c r="S186" s="197"/>
    </row>
    <row r="187" spans="2:20" hidden="1">
      <c r="C187" s="154" t="s">
        <v>182</v>
      </c>
      <c r="D187" s="154">
        <f>ROUNDUP(+E185/1,0)</f>
        <v>100</v>
      </c>
    </row>
    <row r="188" spans="2:20" hidden="1"/>
    <row r="189" spans="2:20" hidden="1">
      <c r="B189" s="205" t="s">
        <v>187</v>
      </c>
      <c r="C189" s="178" t="s">
        <v>183</v>
      </c>
      <c r="E189" s="184">
        <v>28.19</v>
      </c>
      <c r="G189" s="196">
        <f>+E189*(C83+E83*2+1)</f>
        <v>46.513500000000001</v>
      </c>
      <c r="H189" s="196">
        <f>0.5*L83*M83*D190</f>
        <v>5.8725000000000005</v>
      </c>
      <c r="I189" s="197">
        <f>+(L83*(C83+2*E83)*D190*E83)</f>
        <v>1.6965000000000003</v>
      </c>
      <c r="J189" s="197">
        <f>+D190*(L83+M83)*E83*(C83+2*E83)+D190*((L83+M83)*E83*D83)*2</f>
        <v>7.2427500000000009</v>
      </c>
      <c r="K189" s="197">
        <f>+(D83+(D83+E83))*E189*2</f>
        <v>73.293999999999997</v>
      </c>
      <c r="L189" s="187">
        <f>+(D190*(L83+M83))/H83+ IF(E189&gt;0,1,0)</f>
        <v>157.60000000000002</v>
      </c>
      <c r="M189" s="198">
        <f>+ROUNDUP(L189,0)</f>
        <v>158</v>
      </c>
      <c r="N189" s="189">
        <f>+(D83+E83-0.08)*2+(C83+E83*2-0.08)</f>
        <v>1.81</v>
      </c>
      <c r="O189" s="187">
        <f>+N189/J83+1</f>
        <v>8.24</v>
      </c>
      <c r="P189" s="198">
        <f>+ROUNDUP(O189,0)</f>
        <v>9</v>
      </c>
      <c r="Q189" s="188">
        <f>+(L83+M83-2*0.04)*D190+(((L83+M83-2*0.04)*D190)/6*50*(I83/1000))</f>
        <v>39.899166666666666</v>
      </c>
      <c r="R189" s="190">
        <f>+N189*M189+P189*Q189</f>
        <v>645.07249999999999</v>
      </c>
      <c r="S189" s="197">
        <f>((I83*I83)/162)*R189</f>
        <v>398.1929012345679</v>
      </c>
      <c r="T189" s="154" t="s">
        <v>156</v>
      </c>
    </row>
    <row r="190" spans="2:20" hidden="1">
      <c r="C190" s="154" t="s">
        <v>181</v>
      </c>
      <c r="D190" s="191">
        <f>ROUNDUP(+(E189/SQRT(L83^2+M83^2)),0)</f>
        <v>29</v>
      </c>
      <c r="E190" s="184"/>
      <c r="G190" s="199"/>
      <c r="H190" s="199"/>
      <c r="I190" s="200"/>
      <c r="J190" s="200"/>
      <c r="K190" s="200"/>
      <c r="L190" s="193"/>
      <c r="M190" s="198"/>
      <c r="N190" s="194"/>
      <c r="O190" s="193"/>
      <c r="P190" s="201"/>
      <c r="Q190" s="195"/>
      <c r="R190" s="190"/>
      <c r="S190" s="197"/>
    </row>
    <row r="191" spans="2:20" hidden="1">
      <c r="C191" s="154" t="s">
        <v>182</v>
      </c>
      <c r="D191" s="154">
        <f>ROUNDUP(+E189/1,0)</f>
        <v>29</v>
      </c>
    </row>
    <row r="192" spans="2:20" hidden="1"/>
    <row r="193" spans="2:20" hidden="1">
      <c r="B193" s="205" t="s">
        <v>187</v>
      </c>
      <c r="C193" s="178" t="s">
        <v>184</v>
      </c>
      <c r="E193" s="184">
        <v>100</v>
      </c>
      <c r="G193" s="196">
        <f>+E193*(C87+E87*2+1)</f>
        <v>180</v>
      </c>
      <c r="H193" s="196">
        <f>0.5*L87*M87*D194</f>
        <v>20.25</v>
      </c>
      <c r="I193" s="197">
        <f>+(L87*(C87+2*E87)*D194*E87)</f>
        <v>7.200000000000002</v>
      </c>
      <c r="J193" s="197">
        <f>+D194*(L87+M87)*E87*(C87+2*E87)+D194*((L87+M87)*E87*D87)*2</f>
        <v>27</v>
      </c>
      <c r="K193" s="197">
        <f>+(D87+(D87+E87))*E193*2</f>
        <v>259.99999999999994</v>
      </c>
      <c r="L193" s="187">
        <f>+(D194*(L87+M87))/H87+ IF(E193&gt;0,1,0)</f>
        <v>541</v>
      </c>
      <c r="M193" s="198">
        <f>+ROUNDUP(L193,0)</f>
        <v>541</v>
      </c>
      <c r="N193" s="189">
        <f>+(D87+E87-0.08)*2+(C87+E87*2-0.08)</f>
        <v>1.96</v>
      </c>
      <c r="O193" s="187">
        <f>+N193/J87+1</f>
        <v>8.84</v>
      </c>
      <c r="P193" s="198">
        <f>+ROUNDUP(O193,0)</f>
        <v>9</v>
      </c>
      <c r="Q193" s="188">
        <f>+(L87+M87-2*0.04)*D194+(((L87+M87-2*0.04)*D194)/6*50*(I87/1000))</f>
        <v>137.58333333333334</v>
      </c>
      <c r="R193" s="190">
        <f>+N193*M193+P193*Q193</f>
        <v>2298.6099999999997</v>
      </c>
      <c r="S193" s="197">
        <f>((I87*I87)/162)*R193</f>
        <v>1418.8950617283947</v>
      </c>
      <c r="T193" s="154" t="s">
        <v>156</v>
      </c>
    </row>
    <row r="194" spans="2:20" hidden="1">
      <c r="C194" s="154" t="s">
        <v>181</v>
      </c>
      <c r="D194" s="191">
        <f>ROUNDUP(+(E193/SQRT(L87^2+M87^2)),0)</f>
        <v>100</v>
      </c>
      <c r="E194" s="184"/>
      <c r="G194" s="199"/>
      <c r="H194" s="199"/>
      <c r="I194" s="200"/>
      <c r="J194" s="200"/>
      <c r="K194" s="200"/>
      <c r="L194" s="193"/>
      <c r="M194" s="198"/>
      <c r="N194" s="194"/>
      <c r="O194" s="193"/>
      <c r="P194" s="201"/>
      <c r="Q194" s="195"/>
      <c r="R194" s="190"/>
      <c r="S194" s="197"/>
    </row>
    <row r="195" spans="2:20" hidden="1">
      <c r="C195" s="154" t="s">
        <v>182</v>
      </c>
      <c r="D195" s="154">
        <f>ROUNDUP(+E193/1,0)</f>
        <v>100</v>
      </c>
    </row>
    <row r="196" spans="2:20" hidden="1"/>
    <row r="197" spans="2:20" hidden="1">
      <c r="B197" s="205" t="s">
        <v>187</v>
      </c>
      <c r="C197" s="178" t="s">
        <v>185</v>
      </c>
      <c r="E197" s="184">
        <v>100</v>
      </c>
      <c r="G197" s="196">
        <f>+E197*(C91+E91*2+1)</f>
        <v>200</v>
      </c>
      <c r="H197" s="196">
        <f>0.5*L91*M91*D198</f>
        <v>20.25</v>
      </c>
      <c r="I197" s="197">
        <f>+(L91*(C91+2*E91)*D198*E91)</f>
        <v>9</v>
      </c>
      <c r="J197" s="197">
        <f>+D198*(L91+M91)*E91*(C91+2*E91)+D198*((L91+M91)*E91*D91)*2</f>
        <v>35.1</v>
      </c>
      <c r="K197" s="197">
        <f>+(D91+(D91+E91))*E197*2</f>
        <v>340.00000000000006</v>
      </c>
      <c r="L197" s="187">
        <f>+(D198*(L91+M91))/H91+ IF(E197&gt;0,1,0)</f>
        <v>541</v>
      </c>
      <c r="M197" s="198">
        <f>+ROUNDUP(L197,0)</f>
        <v>541</v>
      </c>
      <c r="N197" s="189">
        <f>+(D91+E91-0.08)*2+(C91+E91*2-0.08)</f>
        <v>2.56</v>
      </c>
      <c r="O197" s="187">
        <f>+N197/J91+1</f>
        <v>11.24</v>
      </c>
      <c r="P197" s="198">
        <f>+ROUNDUP(O197,0)</f>
        <v>12</v>
      </c>
      <c r="Q197" s="188">
        <f>+(L91+M91-2*0.04)*D198+(((L91+M91-2*0.04)*D198)/6*50*(I91/1000))</f>
        <v>137.58333333333334</v>
      </c>
      <c r="R197" s="190">
        <f>+N197*M197+P197*Q197</f>
        <v>3035.96</v>
      </c>
      <c r="S197" s="197">
        <f>((I91*I91)/162)*R197</f>
        <v>1874.0493827160492</v>
      </c>
      <c r="T197" s="154" t="s">
        <v>156</v>
      </c>
    </row>
    <row r="198" spans="2:20" hidden="1">
      <c r="C198" s="154" t="s">
        <v>181</v>
      </c>
      <c r="D198" s="191">
        <f>ROUNDUP(+(E197/SQRT(L91^2+M91^2)),0)</f>
        <v>100</v>
      </c>
      <c r="E198" s="184"/>
      <c r="G198" s="199"/>
      <c r="H198" s="199"/>
      <c r="I198" s="200"/>
      <c r="J198" s="200"/>
      <c r="K198" s="200"/>
      <c r="L198" s="193"/>
      <c r="M198" s="198"/>
      <c r="N198" s="194"/>
      <c r="O198" s="193"/>
      <c r="P198" s="201"/>
      <c r="Q198" s="195"/>
      <c r="R198" s="190"/>
      <c r="S198" s="197"/>
    </row>
    <row r="199" spans="2:20" hidden="1">
      <c r="C199" s="154" t="s">
        <v>182</v>
      </c>
      <c r="D199" s="154">
        <f>ROUNDUP(+E197/1,0)</f>
        <v>100</v>
      </c>
    </row>
    <row r="200" spans="2:20" hidden="1"/>
    <row r="201" spans="2:20" hidden="1">
      <c r="B201" s="205" t="s">
        <v>187</v>
      </c>
      <c r="C201" s="178" t="s">
        <v>188</v>
      </c>
      <c r="E201" s="184">
        <f>(22.38+21.09+22.47+16.84)*1.06418</f>
        <v>88.092820399999994</v>
      </c>
      <c r="G201" s="196">
        <f>+E201*(C95+E95*2+1)</f>
        <v>198.20884589999997</v>
      </c>
      <c r="H201" s="196">
        <f>0.5*L95*M95*D202</f>
        <v>17.82</v>
      </c>
      <c r="I201" s="197">
        <f>+(L95*(C95+2*E95)*D202*E95)</f>
        <v>12.375</v>
      </c>
      <c r="J201" s="197">
        <f>+D202*(L95+M95)*E95*(C95+2*E95)+D202*((L95+M95)*E95*D95)*2</f>
        <v>40.837500000000006</v>
      </c>
      <c r="K201" s="197">
        <f>+(D95+(D95+E95))*E201*2</f>
        <v>286.30166629999997</v>
      </c>
      <c r="L201" s="187">
        <f>+(D202*(L95+M95))/H95+ IF(E201&gt;0,1,0)</f>
        <v>476.20000000000005</v>
      </c>
      <c r="M201" s="198">
        <f>+ROUNDUP(L201,0)</f>
        <v>477</v>
      </c>
      <c r="N201" s="189">
        <f>+(D95+E95-0.08)*2+(C95+E95*2-0.08)</f>
        <v>2.76</v>
      </c>
      <c r="O201" s="187">
        <f>+N201/J95+1</f>
        <v>12.04</v>
      </c>
      <c r="P201" s="198">
        <f>+ROUNDUP(O201,0)</f>
        <v>13</v>
      </c>
      <c r="Q201" s="188">
        <f>+(L95+M95-2*0.04)*D202+(((L95+M95-2*0.04)*D202)/6*50*(I95/1000))</f>
        <v>121.07333333333334</v>
      </c>
      <c r="R201" s="190">
        <f>+N201*M201+P201*Q201</f>
        <v>2890.4733333333334</v>
      </c>
      <c r="S201" s="197">
        <f>((I95*I95)/162)*R201</f>
        <v>1784.2427983539094</v>
      </c>
      <c r="T201" s="154" t="s">
        <v>156</v>
      </c>
    </row>
    <row r="202" spans="2:20" hidden="1">
      <c r="C202" s="154" t="s">
        <v>181</v>
      </c>
      <c r="D202" s="191">
        <f>ROUNDUP(+(E201/SQRT(L95^2+M95^2)),0)</f>
        <v>88</v>
      </c>
      <c r="E202" s="184"/>
      <c r="G202" s="199"/>
      <c r="H202" s="199"/>
      <c r="I202" s="200"/>
      <c r="J202" s="200">
        <f>0.5*(0.075+0.05)*0.075*C95*D202</f>
        <v>0.41249999999999998</v>
      </c>
      <c r="K202" s="200">
        <f>D202*C95*M95</f>
        <v>39.6</v>
      </c>
      <c r="L202" s="193"/>
      <c r="M202" s="198"/>
      <c r="N202" s="194"/>
      <c r="O202" s="193"/>
      <c r="P202" s="201"/>
      <c r="Q202" s="195"/>
      <c r="R202" s="190"/>
      <c r="S202" s="197"/>
    </row>
    <row r="203" spans="2:20" hidden="1">
      <c r="C203" s="154" t="s">
        <v>182</v>
      </c>
      <c r="D203" s="154">
        <f>ROUNDUP(+E201/1,0)</f>
        <v>89</v>
      </c>
    </row>
    <row r="204" spans="2:20" hidden="1">
      <c r="G204" s="206" t="s">
        <v>189</v>
      </c>
      <c r="H204" s="206" t="s">
        <v>190</v>
      </c>
      <c r="I204" s="206" t="s">
        <v>52</v>
      </c>
    </row>
    <row r="205" spans="2:20" hidden="1"/>
    <row r="206" spans="2:20" hidden="1">
      <c r="B206" s="202"/>
      <c r="E206" s="202"/>
    </row>
    <row r="207" spans="2:20" hidden="1"/>
    <row r="208" spans="2:20" hidden="1">
      <c r="E208" s="202"/>
    </row>
    <row r="209" spans="5:5" hidden="1"/>
    <row r="210" spans="5:5" hidden="1">
      <c r="E210" s="202"/>
    </row>
    <row r="212" spans="5:5">
      <c r="E212" s="202"/>
    </row>
    <row r="227" spans="2:7">
      <c r="B227" s="202" t="s">
        <v>158</v>
      </c>
    </row>
    <row r="228" spans="2:7" ht="28.8">
      <c r="B228" s="207" t="s">
        <v>191</v>
      </c>
      <c r="C228" s="208"/>
    </row>
    <row r="230" spans="2:7">
      <c r="B230" s="154" t="s">
        <v>192</v>
      </c>
      <c r="C230" s="191"/>
    </row>
    <row r="231" spans="2:7">
      <c r="B231" s="154" t="s">
        <v>193</v>
      </c>
      <c r="C231" s="154">
        <v>0.5</v>
      </c>
    </row>
    <row r="232" spans="2:7">
      <c r="C232" s="191"/>
    </row>
    <row r="233" spans="2:7">
      <c r="B233" s="154" t="s">
        <v>194</v>
      </c>
      <c r="C233" s="154">
        <f>ROUNDUP(C228/C231,0)</f>
        <v>0</v>
      </c>
    </row>
    <row r="236" spans="2:7">
      <c r="B236" s="154" t="s">
        <v>195</v>
      </c>
      <c r="C236" s="154">
        <f>C233*0.16*0.5</f>
        <v>0</v>
      </c>
      <c r="E236" s="202" t="s">
        <v>196</v>
      </c>
    </row>
    <row r="237" spans="2:7">
      <c r="B237" s="154" t="s">
        <v>82</v>
      </c>
      <c r="C237" s="154">
        <f>((0.16*2)+(0.15*0.5*2))*C233</f>
        <v>0</v>
      </c>
    </row>
    <row r="239" spans="2:7">
      <c r="B239" s="154" t="s">
        <v>197</v>
      </c>
      <c r="C239" s="193">
        <v>2.12</v>
      </c>
      <c r="D239" s="209">
        <f>ROUNDUP(0.5/0.125,0)+1</f>
        <v>5</v>
      </c>
      <c r="E239" s="154">
        <f>C233</f>
        <v>0</v>
      </c>
      <c r="F239" s="154">
        <v>1.1000000000000001</v>
      </c>
      <c r="G239" s="154">
        <f>PRODUCT(C239:F239)</f>
        <v>0</v>
      </c>
    </row>
    <row r="240" spans="2:7">
      <c r="C240" s="154">
        <v>0.5</v>
      </c>
      <c r="D240" s="209">
        <f>ROUNDUP(C239/0.2+1,0)</f>
        <v>12</v>
      </c>
      <c r="E240" s="154">
        <f>C233</f>
        <v>0</v>
      </c>
      <c r="F240" s="154">
        <v>1.1000000000000001</v>
      </c>
      <c r="G240" s="154">
        <f>PRODUCT(C240:F240)</f>
        <v>0</v>
      </c>
    </row>
    <row r="242" spans="2:10">
      <c r="G242" s="154">
        <f>SUM(G239:G241)</f>
        <v>0</v>
      </c>
      <c r="H242" s="154">
        <f>ROUND(100/162,3)</f>
        <v>0.61699999999999999</v>
      </c>
      <c r="J242" s="193">
        <f>ROUNDUP(PRODUCT(G242:H242),0)</f>
        <v>0</v>
      </c>
    </row>
    <row r="249" spans="2:10">
      <c r="B249" s="202" t="s">
        <v>198</v>
      </c>
    </row>
    <row r="250" spans="2:10">
      <c r="C250" s="202" t="s">
        <v>189</v>
      </c>
      <c r="D250" s="202" t="s">
        <v>486</v>
      </c>
      <c r="F250" s="202" t="s">
        <v>487</v>
      </c>
    </row>
    <row r="251" spans="2:10">
      <c r="B251" s="202" t="s">
        <v>488</v>
      </c>
      <c r="C251" s="191">
        <f>E107</f>
        <v>42.67</v>
      </c>
      <c r="D251" s="191">
        <f>(C6+E6+E6)</f>
        <v>0.5</v>
      </c>
      <c r="F251" s="154">
        <f>C251*D251</f>
        <v>21.335000000000001</v>
      </c>
      <c r="G251" s="154">
        <v>1.1000000000000001</v>
      </c>
      <c r="H251" s="154">
        <f>F251*G251</f>
        <v>23.468500000000002</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4DEC1-8F55-423F-A291-ACDF3911B18A}">
  <sheetPr>
    <tabColor rgb="FF002060"/>
  </sheetPr>
  <dimension ref="A1:M37"/>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3"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t="str">
        <f>'Bill No 4'!A1:F1</f>
        <v>LOT -06 - BILLS OF QUANTITIES</v>
      </c>
      <c r="B1" s="870"/>
      <c r="C1" s="870"/>
      <c r="D1" s="870"/>
      <c r="E1" s="870"/>
      <c r="F1" s="871"/>
    </row>
    <row r="2" spans="1:13" customFormat="1" ht="52.95" customHeight="1" thickBot="1">
      <c r="A2" s="948" t="s">
        <v>1499</v>
      </c>
      <c r="B2" s="949"/>
      <c r="C2" s="949"/>
      <c r="D2" s="949"/>
      <c r="E2" s="949"/>
      <c r="F2" s="950"/>
    </row>
    <row r="3" spans="1:13" customFormat="1" ht="15" thickBot="1">
      <c r="A3" s="752"/>
      <c r="B3" s="6" t="s">
        <v>8</v>
      </c>
      <c r="C3" s="6"/>
      <c r="D3" s="7"/>
      <c r="E3" s="8"/>
      <c r="F3" s="753" t="s">
        <v>9</v>
      </c>
    </row>
    <row r="4" spans="1:13" s="11" customFormat="1" ht="31.2" customHeight="1">
      <c r="A4" s="9"/>
      <c r="B4" s="875" t="str">
        <f>'Bill 4.2.1 '!$A$1</f>
        <v>BILL No. 4.2.1 - SITE CLEARING</v>
      </c>
      <c r="C4" s="875"/>
      <c r="D4" s="875"/>
      <c r="E4" s="876"/>
      <c r="F4" s="10"/>
      <c r="H4" s="12"/>
      <c r="I4" s="13"/>
      <c r="J4" s="12"/>
      <c r="L4" s="14"/>
    </row>
    <row r="5" spans="1:13" s="11" customFormat="1" ht="31.2" customHeight="1">
      <c r="A5" s="9"/>
      <c r="B5" s="890" t="str">
        <f>'Bill 4.2.2'!$A$1</f>
        <v>BILL No. 4.2.2 - EARTHWORKS</v>
      </c>
      <c r="C5" s="890"/>
      <c r="D5" s="890"/>
      <c r="E5" s="891"/>
      <c r="F5" s="10"/>
      <c r="H5" s="12"/>
      <c r="I5" s="13"/>
      <c r="J5" s="12"/>
      <c r="L5" s="14"/>
    </row>
    <row r="6" spans="1:13" s="11" customFormat="1" ht="31.2" customHeight="1">
      <c r="A6" s="9"/>
      <c r="B6" s="890" t="str">
        <f>'Bill 4.2.3'!$A$1</f>
        <v>BILL No. 4.2.3 - STRUCTURE CONSTRUCTION</v>
      </c>
      <c r="C6" s="890"/>
      <c r="D6" s="890"/>
      <c r="E6" s="891"/>
      <c r="F6" s="10"/>
      <c r="H6" s="12"/>
      <c r="I6" s="13"/>
      <c r="J6" s="12"/>
      <c r="L6" s="14"/>
    </row>
    <row r="7" spans="1:13" s="11" customFormat="1" ht="31.2" customHeight="1">
      <c r="A7" s="9"/>
      <c r="B7" s="721" t="str">
        <f>'Bill 4.2.4'!$A$1</f>
        <v>BILL No. 4.2.4 - SOIL NAILING AND HORIZONTAL DRAINS</v>
      </c>
      <c r="C7" s="721"/>
      <c r="D7" s="721"/>
      <c r="E7" s="721"/>
      <c r="F7" s="10"/>
      <c r="H7" s="12"/>
      <c r="I7" s="13"/>
      <c r="J7" s="12"/>
      <c r="L7" s="14"/>
    </row>
    <row r="8" spans="1:13" s="11" customFormat="1" ht="31.2" customHeight="1" thickBot="1">
      <c r="A8" s="9"/>
      <c r="B8" s="397" t="str">
        <f>'Bill 4.2.5'!$A$1</f>
        <v>BILL No. 4.2.5 - SLOPE PROTECTION BY VEGETATION</v>
      </c>
      <c r="C8" s="721"/>
      <c r="D8" s="721"/>
      <c r="E8" s="721"/>
      <c r="F8" s="10"/>
      <c r="H8" s="12"/>
      <c r="I8" s="12"/>
      <c r="J8" s="12"/>
    </row>
    <row r="9" spans="1:13" s="11" customFormat="1" ht="24.9" customHeight="1" thickBot="1">
      <c r="A9" s="15"/>
      <c r="B9" s="877" t="s">
        <v>10</v>
      </c>
      <c r="C9" s="877"/>
      <c r="D9" s="877"/>
      <c r="E9" s="878"/>
      <c r="F9" s="16"/>
      <c r="H9" s="12"/>
      <c r="I9" s="17"/>
      <c r="J9" s="12"/>
      <c r="K9" s="14"/>
      <c r="M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row r="35" spans="1:10" s="11" customFormat="1">
      <c r="A35" s="18"/>
      <c r="C35" s="18"/>
      <c r="D35" s="19"/>
      <c r="E35" s="20"/>
      <c r="F35" s="20"/>
      <c r="H35" s="12"/>
      <c r="I35" s="13"/>
      <c r="J35" s="12"/>
    </row>
    <row r="36" spans="1:10" s="11" customFormat="1">
      <c r="A36" s="18"/>
      <c r="C36" s="18"/>
      <c r="D36" s="19"/>
      <c r="E36" s="20"/>
      <c r="F36" s="20"/>
      <c r="H36" s="12"/>
      <c r="I36" s="13"/>
      <c r="J36" s="12"/>
    </row>
    <row r="37" spans="1:10" s="11" customFormat="1">
      <c r="A37" s="18"/>
      <c r="C37" s="18"/>
      <c r="D37" s="19"/>
      <c r="E37" s="20"/>
      <c r="F37" s="20"/>
      <c r="H37" s="12"/>
      <c r="I37" s="13"/>
      <c r="J37" s="12"/>
    </row>
  </sheetData>
  <mergeCells count="6">
    <mergeCell ref="B9:E9"/>
    <mergeCell ref="A1:F1"/>
    <mergeCell ref="A2:F2"/>
    <mergeCell ref="B4:E4"/>
    <mergeCell ref="B5:E5"/>
    <mergeCell ref="B6:E6"/>
  </mergeCells>
  <printOptions horizontalCentered="1"/>
  <pageMargins left="0.75" right="0.4" top="0.75" bottom="0.5" header="0" footer="0"/>
  <pageSetup paperSize="9" scale="70"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81FF-45BB-43A2-9D5E-6A5721E17B8F}">
  <sheetPr>
    <tabColor rgb="FFFF9933"/>
  </sheetPr>
  <dimension ref="A1:O14"/>
  <sheetViews>
    <sheetView view="pageBreakPreview" zoomScaleNormal="100" zoomScaleSheetLayoutView="100" workbookViewId="0">
      <selection activeCell="I1" sqref="I1:L1048576"/>
    </sheetView>
  </sheetViews>
  <sheetFormatPr defaultColWidth="9.109375" defaultRowHeight="13.2"/>
  <cols>
    <col min="1" max="1" width="7.6640625" style="31" customWidth="1"/>
    <col min="2" max="2" width="9.6640625" style="31" customWidth="1"/>
    <col min="3" max="3" width="50.6640625" style="31" customWidth="1"/>
    <col min="4" max="4" width="7.6640625" style="31" customWidth="1"/>
    <col min="5" max="5" width="8.6640625" style="689" customWidth="1"/>
    <col min="6" max="6" width="15.77734375" style="31" customWidth="1"/>
    <col min="7" max="7" width="21.44140625" style="31" customWidth="1"/>
    <col min="8" max="8" width="9.109375" style="31"/>
    <col min="9" max="9" width="0" style="31" hidden="1" customWidth="1"/>
    <col min="10" max="10" width="10.33203125" style="31" hidden="1" customWidth="1"/>
    <col min="11" max="12" width="0" style="31" hidden="1" customWidth="1"/>
    <col min="13" max="16384" width="9.109375" style="31"/>
  </cols>
  <sheetData>
    <row r="1" spans="1:15" s="27" customFormat="1" ht="70.2" customHeight="1" thickBot="1">
      <c r="A1" s="892" t="s">
        <v>618</v>
      </c>
      <c r="B1" s="893"/>
      <c r="C1" s="893"/>
      <c r="D1" s="894" t="str">
        <f>'Bill No. 4.2'!A2</f>
        <v>BILL NO. 4.2 - REDUCTION OF LANDSLIDE VULNERABILITY BY MITIGATION MEASURES 
ISIPATHANA MAHAMEWNA ASAPUWA (SITE NO. 85-LOCATION 2)</v>
      </c>
      <c r="E1" s="894"/>
      <c r="F1" s="894"/>
      <c r="G1" s="895"/>
    </row>
    <row r="2" spans="1:15" ht="26.4">
      <c r="A2" s="754" t="s">
        <v>11</v>
      </c>
      <c r="B2" s="28" t="s">
        <v>12</v>
      </c>
      <c r="C2" s="29" t="s">
        <v>8</v>
      </c>
      <c r="D2" s="28" t="s">
        <v>13</v>
      </c>
      <c r="E2" s="686" t="s">
        <v>14</v>
      </c>
      <c r="F2" s="30" t="s">
        <v>15</v>
      </c>
      <c r="G2" s="755" t="s">
        <v>16</v>
      </c>
    </row>
    <row r="3" spans="1:15" ht="30" customHeight="1">
      <c r="A3" s="756" t="s">
        <v>619</v>
      </c>
      <c r="B3" s="32"/>
      <c r="C3" s="219" t="s">
        <v>17</v>
      </c>
      <c r="D3" s="32"/>
      <c r="E3" s="692"/>
      <c r="F3" s="32"/>
      <c r="G3" s="757"/>
      <c r="I3" s="220" t="s">
        <v>0</v>
      </c>
      <c r="J3" s="345" t="s">
        <v>620</v>
      </c>
      <c r="K3" s="346" t="s">
        <v>621</v>
      </c>
    </row>
    <row r="4" spans="1:15" ht="46.2" customHeight="1">
      <c r="A4" s="758" t="s">
        <v>622</v>
      </c>
      <c r="B4" s="33" t="s">
        <v>18</v>
      </c>
      <c r="C4" s="47" t="s">
        <v>505</v>
      </c>
      <c r="D4" s="33" t="s">
        <v>20</v>
      </c>
      <c r="E4" s="241">
        <v>2065</v>
      </c>
      <c r="F4" s="35"/>
      <c r="G4" s="759"/>
      <c r="I4" s="44">
        <f>'Drains 85l2'!G106+'Drains 85l2'!G109+'Drains 85l2'!G112+'Drains 85l2'!G117+'Drains 85l2'!G168</f>
        <v>879.12950000000001</v>
      </c>
      <c r="J4" s="44">
        <f>'QTY 85l2'!J10</f>
        <v>1184.24</v>
      </c>
      <c r="K4" s="347"/>
      <c r="L4" s="44">
        <f>SUM(I4:K4)</f>
        <v>2063.3694999999998</v>
      </c>
    </row>
    <row r="5" spans="1:15" s="27" customFormat="1" ht="30" customHeight="1">
      <c r="A5" s="758" t="s">
        <v>623</v>
      </c>
      <c r="B5" s="36" t="s">
        <v>21</v>
      </c>
      <c r="C5" s="37" t="s">
        <v>22</v>
      </c>
      <c r="D5" s="36" t="s">
        <v>23</v>
      </c>
      <c r="E5" s="239">
        <v>40</v>
      </c>
      <c r="F5" s="38"/>
      <c r="G5" s="39"/>
      <c r="H5" s="40"/>
    </row>
    <row r="6" spans="1:15" s="27" customFormat="1" ht="30" customHeight="1">
      <c r="A6" s="758" t="s">
        <v>624</v>
      </c>
      <c r="B6" s="36" t="s">
        <v>24</v>
      </c>
      <c r="C6" s="37" t="s">
        <v>25</v>
      </c>
      <c r="D6" s="36" t="s">
        <v>23</v>
      </c>
      <c r="E6" s="239">
        <v>35</v>
      </c>
      <c r="F6" s="38"/>
      <c r="G6" s="39"/>
      <c r="H6" s="40"/>
    </row>
    <row r="7" spans="1:15" s="27" customFormat="1" ht="30" customHeight="1">
      <c r="A7" s="222" t="s">
        <v>625</v>
      </c>
      <c r="B7" s="56" t="s">
        <v>200</v>
      </c>
      <c r="C7" s="223" t="s">
        <v>201</v>
      </c>
      <c r="D7" s="36" t="s">
        <v>23</v>
      </c>
      <c r="E7" s="239">
        <v>10</v>
      </c>
      <c r="F7" s="57"/>
      <c r="G7" s="39"/>
      <c r="H7" s="40"/>
      <c r="I7" s="40"/>
      <c r="J7" s="349"/>
    </row>
    <row r="8" spans="1:15" s="27" customFormat="1" ht="30" customHeight="1">
      <c r="A8" s="222" t="s">
        <v>626</v>
      </c>
      <c r="B8" s="56" t="s">
        <v>202</v>
      </c>
      <c r="C8" s="223" t="s">
        <v>203</v>
      </c>
      <c r="D8" s="36" t="s">
        <v>23</v>
      </c>
      <c r="E8" s="239">
        <v>10</v>
      </c>
      <c r="F8" s="57"/>
      <c r="G8" s="39"/>
      <c r="H8" s="40"/>
      <c r="I8" s="40"/>
      <c r="J8" s="349"/>
    </row>
    <row r="9" spans="1:15" s="27" customFormat="1" ht="30" customHeight="1">
      <c r="A9" s="222" t="s">
        <v>627</v>
      </c>
      <c r="B9" s="56" t="s">
        <v>26</v>
      </c>
      <c r="C9" s="223" t="s">
        <v>204</v>
      </c>
      <c r="D9" s="36" t="s">
        <v>23</v>
      </c>
      <c r="E9" s="239">
        <v>10</v>
      </c>
      <c r="F9" s="57"/>
      <c r="G9" s="39"/>
      <c r="H9" s="40"/>
      <c r="I9" s="40"/>
      <c r="J9" s="349"/>
    </row>
    <row r="10" spans="1:15" s="27" customFormat="1" ht="30" customHeight="1">
      <c r="A10" s="222" t="s">
        <v>628</v>
      </c>
      <c r="B10" s="56" t="s">
        <v>205</v>
      </c>
      <c r="C10" s="223" t="s">
        <v>206</v>
      </c>
      <c r="D10" s="36" t="s">
        <v>23</v>
      </c>
      <c r="E10" s="239">
        <v>10</v>
      </c>
      <c r="F10" s="57"/>
      <c r="G10" s="39"/>
      <c r="H10" s="40"/>
      <c r="I10" s="40"/>
      <c r="J10" s="349"/>
      <c r="O10" s="27">
        <v>0</v>
      </c>
    </row>
    <row r="11" spans="1:15" customFormat="1" ht="30" customHeight="1">
      <c r="A11" s="770" t="s">
        <v>629</v>
      </c>
      <c r="B11" s="350"/>
      <c r="C11" s="351" t="s">
        <v>399</v>
      </c>
      <c r="D11" s="350"/>
      <c r="E11" s="693"/>
      <c r="F11" s="57"/>
      <c r="G11" s="771"/>
    </row>
    <row r="12" spans="1:15" customFormat="1" ht="30" customHeight="1">
      <c r="A12" s="222" t="s">
        <v>630</v>
      </c>
      <c r="B12" s="350" t="s">
        <v>401</v>
      </c>
      <c r="C12" s="353" t="s">
        <v>402</v>
      </c>
      <c r="D12" s="350" t="s">
        <v>28</v>
      </c>
      <c r="E12" s="693">
        <v>10</v>
      </c>
      <c r="F12" s="57"/>
      <c r="G12" s="771"/>
    </row>
    <row r="13" spans="1:15" customFormat="1" ht="30" customHeight="1">
      <c r="A13" s="222" t="s">
        <v>631</v>
      </c>
      <c r="B13" s="354" t="s">
        <v>404</v>
      </c>
      <c r="C13" s="355" t="s">
        <v>405</v>
      </c>
      <c r="D13" s="354" t="s">
        <v>28</v>
      </c>
      <c r="E13" s="694">
        <v>10</v>
      </c>
      <c r="F13" s="357"/>
      <c r="G13" s="771"/>
    </row>
    <row r="14" spans="1:15" ht="22.5" customHeight="1" thickBot="1">
      <c r="A14" s="760"/>
      <c r="B14" s="896" t="s">
        <v>632</v>
      </c>
      <c r="C14" s="897"/>
      <c r="D14" s="897"/>
      <c r="E14" s="897"/>
      <c r="F14" s="898"/>
      <c r="G14" s="761"/>
    </row>
  </sheetData>
  <mergeCells count="3">
    <mergeCell ref="A1:C1"/>
    <mergeCell ref="D1:G1"/>
    <mergeCell ref="B14:F14"/>
  </mergeCells>
  <printOptions horizontalCentered="1"/>
  <pageMargins left="0.75" right="0.4" top="0.75" bottom="0.5" header="0" footer="0"/>
  <pageSetup paperSize="9" scale="70"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F4DBC-9BE4-4A28-B9F4-65AB671A5D24}">
  <sheetPr>
    <tabColor rgb="FFFF9933"/>
  </sheetPr>
  <dimension ref="A1:L15"/>
  <sheetViews>
    <sheetView view="pageBreakPreview" zoomScaleNormal="100" zoomScaleSheetLayoutView="100" workbookViewId="0">
      <selection activeCell="H1" sqref="H1:H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689" customWidth="1"/>
    <col min="6" max="6" width="16.88671875" style="31" customWidth="1"/>
    <col min="7" max="7" width="21.21875" style="31" customWidth="1"/>
    <col min="8" max="8" width="9.44140625" style="31" hidden="1" customWidth="1"/>
    <col min="9" max="16384" width="9.109375" style="31"/>
  </cols>
  <sheetData>
    <row r="1" spans="1:12" s="27" customFormat="1" ht="73.2" customHeight="1" thickBot="1">
      <c r="A1" s="892" t="s">
        <v>633</v>
      </c>
      <c r="B1" s="893"/>
      <c r="C1" s="893"/>
      <c r="D1" s="894" t="str">
        <f>+'Bill 4.2.1 '!D1:G1</f>
        <v>BILL NO. 4.2 - REDUCTION OF LANDSLIDE VULNERABILITY BY MITIGATION MEASURES 
ISIPATHANA MAHAMEWNA ASAPUWA (SITE NO. 85-LOCATION 2)</v>
      </c>
      <c r="E1" s="894"/>
      <c r="F1" s="894"/>
      <c r="G1" s="895"/>
    </row>
    <row r="2" spans="1:12" ht="26.4">
      <c r="A2" s="754" t="s">
        <v>11</v>
      </c>
      <c r="B2" s="28" t="s">
        <v>12</v>
      </c>
      <c r="C2" s="29" t="s">
        <v>8</v>
      </c>
      <c r="D2" s="28" t="s">
        <v>13</v>
      </c>
      <c r="E2" s="686" t="s">
        <v>14</v>
      </c>
      <c r="F2" s="30" t="s">
        <v>15</v>
      </c>
      <c r="G2" s="755" t="s">
        <v>16</v>
      </c>
    </row>
    <row r="3" spans="1:12" ht="24.75" customHeight="1">
      <c r="A3" s="762" t="s">
        <v>634</v>
      </c>
      <c r="B3" s="41"/>
      <c r="C3" s="42" t="s">
        <v>229</v>
      </c>
      <c r="D3" s="41"/>
      <c r="E3" s="688"/>
      <c r="F3" s="41"/>
      <c r="G3" s="765"/>
    </row>
    <row r="4" spans="1:12" ht="36" customHeight="1">
      <c r="A4" s="758" t="s">
        <v>635</v>
      </c>
      <c r="B4" s="33" t="s">
        <v>222</v>
      </c>
      <c r="C4" s="778" t="s">
        <v>636</v>
      </c>
      <c r="D4" s="33" t="s">
        <v>27</v>
      </c>
      <c r="E4" s="241">
        <v>1362</v>
      </c>
      <c r="F4" s="35"/>
      <c r="G4" s="764"/>
      <c r="H4" s="44">
        <f>'QTY 85l2'!J21</f>
        <v>1361.08</v>
      </c>
    </row>
    <row r="5" spans="1:12" ht="32.25" customHeight="1">
      <c r="A5" s="758" t="s">
        <v>637</v>
      </c>
      <c r="B5" s="33" t="s">
        <v>224</v>
      </c>
      <c r="C5" s="45" t="s">
        <v>638</v>
      </c>
      <c r="D5" s="33" t="s">
        <v>27</v>
      </c>
      <c r="E5" s="240">
        <v>100</v>
      </c>
      <c r="F5" s="35"/>
      <c r="G5" s="764"/>
      <c r="H5" s="44"/>
    </row>
    <row r="6" spans="1:12" ht="32.25" customHeight="1">
      <c r="A6" s="758" t="s">
        <v>639</v>
      </c>
      <c r="B6" s="46" t="s">
        <v>226</v>
      </c>
      <c r="C6" s="47" t="s">
        <v>640</v>
      </c>
      <c r="D6" s="46" t="s">
        <v>28</v>
      </c>
      <c r="E6" s="238">
        <v>50</v>
      </c>
      <c r="F6" s="35"/>
      <c r="G6" s="764"/>
      <c r="H6" s="44"/>
    </row>
    <row r="7" spans="1:12" ht="32.25" customHeight="1">
      <c r="A7" s="758" t="s">
        <v>641</v>
      </c>
      <c r="B7" s="48" t="s">
        <v>228</v>
      </c>
      <c r="C7" s="49" t="s">
        <v>642</v>
      </c>
      <c r="D7" s="50" t="s">
        <v>27</v>
      </c>
      <c r="E7" s="238">
        <v>1362</v>
      </c>
      <c r="F7" s="35"/>
      <c r="G7" s="764"/>
      <c r="H7" s="44">
        <f>E4</f>
        <v>1362</v>
      </c>
    </row>
    <row r="8" spans="1:12" ht="26.25" customHeight="1">
      <c r="A8" s="762" t="s">
        <v>643</v>
      </c>
      <c r="B8" s="41"/>
      <c r="C8" s="42" t="s">
        <v>29</v>
      </c>
      <c r="D8" s="51"/>
      <c r="E8" s="688"/>
      <c r="F8" s="41"/>
      <c r="G8" s="765"/>
    </row>
    <row r="9" spans="1:12" ht="48" customHeight="1">
      <c r="A9" s="758" t="s">
        <v>644</v>
      </c>
      <c r="B9" s="52" t="s">
        <v>30</v>
      </c>
      <c r="C9" s="53" t="s">
        <v>31</v>
      </c>
      <c r="D9" s="52" t="s">
        <v>28</v>
      </c>
      <c r="E9" s="241">
        <v>172</v>
      </c>
      <c r="F9" s="35"/>
      <c r="G9" s="764"/>
      <c r="H9" s="44">
        <f>'Drains 85l2'!H106+'Drains 85l2'!H109+'Drains 85l2'!H112+'Drains 85l2'!H117+'Drains 85l2'!H168+'Drains 85l2'!H262</f>
        <v>171.14302499999999</v>
      </c>
    </row>
    <row r="10" spans="1:12" ht="51" customHeight="1">
      <c r="A10" s="758" t="s">
        <v>645</v>
      </c>
      <c r="B10" s="52" t="s">
        <v>30</v>
      </c>
      <c r="C10" s="53" t="s">
        <v>646</v>
      </c>
      <c r="D10" s="52" t="s">
        <v>28</v>
      </c>
      <c r="E10" s="241">
        <v>405</v>
      </c>
      <c r="F10" s="35"/>
      <c r="G10" s="764"/>
      <c r="H10" s="44">
        <f>'QTY 85l2'!J32</f>
        <v>403.15330000000006</v>
      </c>
      <c r="L10" s="54"/>
    </row>
    <row r="11" spans="1:12" ht="35.25" customHeight="1">
      <c r="A11" s="758" t="s">
        <v>647</v>
      </c>
      <c r="B11" s="52" t="s">
        <v>418</v>
      </c>
      <c r="C11" s="53" t="s">
        <v>648</v>
      </c>
      <c r="D11" s="52" t="s">
        <v>28</v>
      </c>
      <c r="E11" s="241">
        <v>222</v>
      </c>
      <c r="F11" s="35"/>
      <c r="G11" s="764"/>
      <c r="H11" s="44">
        <f>'QTY 85l2'!J40</f>
        <v>221.24245000000002</v>
      </c>
      <c r="L11" s="54"/>
    </row>
    <row r="12" spans="1:12" ht="35.25" customHeight="1">
      <c r="A12" s="758" t="s">
        <v>649</v>
      </c>
      <c r="B12" s="46" t="s">
        <v>32</v>
      </c>
      <c r="C12" s="47" t="s">
        <v>650</v>
      </c>
      <c r="D12" s="46" t="s">
        <v>28</v>
      </c>
      <c r="E12" s="238">
        <v>20</v>
      </c>
      <c r="F12" s="35"/>
      <c r="G12" s="764"/>
      <c r="L12" s="54"/>
    </row>
    <row r="13" spans="1:12" ht="35.25" customHeight="1">
      <c r="A13" s="758" t="s">
        <v>651</v>
      </c>
      <c r="B13" s="46" t="s">
        <v>33</v>
      </c>
      <c r="C13" s="47" t="s">
        <v>640</v>
      </c>
      <c r="D13" s="46" t="s">
        <v>28</v>
      </c>
      <c r="E13" s="238">
        <v>30</v>
      </c>
      <c r="F13" s="35"/>
      <c r="G13" s="764"/>
      <c r="L13" s="54"/>
    </row>
    <row r="14" spans="1:12" ht="35.25" customHeight="1">
      <c r="A14" s="758" t="s">
        <v>652</v>
      </c>
      <c r="B14" s="48" t="s">
        <v>34</v>
      </c>
      <c r="C14" s="49" t="s">
        <v>35</v>
      </c>
      <c r="D14" s="50" t="s">
        <v>27</v>
      </c>
      <c r="E14" s="238">
        <v>354</v>
      </c>
      <c r="F14" s="35"/>
      <c r="G14" s="764"/>
      <c r="H14" s="44">
        <f>(H9+H10)-H11</f>
        <v>353.05387500000001</v>
      </c>
      <c r="L14" s="54"/>
    </row>
    <row r="15" spans="1:12" ht="28.5" customHeight="1" thickBot="1">
      <c r="A15" s="760"/>
      <c r="B15" s="896" t="s">
        <v>653</v>
      </c>
      <c r="C15" s="897"/>
      <c r="D15" s="897"/>
      <c r="E15" s="897"/>
      <c r="F15" s="898"/>
      <c r="G15" s="761"/>
    </row>
  </sheetData>
  <mergeCells count="3">
    <mergeCell ref="A1:C1"/>
    <mergeCell ref="D1:G1"/>
    <mergeCell ref="B15:F15"/>
  </mergeCells>
  <printOptions horizontalCentered="1"/>
  <pageMargins left="0.75" right="0.4" top="0.75" bottom="0.5" header="0" footer="0"/>
  <pageSetup paperSize="9" scale="70"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DCF9D-56C8-4388-BC01-7CECA77ECC16}">
  <sheetPr>
    <tabColor rgb="FFFF9933"/>
  </sheetPr>
  <dimension ref="A1:I44"/>
  <sheetViews>
    <sheetView view="pageBreakPreview" zoomScaleNormal="110" zoomScaleSheetLayoutView="100" workbookViewId="0">
      <pane ySplit="2" topLeftCell="A21" activePane="bottomLeft" state="frozen"/>
      <selection activeCell="E36" sqref="E36"/>
      <selection pane="bottomLeft" activeCell="H1" sqref="H1:H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689" customWidth="1"/>
    <col min="6" max="6" width="14.21875" style="31" customWidth="1"/>
    <col min="7" max="7" width="19.33203125" style="31" customWidth="1"/>
    <col min="8" max="8" width="11.44140625" style="59" hidden="1" customWidth="1"/>
    <col min="9" max="16384" width="9.109375" style="31"/>
  </cols>
  <sheetData>
    <row r="1" spans="1:8" s="27" customFormat="1" ht="69.599999999999994" customHeight="1" thickBot="1">
      <c r="A1" s="892" t="s">
        <v>654</v>
      </c>
      <c r="B1" s="893"/>
      <c r="C1" s="893"/>
      <c r="D1" s="894" t="str">
        <f>+'Bill 4.2.1 '!D1:G1</f>
        <v>BILL NO. 4.2 - REDUCTION OF LANDSLIDE VULNERABILITY BY MITIGATION MEASURES 
ISIPATHANA MAHAMEWNA ASAPUWA (SITE NO. 85-LOCATION 2)</v>
      </c>
      <c r="E1" s="894"/>
      <c r="F1" s="894"/>
      <c r="G1" s="895"/>
    </row>
    <row r="2" spans="1:8" ht="26.4">
      <c r="A2" s="754" t="s">
        <v>11</v>
      </c>
      <c r="B2" s="28" t="s">
        <v>12</v>
      </c>
      <c r="C2" s="29" t="s">
        <v>8</v>
      </c>
      <c r="D2" s="28" t="s">
        <v>13</v>
      </c>
      <c r="E2" s="686" t="s">
        <v>14</v>
      </c>
      <c r="F2" s="30" t="s">
        <v>15</v>
      </c>
      <c r="G2" s="755" t="s">
        <v>16</v>
      </c>
    </row>
    <row r="3" spans="1:8" ht="29.4" customHeight="1">
      <c r="A3" s="766" t="s">
        <v>655</v>
      </c>
      <c r="B3" s="60"/>
      <c r="C3" s="42" t="s">
        <v>210</v>
      </c>
      <c r="D3" s="61"/>
      <c r="E3" s="242"/>
      <c r="F3" s="61"/>
      <c r="G3" s="767"/>
    </row>
    <row r="4" spans="1:8" ht="29.4" customHeight="1">
      <c r="A4" s="758" t="s">
        <v>656</v>
      </c>
      <c r="B4" s="62" t="s">
        <v>37</v>
      </c>
      <c r="C4" s="45" t="s">
        <v>38</v>
      </c>
      <c r="D4" s="33" t="s">
        <v>27</v>
      </c>
      <c r="E4" s="241">
        <v>3</v>
      </c>
      <c r="F4" s="35"/>
      <c r="G4" s="764"/>
      <c r="H4" s="59">
        <f>'Drains 85l2'!I106</f>
        <v>2.6095000000000002</v>
      </c>
    </row>
    <row r="5" spans="1:8" ht="29.4" customHeight="1">
      <c r="A5" s="758" t="s">
        <v>657</v>
      </c>
      <c r="B5" s="62" t="s">
        <v>39</v>
      </c>
      <c r="C5" s="45" t="s">
        <v>40</v>
      </c>
      <c r="D5" s="33" t="s">
        <v>27</v>
      </c>
      <c r="E5" s="241">
        <v>12</v>
      </c>
      <c r="F5" s="35"/>
      <c r="G5" s="764"/>
      <c r="H5" s="59">
        <f>'Drains 85l2'!J106+'Drains 85l2'!J107</f>
        <v>11.531018749999999</v>
      </c>
    </row>
    <row r="6" spans="1:8" ht="29.4" customHeight="1">
      <c r="A6" s="758" t="s">
        <v>658</v>
      </c>
      <c r="B6" s="62" t="s">
        <v>41</v>
      </c>
      <c r="C6" s="45" t="s">
        <v>42</v>
      </c>
      <c r="D6" s="33" t="s">
        <v>43</v>
      </c>
      <c r="E6" s="241">
        <v>775</v>
      </c>
      <c r="F6" s="35"/>
      <c r="G6" s="764"/>
      <c r="H6" s="59">
        <f>'Drains 85l2'!U107</f>
        <v>769.44444444444434</v>
      </c>
    </row>
    <row r="7" spans="1:8" ht="29.4" customHeight="1">
      <c r="A7" s="758" t="s">
        <v>659</v>
      </c>
      <c r="B7" s="62" t="s">
        <v>44</v>
      </c>
      <c r="C7" s="45" t="s">
        <v>45</v>
      </c>
      <c r="D7" s="33" t="s">
        <v>20</v>
      </c>
      <c r="E7" s="241">
        <v>148</v>
      </c>
      <c r="F7" s="35"/>
      <c r="G7" s="764"/>
      <c r="H7" s="59">
        <f>'Drains 85l2'!K106+'Drains 85l2'!K107</f>
        <v>147.75949999999997</v>
      </c>
    </row>
    <row r="8" spans="1:8" ht="29.4" customHeight="1">
      <c r="A8" s="766" t="s">
        <v>660</v>
      </c>
      <c r="B8" s="60"/>
      <c r="C8" s="42" t="s">
        <v>36</v>
      </c>
      <c r="D8" s="61"/>
      <c r="E8" s="242"/>
      <c r="F8" s="61"/>
      <c r="G8" s="767"/>
    </row>
    <row r="9" spans="1:8" ht="29.4" customHeight="1">
      <c r="A9" s="758" t="s">
        <v>661</v>
      </c>
      <c r="B9" s="62" t="s">
        <v>37</v>
      </c>
      <c r="C9" s="45" t="s">
        <v>38</v>
      </c>
      <c r="D9" s="33" t="s">
        <v>27</v>
      </c>
      <c r="E9" s="241">
        <v>2</v>
      </c>
      <c r="F9" s="35"/>
      <c r="G9" s="764"/>
      <c r="H9" s="59">
        <f>'Drains 85l2'!I109</f>
        <v>1.4313000000000002</v>
      </c>
    </row>
    <row r="10" spans="1:8" ht="29.4" customHeight="1">
      <c r="A10" s="758" t="s">
        <v>662</v>
      </c>
      <c r="B10" s="62" t="s">
        <v>39</v>
      </c>
      <c r="C10" s="45" t="s">
        <v>40</v>
      </c>
      <c r="D10" s="33" t="s">
        <v>27</v>
      </c>
      <c r="E10" s="241">
        <v>7</v>
      </c>
      <c r="F10" s="35"/>
      <c r="G10" s="764"/>
      <c r="H10" s="59">
        <f>'Drains 85l2'!J109+'Drains 85l2'!J110</f>
        <v>6.8578406250000006</v>
      </c>
    </row>
    <row r="11" spans="1:8" ht="29.4" customHeight="1">
      <c r="A11" s="758" t="s">
        <v>663</v>
      </c>
      <c r="B11" s="62" t="s">
        <v>41</v>
      </c>
      <c r="C11" s="45" t="s">
        <v>42</v>
      </c>
      <c r="D11" s="33" t="s">
        <v>43</v>
      </c>
      <c r="E11" s="241">
        <v>450</v>
      </c>
      <c r="F11" s="35"/>
      <c r="G11" s="764"/>
      <c r="H11" s="59">
        <f>'Drains 85l2'!U110</f>
        <v>447.53086419753089</v>
      </c>
    </row>
    <row r="12" spans="1:8" ht="29.4" customHeight="1">
      <c r="A12" s="758" t="s">
        <v>664</v>
      </c>
      <c r="B12" s="62" t="s">
        <v>44</v>
      </c>
      <c r="C12" s="45" t="s">
        <v>45</v>
      </c>
      <c r="D12" s="33" t="s">
        <v>20</v>
      </c>
      <c r="E12" s="241">
        <v>90</v>
      </c>
      <c r="F12" s="35"/>
      <c r="G12" s="764"/>
      <c r="H12" s="59">
        <f>'Drains 85l2'!K109+'Drains 85l2'!K110</f>
        <v>89.126249999999999</v>
      </c>
    </row>
    <row r="13" spans="1:8" ht="29.4" customHeight="1">
      <c r="A13" s="766" t="s">
        <v>665</v>
      </c>
      <c r="B13" s="60"/>
      <c r="C13" s="42" t="s">
        <v>46</v>
      </c>
      <c r="D13" s="61"/>
      <c r="E13" s="242"/>
      <c r="F13" s="61"/>
      <c r="G13" s="767"/>
    </row>
    <row r="14" spans="1:8" ht="29.4" customHeight="1">
      <c r="A14" s="758" t="s">
        <v>666</v>
      </c>
      <c r="B14" s="62" t="s">
        <v>37</v>
      </c>
      <c r="C14" s="45" t="s">
        <v>38</v>
      </c>
      <c r="D14" s="33" t="s">
        <v>27</v>
      </c>
      <c r="E14" s="241">
        <v>3</v>
      </c>
      <c r="F14" s="35"/>
      <c r="G14" s="764"/>
      <c r="H14" s="59">
        <f>'Drains 85l2'!I112</f>
        <v>2.8963999999999999</v>
      </c>
    </row>
    <row r="15" spans="1:8" ht="29.4" customHeight="1">
      <c r="A15" s="758" t="s">
        <v>667</v>
      </c>
      <c r="B15" s="62" t="s">
        <v>39</v>
      </c>
      <c r="C15" s="45" t="s">
        <v>40</v>
      </c>
      <c r="D15" s="33" t="s">
        <v>27</v>
      </c>
      <c r="E15" s="241">
        <v>15</v>
      </c>
      <c r="F15" s="35"/>
      <c r="G15" s="764"/>
      <c r="H15" s="59">
        <f>'Drains 85l2'!J112+'Drains 85l2'!J113</f>
        <v>14.552312499999999</v>
      </c>
    </row>
    <row r="16" spans="1:8" ht="29.4" customHeight="1">
      <c r="A16" s="758" t="s">
        <v>668</v>
      </c>
      <c r="B16" s="62" t="s">
        <v>41</v>
      </c>
      <c r="C16" s="45" t="s">
        <v>42</v>
      </c>
      <c r="D16" s="33" t="s">
        <v>43</v>
      </c>
      <c r="E16" s="241">
        <v>890</v>
      </c>
      <c r="F16" s="35"/>
      <c r="G16" s="764"/>
      <c r="H16" s="59">
        <f>'Drains 85l2'!U113</f>
        <v>886.84413580246905</v>
      </c>
    </row>
    <row r="17" spans="1:9" ht="29.4" customHeight="1">
      <c r="A17" s="758" t="s">
        <v>669</v>
      </c>
      <c r="B17" s="62" t="s">
        <v>44</v>
      </c>
      <c r="C17" s="45" t="s">
        <v>45</v>
      </c>
      <c r="D17" s="33" t="s">
        <v>20</v>
      </c>
      <c r="E17" s="241">
        <v>191</v>
      </c>
      <c r="F17" s="35"/>
      <c r="G17" s="764"/>
      <c r="H17" s="59">
        <f>'Drains 85l2'!K112+'Drains 85l2'!K113</f>
        <v>190.59099999999995</v>
      </c>
    </row>
    <row r="18" spans="1:9" ht="29.4" customHeight="1">
      <c r="A18" s="766" t="s">
        <v>670</v>
      </c>
      <c r="B18" s="60"/>
      <c r="C18" s="42" t="s">
        <v>671</v>
      </c>
      <c r="D18" s="61"/>
      <c r="E18" s="242"/>
      <c r="F18" s="61"/>
      <c r="G18" s="767"/>
    </row>
    <row r="19" spans="1:9" ht="29.4" customHeight="1">
      <c r="A19" s="758" t="s">
        <v>672</v>
      </c>
      <c r="B19" s="62" t="s">
        <v>37</v>
      </c>
      <c r="C19" s="45" t="s">
        <v>38</v>
      </c>
      <c r="D19" s="33" t="s">
        <v>27</v>
      </c>
      <c r="E19" s="241">
        <v>4</v>
      </c>
      <c r="F19" s="35"/>
      <c r="G19" s="764"/>
      <c r="H19" s="59">
        <f>'Drains 85l2'!I117</f>
        <v>3.6475000000000004</v>
      </c>
    </row>
    <row r="20" spans="1:9" ht="29.4" customHeight="1">
      <c r="A20" s="758" t="s">
        <v>673</v>
      </c>
      <c r="B20" s="62" t="s">
        <v>39</v>
      </c>
      <c r="C20" s="45" t="s">
        <v>40</v>
      </c>
      <c r="D20" s="33" t="s">
        <v>27</v>
      </c>
      <c r="E20" s="241">
        <v>23</v>
      </c>
      <c r="F20" s="35"/>
      <c r="G20" s="764"/>
      <c r="H20" s="59">
        <f>'Drains 85l2'!J117+'Drains 85l2'!J118</f>
        <v>22.884765625</v>
      </c>
    </row>
    <row r="21" spans="1:9" ht="29.4" customHeight="1">
      <c r="A21" s="758" t="s">
        <v>674</v>
      </c>
      <c r="B21" s="62" t="s">
        <v>41</v>
      </c>
      <c r="C21" s="45" t="s">
        <v>42</v>
      </c>
      <c r="D21" s="33" t="s">
        <v>43</v>
      </c>
      <c r="E21" s="241">
        <v>1170</v>
      </c>
      <c r="F21" s="35"/>
      <c r="G21" s="764"/>
      <c r="H21" s="59">
        <f>'Drains 85l2'!S117+'Drains 85l2'!S118</f>
        <v>1165.4382716049383</v>
      </c>
    </row>
    <row r="22" spans="1:9" ht="29.4" customHeight="1">
      <c r="A22" s="758" t="s">
        <v>675</v>
      </c>
      <c r="B22" s="62" t="s">
        <v>44</v>
      </c>
      <c r="C22" s="45" t="s">
        <v>45</v>
      </c>
      <c r="D22" s="33" t="s">
        <v>20</v>
      </c>
      <c r="E22" s="241">
        <v>240</v>
      </c>
      <c r="F22" s="35"/>
      <c r="G22" s="764"/>
      <c r="H22" s="59">
        <f>'Drains 85l2'!K117+'Drains 85l2'!K118</f>
        <v>239.99375000000001</v>
      </c>
    </row>
    <row r="23" spans="1:9" ht="29.4" customHeight="1">
      <c r="A23" s="766" t="s">
        <v>676</v>
      </c>
      <c r="B23" s="51"/>
      <c r="C23" s="55" t="s">
        <v>677</v>
      </c>
      <c r="D23" s="41"/>
      <c r="E23" s="243"/>
      <c r="F23" s="41"/>
      <c r="G23" s="765"/>
    </row>
    <row r="24" spans="1:9" ht="29.4" customHeight="1">
      <c r="A24" s="758" t="s">
        <v>678</v>
      </c>
      <c r="B24" s="62" t="s">
        <v>39</v>
      </c>
      <c r="C24" s="45" t="s">
        <v>40</v>
      </c>
      <c r="D24" s="33" t="s">
        <v>27</v>
      </c>
      <c r="E24" s="241">
        <v>22</v>
      </c>
      <c r="F24" s="35"/>
      <c r="G24" s="764"/>
      <c r="H24" s="59">
        <f>'Drains 85l2'!J262</f>
        <v>21.450000000000003</v>
      </c>
    </row>
    <row r="25" spans="1:9" ht="29.4" customHeight="1">
      <c r="A25" s="758" t="s">
        <v>679</v>
      </c>
      <c r="B25" s="62" t="s">
        <v>41</v>
      </c>
      <c r="C25" s="45" t="s">
        <v>42</v>
      </c>
      <c r="D25" s="33" t="s">
        <v>43</v>
      </c>
      <c r="E25" s="241">
        <v>330</v>
      </c>
      <c r="F25" s="35"/>
      <c r="G25" s="764"/>
      <c r="H25" s="59">
        <f>'Drains 85l2'!U262</f>
        <v>328.46</v>
      </c>
    </row>
    <row r="26" spans="1:9" ht="29.4" customHeight="1">
      <c r="A26" s="758" t="s">
        <v>680</v>
      </c>
      <c r="B26" s="62" t="s">
        <v>44</v>
      </c>
      <c r="C26" s="45" t="s">
        <v>45</v>
      </c>
      <c r="D26" s="33" t="s">
        <v>20</v>
      </c>
      <c r="E26" s="241">
        <v>44</v>
      </c>
      <c r="F26" s="35"/>
      <c r="G26" s="764"/>
      <c r="H26" s="59">
        <f>'Drains 85l2'!K262</f>
        <v>43.3125</v>
      </c>
    </row>
    <row r="27" spans="1:9" ht="30" customHeight="1">
      <c r="A27" s="766" t="s">
        <v>681</v>
      </c>
      <c r="B27" s="60"/>
      <c r="C27" s="360" t="s">
        <v>682</v>
      </c>
      <c r="D27" s="41"/>
      <c r="E27" s="242"/>
      <c r="F27" s="61"/>
      <c r="G27" s="765"/>
    </row>
    <row r="28" spans="1:9" ht="30" customHeight="1">
      <c r="A28" s="758" t="s">
        <v>683</v>
      </c>
      <c r="B28" s="62" t="s">
        <v>37</v>
      </c>
      <c r="C28" s="45" t="s">
        <v>38</v>
      </c>
      <c r="D28" s="33" t="s">
        <v>27</v>
      </c>
      <c r="E28" s="241">
        <v>2</v>
      </c>
      <c r="F28" s="35"/>
      <c r="G28" s="764"/>
      <c r="H28" s="59">
        <f>'Drains 85l2'!I168</f>
        <v>1.0260250000000002</v>
      </c>
    </row>
    <row r="29" spans="1:9" ht="30" customHeight="1">
      <c r="A29" s="758" t="s">
        <v>684</v>
      </c>
      <c r="B29" s="62" t="s">
        <v>39</v>
      </c>
      <c r="C29" s="45" t="s">
        <v>40</v>
      </c>
      <c r="D29" s="33" t="s">
        <v>27</v>
      </c>
      <c r="E29" s="241">
        <v>7</v>
      </c>
      <c r="F29" s="35"/>
      <c r="G29" s="764"/>
      <c r="H29" s="59">
        <f>'Drains 85l2'!J168+'Drains 85l2'!J169</f>
        <v>6.2028387499999997</v>
      </c>
    </row>
    <row r="30" spans="1:9" ht="30" customHeight="1">
      <c r="A30" s="758" t="s">
        <v>685</v>
      </c>
      <c r="B30" s="62" t="s">
        <v>41</v>
      </c>
      <c r="C30" s="45" t="s">
        <v>42</v>
      </c>
      <c r="D30" s="33" t="s">
        <v>43</v>
      </c>
      <c r="E30" s="241">
        <v>335</v>
      </c>
      <c r="F30" s="35"/>
      <c r="G30" s="764"/>
      <c r="H30" s="59">
        <f>'Drains 85l2'!S168</f>
        <v>333.01697530864192</v>
      </c>
    </row>
    <row r="31" spans="1:9" ht="30" customHeight="1">
      <c r="A31" s="758" t="s">
        <v>686</v>
      </c>
      <c r="B31" s="62" t="s">
        <v>44</v>
      </c>
      <c r="C31" s="45" t="s">
        <v>45</v>
      </c>
      <c r="D31" s="33" t="s">
        <v>20</v>
      </c>
      <c r="E31" s="241">
        <v>93</v>
      </c>
      <c r="F31" s="35"/>
      <c r="G31" s="764"/>
      <c r="H31" s="59">
        <f>'Drains 85l2'!K168+'Drains 85l2'!K169</f>
        <v>92.229500000000002</v>
      </c>
    </row>
    <row r="32" spans="1:9" s="65" customFormat="1" ht="27.75" customHeight="1">
      <c r="A32" s="766" t="s">
        <v>687</v>
      </c>
      <c r="B32" s="46"/>
      <c r="C32" s="66" t="s">
        <v>48</v>
      </c>
      <c r="D32" s="46"/>
      <c r="E32" s="238"/>
      <c r="F32" s="57"/>
      <c r="G32" s="367"/>
      <c r="H32" s="63"/>
      <c r="I32" s="64"/>
    </row>
    <row r="33" spans="1:9" s="65" customFormat="1" ht="31.95" customHeight="1">
      <c r="A33" s="768" t="s">
        <v>688</v>
      </c>
      <c r="B33" s="46" t="s">
        <v>49</v>
      </c>
      <c r="C33" s="58" t="s">
        <v>448</v>
      </c>
      <c r="D33" s="46" t="s">
        <v>5</v>
      </c>
      <c r="E33" s="238">
        <v>32</v>
      </c>
      <c r="F33" s="57"/>
      <c r="G33" s="367"/>
      <c r="H33" s="63">
        <f>'Drains 85l2'!D170</f>
        <v>32</v>
      </c>
      <c r="I33" s="64"/>
    </row>
    <row r="34" spans="1:9" ht="30" customHeight="1">
      <c r="A34" s="766" t="s">
        <v>689</v>
      </c>
      <c r="B34" s="51"/>
      <c r="C34" s="55" t="s">
        <v>690</v>
      </c>
      <c r="D34" s="41"/>
      <c r="E34" s="243"/>
      <c r="F34" s="41"/>
      <c r="G34" s="765"/>
    </row>
    <row r="35" spans="1:9" ht="30" customHeight="1">
      <c r="A35" s="758" t="s">
        <v>691</v>
      </c>
      <c r="B35" s="62" t="s">
        <v>37</v>
      </c>
      <c r="C35" s="45" t="s">
        <v>38</v>
      </c>
      <c r="D35" s="33" t="s">
        <v>27</v>
      </c>
      <c r="E35" s="241">
        <v>6</v>
      </c>
      <c r="F35" s="35"/>
      <c r="G35" s="764"/>
      <c r="H35" s="59">
        <f>'QTY 85l2'!J52</f>
        <v>5.9059000000000008</v>
      </c>
    </row>
    <row r="36" spans="1:9" ht="30" customHeight="1">
      <c r="A36" s="758" t="s">
        <v>692</v>
      </c>
      <c r="B36" s="62" t="s">
        <v>39</v>
      </c>
      <c r="C36" s="45" t="s">
        <v>575</v>
      </c>
      <c r="D36" s="33" t="s">
        <v>27</v>
      </c>
      <c r="E36" s="241">
        <v>22</v>
      </c>
      <c r="F36" s="35"/>
      <c r="G36" s="764"/>
      <c r="H36" s="59">
        <f>'QTY 85l2'!J53</f>
        <v>21.092500000000001</v>
      </c>
    </row>
    <row r="37" spans="1:9" ht="30" customHeight="1">
      <c r="A37" s="758" t="s">
        <v>693</v>
      </c>
      <c r="B37" s="62" t="s">
        <v>41</v>
      </c>
      <c r="C37" s="45" t="s">
        <v>42</v>
      </c>
      <c r="D37" s="33" t="s">
        <v>43</v>
      </c>
      <c r="E37" s="241">
        <v>840</v>
      </c>
      <c r="F37" s="35"/>
      <c r="G37" s="764"/>
      <c r="H37" s="59">
        <f>'QTY 85l2'!J65</f>
        <v>834.6652600000001</v>
      </c>
    </row>
    <row r="38" spans="1:9" ht="30" customHeight="1">
      <c r="A38" s="758" t="s">
        <v>694</v>
      </c>
      <c r="B38" s="62" t="s">
        <v>44</v>
      </c>
      <c r="C38" s="45" t="s">
        <v>578</v>
      </c>
      <c r="D38" s="33" t="s">
        <v>20</v>
      </c>
      <c r="E38" s="241">
        <v>28</v>
      </c>
      <c r="F38" s="35"/>
      <c r="G38" s="764"/>
      <c r="H38" s="59">
        <f>'QTY 85l2'!J58</f>
        <v>27.159000000000002</v>
      </c>
    </row>
    <row r="39" spans="1:9" ht="30" customHeight="1">
      <c r="A39" s="758" t="s">
        <v>695</v>
      </c>
      <c r="B39" s="62" t="s">
        <v>50</v>
      </c>
      <c r="C39" s="45" t="s">
        <v>51</v>
      </c>
      <c r="D39" s="33" t="s">
        <v>20</v>
      </c>
      <c r="E39" s="241">
        <v>160</v>
      </c>
      <c r="F39" s="35"/>
      <c r="G39" s="764"/>
      <c r="H39" s="59">
        <f>'QTY 85l2'!J51</f>
        <v>158.19375000000002</v>
      </c>
    </row>
    <row r="40" spans="1:9" ht="30" customHeight="1">
      <c r="A40" s="758" t="s">
        <v>696</v>
      </c>
      <c r="B40" s="398" t="s">
        <v>581</v>
      </c>
      <c r="C40" s="399" t="s">
        <v>582</v>
      </c>
      <c r="D40" s="56" t="s">
        <v>28</v>
      </c>
      <c r="E40" s="240">
        <v>110</v>
      </c>
      <c r="F40" s="237"/>
      <c r="G40" s="764"/>
      <c r="H40" s="59">
        <f>'QTY 85l2'!J50</f>
        <v>206.70650000000003</v>
      </c>
    </row>
    <row r="41" spans="1:9" ht="30" customHeight="1">
      <c r="A41" s="758" t="s">
        <v>697</v>
      </c>
      <c r="B41" s="400" t="s">
        <v>584</v>
      </c>
      <c r="C41" s="385" t="s">
        <v>585</v>
      </c>
      <c r="D41" s="245" t="s">
        <v>28</v>
      </c>
      <c r="E41" s="240">
        <v>65</v>
      </c>
      <c r="F41" s="237"/>
      <c r="G41" s="764"/>
      <c r="H41" s="59">
        <f>'QTY 85l2'!J54</f>
        <v>64.121200000000002</v>
      </c>
    </row>
    <row r="42" spans="1:9" ht="30" customHeight="1">
      <c r="A42" s="758" t="s">
        <v>698</v>
      </c>
      <c r="B42" s="400" t="s">
        <v>587</v>
      </c>
      <c r="C42" s="385" t="s">
        <v>588</v>
      </c>
      <c r="D42" s="245" t="s">
        <v>312</v>
      </c>
      <c r="E42" s="238">
        <v>35</v>
      </c>
      <c r="F42" s="237"/>
      <c r="G42" s="764"/>
    </row>
    <row r="43" spans="1:9" ht="30" customHeight="1">
      <c r="A43" s="758" t="s">
        <v>699</v>
      </c>
      <c r="B43" s="400" t="s">
        <v>569</v>
      </c>
      <c r="C43" s="385" t="s">
        <v>570</v>
      </c>
      <c r="D43" s="245" t="s">
        <v>5</v>
      </c>
      <c r="E43" s="240">
        <v>30</v>
      </c>
      <c r="F43" s="237"/>
      <c r="G43" s="764"/>
      <c r="H43" s="59">
        <f>'QTY 85l2'!J67</f>
        <v>29.700000000000003</v>
      </c>
    </row>
    <row r="44" spans="1:9" ht="30" customHeight="1" thickBot="1">
      <c r="A44" s="760"/>
      <c r="B44" s="896" t="s">
        <v>700</v>
      </c>
      <c r="C44" s="897"/>
      <c r="D44" s="897"/>
      <c r="E44" s="897"/>
      <c r="F44" s="898"/>
      <c r="G44" s="761"/>
    </row>
  </sheetData>
  <mergeCells count="3">
    <mergeCell ref="A1:C1"/>
    <mergeCell ref="D1:G1"/>
    <mergeCell ref="B44:F44"/>
  </mergeCells>
  <printOptions horizontalCentered="1"/>
  <pageMargins left="0.75" right="0.4" top="0.75" bottom="0.5"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6FEE9-9E89-458B-AFCD-AF54B993FB5B}">
  <sheetPr>
    <tabColor rgb="FF92D050"/>
  </sheetPr>
  <dimension ref="A1:WVT80"/>
  <sheetViews>
    <sheetView view="pageBreakPreview" zoomScaleNormal="100" zoomScaleSheetLayoutView="100" workbookViewId="0">
      <selection activeCell="A54" sqref="A54:XFD59"/>
    </sheetView>
  </sheetViews>
  <sheetFormatPr defaultColWidth="8.88671875" defaultRowHeight="13.8"/>
  <cols>
    <col min="1" max="1" width="7.6640625" style="578" customWidth="1"/>
    <col min="2" max="2" width="9.6640625" style="578" customWidth="1"/>
    <col min="3" max="3" width="50.6640625" style="573" customWidth="1"/>
    <col min="4" max="4" width="7.6640625" style="596" customWidth="1"/>
    <col min="5" max="5" width="8.6640625" style="596" customWidth="1"/>
    <col min="6" max="6" width="15.44140625" style="672" customWidth="1"/>
    <col min="7" max="7" width="19.44140625" style="672" customWidth="1"/>
    <col min="8" max="8" width="18.5546875" style="595" hidden="1" customWidth="1"/>
    <col min="9" max="10" width="15.44140625" style="573" hidden="1" customWidth="1"/>
    <col min="11" max="11" width="16.88671875" style="573" hidden="1" customWidth="1"/>
    <col min="12" max="12" width="15.5546875" style="573" hidden="1" customWidth="1"/>
    <col min="13" max="13" width="0" style="573" hidden="1" customWidth="1"/>
    <col min="14" max="256" width="8.88671875" style="573"/>
    <col min="257" max="257" width="3.6640625" style="573" bestFit="1" customWidth="1"/>
    <col min="258" max="258" width="8.33203125" style="573" customWidth="1"/>
    <col min="259" max="259" width="46.109375" style="573" customWidth="1"/>
    <col min="260" max="260" width="11" style="573" customWidth="1"/>
    <col min="261" max="261" width="12.5546875" style="573" customWidth="1"/>
    <col min="262" max="262" width="10.88671875" style="573" customWidth="1"/>
    <col min="263" max="263" width="16.109375" style="573" customWidth="1"/>
    <col min="264" max="264" width="0" style="573" hidden="1" customWidth="1"/>
    <col min="265" max="265" width="15.44140625" style="573" customWidth="1"/>
    <col min="266" max="266" width="12.88671875" style="573" bestFit="1" customWidth="1"/>
    <col min="267" max="267" width="8.88671875" style="573"/>
    <col min="268" max="268" width="12.88671875" style="573" bestFit="1" customWidth="1"/>
    <col min="269" max="512" width="8.88671875" style="573"/>
    <col min="513" max="513" width="3.6640625" style="573" bestFit="1" customWidth="1"/>
    <col min="514" max="514" width="8.33203125" style="573" customWidth="1"/>
    <col min="515" max="515" width="46.109375" style="573" customWidth="1"/>
    <col min="516" max="516" width="11" style="573" customWidth="1"/>
    <col min="517" max="517" width="12.5546875" style="573" customWidth="1"/>
    <col min="518" max="518" width="10.88671875" style="573" customWidth="1"/>
    <col min="519" max="519" width="16.109375" style="573" customWidth="1"/>
    <col min="520" max="520" width="0" style="573" hidden="1" customWidth="1"/>
    <col min="521" max="521" width="15.44140625" style="573" customWidth="1"/>
    <col min="522" max="522" width="12.88671875" style="573" bestFit="1" customWidth="1"/>
    <col min="523" max="523" width="8.88671875" style="573"/>
    <col min="524" max="524" width="12.88671875" style="573" bestFit="1" customWidth="1"/>
    <col min="525" max="768" width="8.88671875" style="573"/>
    <col min="769" max="769" width="3.6640625" style="573" bestFit="1" customWidth="1"/>
    <col min="770" max="770" width="8.33203125" style="573" customWidth="1"/>
    <col min="771" max="771" width="46.109375" style="573" customWidth="1"/>
    <col min="772" max="772" width="11" style="573" customWidth="1"/>
    <col min="773" max="773" width="12.5546875" style="573" customWidth="1"/>
    <col min="774" max="774" width="10.88671875" style="573" customWidth="1"/>
    <col min="775" max="775" width="16.109375" style="573" customWidth="1"/>
    <col min="776" max="776" width="0" style="573" hidden="1" customWidth="1"/>
    <col min="777" max="777" width="15.44140625" style="573" customWidth="1"/>
    <col min="778" max="778" width="12.88671875" style="573" bestFit="1" customWidth="1"/>
    <col min="779" max="779" width="8.88671875" style="573"/>
    <col min="780" max="780" width="12.88671875" style="573" bestFit="1" customWidth="1"/>
    <col min="781" max="1024" width="8.88671875" style="573"/>
    <col min="1025" max="1025" width="3.6640625" style="573" bestFit="1" customWidth="1"/>
    <col min="1026" max="1026" width="8.33203125" style="573" customWidth="1"/>
    <col min="1027" max="1027" width="46.109375" style="573" customWidth="1"/>
    <col min="1028" max="1028" width="11" style="573" customWidth="1"/>
    <col min="1029" max="1029" width="12.5546875" style="573" customWidth="1"/>
    <col min="1030" max="1030" width="10.88671875" style="573" customWidth="1"/>
    <col min="1031" max="1031" width="16.109375" style="573" customWidth="1"/>
    <col min="1032" max="1032" width="0" style="573" hidden="1" customWidth="1"/>
    <col min="1033" max="1033" width="15.44140625" style="573" customWidth="1"/>
    <col min="1034" max="1034" width="12.88671875" style="573" bestFit="1" customWidth="1"/>
    <col min="1035" max="1035" width="8.88671875" style="573"/>
    <col min="1036" max="1036" width="12.88671875" style="573" bestFit="1" customWidth="1"/>
    <col min="1037" max="1280" width="8.88671875" style="573"/>
    <col min="1281" max="1281" width="3.6640625" style="573" bestFit="1" customWidth="1"/>
    <col min="1282" max="1282" width="8.33203125" style="573" customWidth="1"/>
    <col min="1283" max="1283" width="46.109375" style="573" customWidth="1"/>
    <col min="1284" max="1284" width="11" style="573" customWidth="1"/>
    <col min="1285" max="1285" width="12.5546875" style="573" customWidth="1"/>
    <col min="1286" max="1286" width="10.88671875" style="573" customWidth="1"/>
    <col min="1287" max="1287" width="16.109375" style="573" customWidth="1"/>
    <col min="1288" max="1288" width="0" style="573" hidden="1" customWidth="1"/>
    <col min="1289" max="1289" width="15.44140625" style="573" customWidth="1"/>
    <col min="1290" max="1290" width="12.88671875" style="573" bestFit="1" customWidth="1"/>
    <col min="1291" max="1291" width="8.88671875" style="573"/>
    <col min="1292" max="1292" width="12.88671875" style="573" bestFit="1" customWidth="1"/>
    <col min="1293" max="1536" width="8.88671875" style="573"/>
    <col min="1537" max="1537" width="3.6640625" style="573" bestFit="1" customWidth="1"/>
    <col min="1538" max="1538" width="8.33203125" style="573" customWidth="1"/>
    <col min="1539" max="1539" width="46.109375" style="573" customWidth="1"/>
    <col min="1540" max="1540" width="11" style="573" customWidth="1"/>
    <col min="1541" max="1541" width="12.5546875" style="573" customWidth="1"/>
    <col min="1542" max="1542" width="10.88671875" style="573" customWidth="1"/>
    <col min="1543" max="1543" width="16.109375" style="573" customWidth="1"/>
    <col min="1544" max="1544" width="0" style="573" hidden="1" customWidth="1"/>
    <col min="1545" max="1545" width="15.44140625" style="573" customWidth="1"/>
    <col min="1546" max="1546" width="12.88671875" style="573" bestFit="1" customWidth="1"/>
    <col min="1547" max="1547" width="8.88671875" style="573"/>
    <col min="1548" max="1548" width="12.88671875" style="573" bestFit="1" customWidth="1"/>
    <col min="1549" max="1792" width="8.88671875" style="573"/>
    <col min="1793" max="1793" width="3.6640625" style="573" bestFit="1" customWidth="1"/>
    <col min="1794" max="1794" width="8.33203125" style="573" customWidth="1"/>
    <col min="1795" max="1795" width="46.109375" style="573" customWidth="1"/>
    <col min="1796" max="1796" width="11" style="573" customWidth="1"/>
    <col min="1797" max="1797" width="12.5546875" style="573" customWidth="1"/>
    <col min="1798" max="1798" width="10.88671875" style="573" customWidth="1"/>
    <col min="1799" max="1799" width="16.109375" style="573" customWidth="1"/>
    <col min="1800" max="1800" width="0" style="573" hidden="1" customWidth="1"/>
    <col min="1801" max="1801" width="15.44140625" style="573" customWidth="1"/>
    <col min="1802" max="1802" width="12.88671875" style="573" bestFit="1" customWidth="1"/>
    <col min="1803" max="1803" width="8.88671875" style="573"/>
    <col min="1804" max="1804" width="12.88671875" style="573" bestFit="1" customWidth="1"/>
    <col min="1805" max="2048" width="8.88671875" style="573"/>
    <col min="2049" max="2049" width="3.6640625" style="573" bestFit="1" customWidth="1"/>
    <col min="2050" max="2050" width="8.33203125" style="573" customWidth="1"/>
    <col min="2051" max="2051" width="46.109375" style="573" customWidth="1"/>
    <col min="2052" max="2052" width="11" style="573" customWidth="1"/>
    <col min="2053" max="2053" width="12.5546875" style="573" customWidth="1"/>
    <col min="2054" max="2054" width="10.88671875" style="573" customWidth="1"/>
    <col min="2055" max="2055" width="16.109375" style="573" customWidth="1"/>
    <col min="2056" max="2056" width="0" style="573" hidden="1" customWidth="1"/>
    <col min="2057" max="2057" width="15.44140625" style="573" customWidth="1"/>
    <col min="2058" max="2058" width="12.88671875" style="573" bestFit="1" customWidth="1"/>
    <col min="2059" max="2059" width="8.88671875" style="573"/>
    <col min="2060" max="2060" width="12.88671875" style="573" bestFit="1" customWidth="1"/>
    <col min="2061" max="2304" width="8.88671875" style="573"/>
    <col min="2305" max="2305" width="3.6640625" style="573" bestFit="1" customWidth="1"/>
    <col min="2306" max="2306" width="8.33203125" style="573" customWidth="1"/>
    <col min="2307" max="2307" width="46.109375" style="573" customWidth="1"/>
    <col min="2308" max="2308" width="11" style="573" customWidth="1"/>
    <col min="2309" max="2309" width="12.5546875" style="573" customWidth="1"/>
    <col min="2310" max="2310" width="10.88671875" style="573" customWidth="1"/>
    <col min="2311" max="2311" width="16.109375" style="573" customWidth="1"/>
    <col min="2312" max="2312" width="0" style="573" hidden="1" customWidth="1"/>
    <col min="2313" max="2313" width="15.44140625" style="573" customWidth="1"/>
    <col min="2314" max="2314" width="12.88671875" style="573" bestFit="1" customWidth="1"/>
    <col min="2315" max="2315" width="8.88671875" style="573"/>
    <col min="2316" max="2316" width="12.88671875" style="573" bestFit="1" customWidth="1"/>
    <col min="2317" max="2560" width="8.88671875" style="573"/>
    <col min="2561" max="2561" width="3.6640625" style="573" bestFit="1" customWidth="1"/>
    <col min="2562" max="2562" width="8.33203125" style="573" customWidth="1"/>
    <col min="2563" max="2563" width="46.109375" style="573" customWidth="1"/>
    <col min="2564" max="2564" width="11" style="573" customWidth="1"/>
    <col min="2565" max="2565" width="12.5546875" style="573" customWidth="1"/>
    <col min="2566" max="2566" width="10.88671875" style="573" customWidth="1"/>
    <col min="2567" max="2567" width="16.109375" style="573" customWidth="1"/>
    <col min="2568" max="2568" width="0" style="573" hidden="1" customWidth="1"/>
    <col min="2569" max="2569" width="15.44140625" style="573" customWidth="1"/>
    <col min="2570" max="2570" width="12.88671875" style="573" bestFit="1" customWidth="1"/>
    <col min="2571" max="2571" width="8.88671875" style="573"/>
    <col min="2572" max="2572" width="12.88671875" style="573" bestFit="1" customWidth="1"/>
    <col min="2573" max="2816" width="8.88671875" style="573"/>
    <col min="2817" max="2817" width="3.6640625" style="573" bestFit="1" customWidth="1"/>
    <col min="2818" max="2818" width="8.33203125" style="573" customWidth="1"/>
    <col min="2819" max="2819" width="46.109375" style="573" customWidth="1"/>
    <col min="2820" max="2820" width="11" style="573" customWidth="1"/>
    <col min="2821" max="2821" width="12.5546875" style="573" customWidth="1"/>
    <col min="2822" max="2822" width="10.88671875" style="573" customWidth="1"/>
    <col min="2823" max="2823" width="16.109375" style="573" customWidth="1"/>
    <col min="2824" max="2824" width="0" style="573" hidden="1" customWidth="1"/>
    <col min="2825" max="2825" width="15.44140625" style="573" customWidth="1"/>
    <col min="2826" max="2826" width="12.88671875" style="573" bestFit="1" customWidth="1"/>
    <col min="2827" max="2827" width="8.88671875" style="573"/>
    <col min="2828" max="2828" width="12.88671875" style="573" bestFit="1" customWidth="1"/>
    <col min="2829" max="3072" width="8.88671875" style="573"/>
    <col min="3073" max="3073" width="3.6640625" style="573" bestFit="1" customWidth="1"/>
    <col min="3074" max="3074" width="8.33203125" style="573" customWidth="1"/>
    <col min="3075" max="3075" width="46.109375" style="573" customWidth="1"/>
    <col min="3076" max="3076" width="11" style="573" customWidth="1"/>
    <col min="3077" max="3077" width="12.5546875" style="573" customWidth="1"/>
    <col min="3078" max="3078" width="10.88671875" style="573" customWidth="1"/>
    <col min="3079" max="3079" width="16.109375" style="573" customWidth="1"/>
    <col min="3080" max="3080" width="0" style="573" hidden="1" customWidth="1"/>
    <col min="3081" max="3081" width="15.44140625" style="573" customWidth="1"/>
    <col min="3082" max="3082" width="12.88671875" style="573" bestFit="1" customWidth="1"/>
    <col min="3083" max="3083" width="8.88671875" style="573"/>
    <col min="3084" max="3084" width="12.88671875" style="573" bestFit="1" customWidth="1"/>
    <col min="3085" max="3328" width="8.88671875" style="573"/>
    <col min="3329" max="3329" width="3.6640625" style="573" bestFit="1" customWidth="1"/>
    <col min="3330" max="3330" width="8.33203125" style="573" customWidth="1"/>
    <col min="3331" max="3331" width="46.109375" style="573" customWidth="1"/>
    <col min="3332" max="3332" width="11" style="573" customWidth="1"/>
    <col min="3333" max="3333" width="12.5546875" style="573" customWidth="1"/>
    <col min="3334" max="3334" width="10.88671875" style="573" customWidth="1"/>
    <col min="3335" max="3335" width="16.109375" style="573" customWidth="1"/>
    <col min="3336" max="3336" width="0" style="573" hidden="1" customWidth="1"/>
    <col min="3337" max="3337" width="15.44140625" style="573" customWidth="1"/>
    <col min="3338" max="3338" width="12.88671875" style="573" bestFit="1" customWidth="1"/>
    <col min="3339" max="3339" width="8.88671875" style="573"/>
    <col min="3340" max="3340" width="12.88671875" style="573" bestFit="1" customWidth="1"/>
    <col min="3341" max="3584" width="8.88671875" style="573"/>
    <col min="3585" max="3585" width="3.6640625" style="573" bestFit="1" customWidth="1"/>
    <col min="3586" max="3586" width="8.33203125" style="573" customWidth="1"/>
    <col min="3587" max="3587" width="46.109375" style="573" customWidth="1"/>
    <col min="3588" max="3588" width="11" style="573" customWidth="1"/>
    <col min="3589" max="3589" width="12.5546875" style="573" customWidth="1"/>
    <col min="3590" max="3590" width="10.88671875" style="573" customWidth="1"/>
    <col min="3591" max="3591" width="16.109375" style="573" customWidth="1"/>
    <col min="3592" max="3592" width="0" style="573" hidden="1" customWidth="1"/>
    <col min="3593" max="3593" width="15.44140625" style="573" customWidth="1"/>
    <col min="3594" max="3594" width="12.88671875" style="573" bestFit="1" customWidth="1"/>
    <col min="3595" max="3595" width="8.88671875" style="573"/>
    <col min="3596" max="3596" width="12.88671875" style="573" bestFit="1" customWidth="1"/>
    <col min="3597" max="3840" width="8.88671875" style="573"/>
    <col min="3841" max="3841" width="3.6640625" style="573" bestFit="1" customWidth="1"/>
    <col min="3842" max="3842" width="8.33203125" style="573" customWidth="1"/>
    <col min="3843" max="3843" width="46.109375" style="573" customWidth="1"/>
    <col min="3844" max="3844" width="11" style="573" customWidth="1"/>
    <col min="3845" max="3845" width="12.5546875" style="573" customWidth="1"/>
    <col min="3846" max="3846" width="10.88671875" style="573" customWidth="1"/>
    <col min="3847" max="3847" width="16.109375" style="573" customWidth="1"/>
    <col min="3848" max="3848" width="0" style="573" hidden="1" customWidth="1"/>
    <col min="3849" max="3849" width="15.44140625" style="573" customWidth="1"/>
    <col min="3850" max="3850" width="12.88671875" style="573" bestFit="1" customWidth="1"/>
    <col min="3851" max="3851" width="8.88671875" style="573"/>
    <col min="3852" max="3852" width="12.88671875" style="573" bestFit="1" customWidth="1"/>
    <col min="3853" max="4096" width="8.88671875" style="573"/>
    <col min="4097" max="4097" width="3.6640625" style="573" bestFit="1" customWidth="1"/>
    <col min="4098" max="4098" width="8.33203125" style="573" customWidth="1"/>
    <col min="4099" max="4099" width="46.109375" style="573" customWidth="1"/>
    <col min="4100" max="4100" width="11" style="573" customWidth="1"/>
    <col min="4101" max="4101" width="12.5546875" style="573" customWidth="1"/>
    <col min="4102" max="4102" width="10.88671875" style="573" customWidth="1"/>
    <col min="4103" max="4103" width="16.109375" style="573" customWidth="1"/>
    <col min="4104" max="4104" width="0" style="573" hidden="1" customWidth="1"/>
    <col min="4105" max="4105" width="15.44140625" style="573" customWidth="1"/>
    <col min="4106" max="4106" width="12.88671875" style="573" bestFit="1" customWidth="1"/>
    <col min="4107" max="4107" width="8.88671875" style="573"/>
    <col min="4108" max="4108" width="12.88671875" style="573" bestFit="1" customWidth="1"/>
    <col min="4109" max="4352" width="8.88671875" style="573"/>
    <col min="4353" max="4353" width="3.6640625" style="573" bestFit="1" customWidth="1"/>
    <col min="4354" max="4354" width="8.33203125" style="573" customWidth="1"/>
    <col min="4355" max="4355" width="46.109375" style="573" customWidth="1"/>
    <col min="4356" max="4356" width="11" style="573" customWidth="1"/>
    <col min="4357" max="4357" width="12.5546875" style="573" customWidth="1"/>
    <col min="4358" max="4358" width="10.88671875" style="573" customWidth="1"/>
    <col min="4359" max="4359" width="16.109375" style="573" customWidth="1"/>
    <col min="4360" max="4360" width="0" style="573" hidden="1" customWidth="1"/>
    <col min="4361" max="4361" width="15.44140625" style="573" customWidth="1"/>
    <col min="4362" max="4362" width="12.88671875" style="573" bestFit="1" customWidth="1"/>
    <col min="4363" max="4363" width="8.88671875" style="573"/>
    <col min="4364" max="4364" width="12.88671875" style="573" bestFit="1" customWidth="1"/>
    <col min="4365" max="4608" width="8.88671875" style="573"/>
    <col min="4609" max="4609" width="3.6640625" style="573" bestFit="1" customWidth="1"/>
    <col min="4610" max="4610" width="8.33203125" style="573" customWidth="1"/>
    <col min="4611" max="4611" width="46.109375" style="573" customWidth="1"/>
    <col min="4612" max="4612" width="11" style="573" customWidth="1"/>
    <col min="4613" max="4613" width="12.5546875" style="573" customWidth="1"/>
    <col min="4614" max="4614" width="10.88671875" style="573" customWidth="1"/>
    <col min="4615" max="4615" width="16.109375" style="573" customWidth="1"/>
    <col min="4616" max="4616" width="0" style="573" hidden="1" customWidth="1"/>
    <col min="4617" max="4617" width="15.44140625" style="573" customWidth="1"/>
    <col min="4618" max="4618" width="12.88671875" style="573" bestFit="1" customWidth="1"/>
    <col min="4619" max="4619" width="8.88671875" style="573"/>
    <col min="4620" max="4620" width="12.88671875" style="573" bestFit="1" customWidth="1"/>
    <col min="4621" max="4864" width="8.88671875" style="573"/>
    <col min="4865" max="4865" width="3.6640625" style="573" bestFit="1" customWidth="1"/>
    <col min="4866" max="4866" width="8.33203125" style="573" customWidth="1"/>
    <col min="4867" max="4867" width="46.109375" style="573" customWidth="1"/>
    <col min="4868" max="4868" width="11" style="573" customWidth="1"/>
    <col min="4869" max="4869" width="12.5546875" style="573" customWidth="1"/>
    <col min="4870" max="4870" width="10.88671875" style="573" customWidth="1"/>
    <col min="4871" max="4871" width="16.109375" style="573" customWidth="1"/>
    <col min="4872" max="4872" width="0" style="573" hidden="1" customWidth="1"/>
    <col min="4873" max="4873" width="15.44140625" style="573" customWidth="1"/>
    <col min="4874" max="4874" width="12.88671875" style="573" bestFit="1" customWidth="1"/>
    <col min="4875" max="4875" width="8.88671875" style="573"/>
    <col min="4876" max="4876" width="12.88671875" style="573" bestFit="1" customWidth="1"/>
    <col min="4877" max="5120" width="8.88671875" style="573"/>
    <col min="5121" max="5121" width="3.6640625" style="573" bestFit="1" customWidth="1"/>
    <col min="5122" max="5122" width="8.33203125" style="573" customWidth="1"/>
    <col min="5123" max="5123" width="46.109375" style="573" customWidth="1"/>
    <col min="5124" max="5124" width="11" style="573" customWidth="1"/>
    <col min="5125" max="5125" width="12.5546875" style="573" customWidth="1"/>
    <col min="5126" max="5126" width="10.88671875" style="573" customWidth="1"/>
    <col min="5127" max="5127" width="16.109375" style="573" customWidth="1"/>
    <col min="5128" max="5128" width="0" style="573" hidden="1" customWidth="1"/>
    <col min="5129" max="5129" width="15.44140625" style="573" customWidth="1"/>
    <col min="5130" max="5130" width="12.88671875" style="573" bestFit="1" customWidth="1"/>
    <col min="5131" max="5131" width="8.88671875" style="573"/>
    <col min="5132" max="5132" width="12.88671875" style="573" bestFit="1" customWidth="1"/>
    <col min="5133" max="5376" width="8.88671875" style="573"/>
    <col min="5377" max="5377" width="3.6640625" style="573" bestFit="1" customWidth="1"/>
    <col min="5378" max="5378" width="8.33203125" style="573" customWidth="1"/>
    <col min="5379" max="5379" width="46.109375" style="573" customWidth="1"/>
    <col min="5380" max="5380" width="11" style="573" customWidth="1"/>
    <col min="5381" max="5381" width="12.5546875" style="573" customWidth="1"/>
    <col min="5382" max="5382" width="10.88671875" style="573" customWidth="1"/>
    <col min="5383" max="5383" width="16.109375" style="573" customWidth="1"/>
    <col min="5384" max="5384" width="0" style="573" hidden="1" customWidth="1"/>
    <col min="5385" max="5385" width="15.44140625" style="573" customWidth="1"/>
    <col min="5386" max="5386" width="12.88671875" style="573" bestFit="1" customWidth="1"/>
    <col min="5387" max="5387" width="8.88671875" style="573"/>
    <col min="5388" max="5388" width="12.88671875" style="573" bestFit="1" customWidth="1"/>
    <col min="5389" max="5632" width="8.88671875" style="573"/>
    <col min="5633" max="5633" width="3.6640625" style="573" bestFit="1" customWidth="1"/>
    <col min="5634" max="5634" width="8.33203125" style="573" customWidth="1"/>
    <col min="5635" max="5635" width="46.109375" style="573" customWidth="1"/>
    <col min="5636" max="5636" width="11" style="573" customWidth="1"/>
    <col min="5637" max="5637" width="12.5546875" style="573" customWidth="1"/>
    <col min="5638" max="5638" width="10.88671875" style="573" customWidth="1"/>
    <col min="5639" max="5639" width="16.109375" style="573" customWidth="1"/>
    <col min="5640" max="5640" width="0" style="573" hidden="1" customWidth="1"/>
    <col min="5641" max="5641" width="15.44140625" style="573" customWidth="1"/>
    <col min="5642" max="5642" width="12.88671875" style="573" bestFit="1" customWidth="1"/>
    <col min="5643" max="5643" width="8.88671875" style="573"/>
    <col min="5644" max="5644" width="12.88671875" style="573" bestFit="1" customWidth="1"/>
    <col min="5645" max="5888" width="8.88671875" style="573"/>
    <col min="5889" max="5889" width="3.6640625" style="573" bestFit="1" customWidth="1"/>
    <col min="5890" max="5890" width="8.33203125" style="573" customWidth="1"/>
    <col min="5891" max="5891" width="46.109375" style="573" customWidth="1"/>
    <col min="5892" max="5892" width="11" style="573" customWidth="1"/>
    <col min="5893" max="5893" width="12.5546875" style="573" customWidth="1"/>
    <col min="5894" max="5894" width="10.88671875" style="573" customWidth="1"/>
    <col min="5895" max="5895" width="16.109375" style="573" customWidth="1"/>
    <col min="5896" max="5896" width="0" style="573" hidden="1" customWidth="1"/>
    <col min="5897" max="5897" width="15.44140625" style="573" customWidth="1"/>
    <col min="5898" max="5898" width="12.88671875" style="573" bestFit="1" customWidth="1"/>
    <col min="5899" max="5899" width="8.88671875" style="573"/>
    <col min="5900" max="5900" width="12.88671875" style="573" bestFit="1" customWidth="1"/>
    <col min="5901" max="6144" width="8.88671875" style="573"/>
    <col min="6145" max="6145" width="3.6640625" style="573" bestFit="1" customWidth="1"/>
    <col min="6146" max="6146" width="8.33203125" style="573" customWidth="1"/>
    <col min="6147" max="6147" width="46.109375" style="573" customWidth="1"/>
    <col min="6148" max="6148" width="11" style="573" customWidth="1"/>
    <col min="6149" max="6149" width="12.5546875" style="573" customWidth="1"/>
    <col min="6150" max="6150" width="10.88671875" style="573" customWidth="1"/>
    <col min="6151" max="6151" width="16.109375" style="573" customWidth="1"/>
    <col min="6152" max="6152" width="0" style="573" hidden="1" customWidth="1"/>
    <col min="6153" max="6153" width="15.44140625" style="573" customWidth="1"/>
    <col min="6154" max="6154" width="12.88671875" style="573" bestFit="1" customWidth="1"/>
    <col min="6155" max="6155" width="8.88671875" style="573"/>
    <col min="6156" max="6156" width="12.88671875" style="573" bestFit="1" customWidth="1"/>
    <col min="6157" max="6400" width="8.88671875" style="573"/>
    <col min="6401" max="6401" width="3.6640625" style="573" bestFit="1" customWidth="1"/>
    <col min="6402" max="6402" width="8.33203125" style="573" customWidth="1"/>
    <col min="6403" max="6403" width="46.109375" style="573" customWidth="1"/>
    <col min="6404" max="6404" width="11" style="573" customWidth="1"/>
    <col min="6405" max="6405" width="12.5546875" style="573" customWidth="1"/>
    <col min="6406" max="6406" width="10.88671875" style="573" customWidth="1"/>
    <col min="6407" max="6407" width="16.109375" style="573" customWidth="1"/>
    <col min="6408" max="6408" width="0" style="573" hidden="1" customWidth="1"/>
    <col min="6409" max="6409" width="15.44140625" style="573" customWidth="1"/>
    <col min="6410" max="6410" width="12.88671875" style="573" bestFit="1" customWidth="1"/>
    <col min="6411" max="6411" width="8.88671875" style="573"/>
    <col min="6412" max="6412" width="12.88671875" style="573" bestFit="1" customWidth="1"/>
    <col min="6413" max="6656" width="8.88671875" style="573"/>
    <col min="6657" max="6657" width="3.6640625" style="573" bestFit="1" customWidth="1"/>
    <col min="6658" max="6658" width="8.33203125" style="573" customWidth="1"/>
    <col min="6659" max="6659" width="46.109375" style="573" customWidth="1"/>
    <col min="6660" max="6660" width="11" style="573" customWidth="1"/>
    <col min="6661" max="6661" width="12.5546875" style="573" customWidth="1"/>
    <col min="6662" max="6662" width="10.88671875" style="573" customWidth="1"/>
    <col min="6663" max="6663" width="16.109375" style="573" customWidth="1"/>
    <col min="6664" max="6664" width="0" style="573" hidden="1" customWidth="1"/>
    <col min="6665" max="6665" width="15.44140625" style="573" customWidth="1"/>
    <col min="6666" max="6666" width="12.88671875" style="573" bestFit="1" customWidth="1"/>
    <col min="6667" max="6667" width="8.88671875" style="573"/>
    <col min="6668" max="6668" width="12.88671875" style="573" bestFit="1" customWidth="1"/>
    <col min="6669" max="6912" width="8.88671875" style="573"/>
    <col min="6913" max="6913" width="3.6640625" style="573" bestFit="1" customWidth="1"/>
    <col min="6914" max="6914" width="8.33203125" style="573" customWidth="1"/>
    <col min="6915" max="6915" width="46.109375" style="573" customWidth="1"/>
    <col min="6916" max="6916" width="11" style="573" customWidth="1"/>
    <col min="6917" max="6917" width="12.5546875" style="573" customWidth="1"/>
    <col min="6918" max="6918" width="10.88671875" style="573" customWidth="1"/>
    <col min="6919" max="6919" width="16.109375" style="573" customWidth="1"/>
    <col min="6920" max="6920" width="0" style="573" hidden="1" customWidth="1"/>
    <col min="6921" max="6921" width="15.44140625" style="573" customWidth="1"/>
    <col min="6922" max="6922" width="12.88671875" style="573" bestFit="1" customWidth="1"/>
    <col min="6923" max="6923" width="8.88671875" style="573"/>
    <col min="6924" max="6924" width="12.88671875" style="573" bestFit="1" customWidth="1"/>
    <col min="6925" max="7168" width="8.88671875" style="573"/>
    <col min="7169" max="7169" width="3.6640625" style="573" bestFit="1" customWidth="1"/>
    <col min="7170" max="7170" width="8.33203125" style="573" customWidth="1"/>
    <col min="7171" max="7171" width="46.109375" style="573" customWidth="1"/>
    <col min="7172" max="7172" width="11" style="573" customWidth="1"/>
    <col min="7173" max="7173" width="12.5546875" style="573" customWidth="1"/>
    <col min="7174" max="7174" width="10.88671875" style="573" customWidth="1"/>
    <col min="7175" max="7175" width="16.109375" style="573" customWidth="1"/>
    <col min="7176" max="7176" width="0" style="573" hidden="1" customWidth="1"/>
    <col min="7177" max="7177" width="15.44140625" style="573" customWidth="1"/>
    <col min="7178" max="7178" width="12.88671875" style="573" bestFit="1" customWidth="1"/>
    <col min="7179" max="7179" width="8.88671875" style="573"/>
    <col min="7180" max="7180" width="12.88671875" style="573" bestFit="1" customWidth="1"/>
    <col min="7181" max="7424" width="8.88671875" style="573"/>
    <col min="7425" max="7425" width="3.6640625" style="573" bestFit="1" customWidth="1"/>
    <col min="7426" max="7426" width="8.33203125" style="573" customWidth="1"/>
    <col min="7427" max="7427" width="46.109375" style="573" customWidth="1"/>
    <col min="7428" max="7428" width="11" style="573" customWidth="1"/>
    <col min="7429" max="7429" width="12.5546875" style="573" customWidth="1"/>
    <col min="7430" max="7430" width="10.88671875" style="573" customWidth="1"/>
    <col min="7431" max="7431" width="16.109375" style="573" customWidth="1"/>
    <col min="7432" max="7432" width="0" style="573" hidden="1" customWidth="1"/>
    <col min="7433" max="7433" width="15.44140625" style="573" customWidth="1"/>
    <col min="7434" max="7434" width="12.88671875" style="573" bestFit="1" customWidth="1"/>
    <col min="7435" max="7435" width="8.88671875" style="573"/>
    <col min="7436" max="7436" width="12.88671875" style="573" bestFit="1" customWidth="1"/>
    <col min="7437" max="7680" width="8.88671875" style="573"/>
    <col min="7681" max="7681" width="3.6640625" style="573" bestFit="1" customWidth="1"/>
    <col min="7682" max="7682" width="8.33203125" style="573" customWidth="1"/>
    <col min="7683" max="7683" width="46.109375" style="573" customWidth="1"/>
    <col min="7684" max="7684" width="11" style="573" customWidth="1"/>
    <col min="7685" max="7685" width="12.5546875" style="573" customWidth="1"/>
    <col min="7686" max="7686" width="10.88671875" style="573" customWidth="1"/>
    <col min="7687" max="7687" width="16.109375" style="573" customWidth="1"/>
    <col min="7688" max="7688" width="0" style="573" hidden="1" customWidth="1"/>
    <col min="7689" max="7689" width="15.44140625" style="573" customWidth="1"/>
    <col min="7690" max="7690" width="12.88671875" style="573" bestFit="1" customWidth="1"/>
    <col min="7691" max="7691" width="8.88671875" style="573"/>
    <col min="7692" max="7692" width="12.88671875" style="573" bestFit="1" customWidth="1"/>
    <col min="7693" max="7936" width="8.88671875" style="573"/>
    <col min="7937" max="7937" width="3.6640625" style="573" bestFit="1" customWidth="1"/>
    <col min="7938" max="7938" width="8.33203125" style="573" customWidth="1"/>
    <col min="7939" max="7939" width="46.109375" style="573" customWidth="1"/>
    <col min="7940" max="7940" width="11" style="573" customWidth="1"/>
    <col min="7941" max="7941" width="12.5546875" style="573" customWidth="1"/>
    <col min="7942" max="7942" width="10.88671875" style="573" customWidth="1"/>
    <col min="7943" max="7943" width="16.109375" style="573" customWidth="1"/>
    <col min="7944" max="7944" width="0" style="573" hidden="1" customWidth="1"/>
    <col min="7945" max="7945" width="15.44140625" style="573" customWidth="1"/>
    <col min="7946" max="7946" width="12.88671875" style="573" bestFit="1" customWidth="1"/>
    <col min="7947" max="7947" width="8.88671875" style="573"/>
    <col min="7948" max="7948" width="12.88671875" style="573" bestFit="1" customWidth="1"/>
    <col min="7949" max="8192" width="8.88671875" style="573"/>
    <col min="8193" max="8193" width="3.6640625" style="573" bestFit="1" customWidth="1"/>
    <col min="8194" max="8194" width="8.33203125" style="573" customWidth="1"/>
    <col min="8195" max="8195" width="46.109375" style="573" customWidth="1"/>
    <col min="8196" max="8196" width="11" style="573" customWidth="1"/>
    <col min="8197" max="8197" width="12.5546875" style="573" customWidth="1"/>
    <col min="8198" max="8198" width="10.88671875" style="573" customWidth="1"/>
    <col min="8199" max="8199" width="16.109375" style="573" customWidth="1"/>
    <col min="8200" max="8200" width="0" style="573" hidden="1" customWidth="1"/>
    <col min="8201" max="8201" width="15.44140625" style="573" customWidth="1"/>
    <col min="8202" max="8202" width="12.88671875" style="573" bestFit="1" customWidth="1"/>
    <col min="8203" max="8203" width="8.88671875" style="573"/>
    <col min="8204" max="8204" width="12.88671875" style="573" bestFit="1" customWidth="1"/>
    <col min="8205" max="8448" width="8.88671875" style="573"/>
    <col min="8449" max="8449" width="3.6640625" style="573" bestFit="1" customWidth="1"/>
    <col min="8450" max="8450" width="8.33203125" style="573" customWidth="1"/>
    <col min="8451" max="8451" width="46.109375" style="573" customWidth="1"/>
    <col min="8452" max="8452" width="11" style="573" customWidth="1"/>
    <col min="8453" max="8453" width="12.5546875" style="573" customWidth="1"/>
    <col min="8454" max="8454" width="10.88671875" style="573" customWidth="1"/>
    <col min="8455" max="8455" width="16.109375" style="573" customWidth="1"/>
    <col min="8456" max="8456" width="0" style="573" hidden="1" customWidth="1"/>
    <col min="8457" max="8457" width="15.44140625" style="573" customWidth="1"/>
    <col min="8458" max="8458" width="12.88671875" style="573" bestFit="1" customWidth="1"/>
    <col min="8459" max="8459" width="8.88671875" style="573"/>
    <col min="8460" max="8460" width="12.88671875" style="573" bestFit="1" customWidth="1"/>
    <col min="8461" max="8704" width="8.88671875" style="573"/>
    <col min="8705" max="8705" width="3.6640625" style="573" bestFit="1" customWidth="1"/>
    <col min="8706" max="8706" width="8.33203125" style="573" customWidth="1"/>
    <col min="8707" max="8707" width="46.109375" style="573" customWidth="1"/>
    <col min="8708" max="8708" width="11" style="573" customWidth="1"/>
    <col min="8709" max="8709" width="12.5546875" style="573" customWidth="1"/>
    <col min="8710" max="8710" width="10.88671875" style="573" customWidth="1"/>
    <col min="8711" max="8711" width="16.109375" style="573" customWidth="1"/>
    <col min="8712" max="8712" width="0" style="573" hidden="1" customWidth="1"/>
    <col min="8713" max="8713" width="15.44140625" style="573" customWidth="1"/>
    <col min="8714" max="8714" width="12.88671875" style="573" bestFit="1" customWidth="1"/>
    <col min="8715" max="8715" width="8.88671875" style="573"/>
    <col min="8716" max="8716" width="12.88671875" style="573" bestFit="1" customWidth="1"/>
    <col min="8717" max="8960" width="8.88671875" style="573"/>
    <col min="8961" max="8961" width="3.6640625" style="573" bestFit="1" customWidth="1"/>
    <col min="8962" max="8962" width="8.33203125" style="573" customWidth="1"/>
    <col min="8963" max="8963" width="46.109375" style="573" customWidth="1"/>
    <col min="8964" max="8964" width="11" style="573" customWidth="1"/>
    <col min="8965" max="8965" width="12.5546875" style="573" customWidth="1"/>
    <col min="8966" max="8966" width="10.88671875" style="573" customWidth="1"/>
    <col min="8967" max="8967" width="16.109375" style="573" customWidth="1"/>
    <col min="8968" max="8968" width="0" style="573" hidden="1" customWidth="1"/>
    <col min="8969" max="8969" width="15.44140625" style="573" customWidth="1"/>
    <col min="8970" max="8970" width="12.88671875" style="573" bestFit="1" customWidth="1"/>
    <col min="8971" max="8971" width="8.88671875" style="573"/>
    <col min="8972" max="8972" width="12.88671875" style="573" bestFit="1" customWidth="1"/>
    <col min="8973" max="9216" width="8.88671875" style="573"/>
    <col min="9217" max="9217" width="3.6640625" style="573" bestFit="1" customWidth="1"/>
    <col min="9218" max="9218" width="8.33203125" style="573" customWidth="1"/>
    <col min="9219" max="9219" width="46.109375" style="573" customWidth="1"/>
    <col min="9220" max="9220" width="11" style="573" customWidth="1"/>
    <col min="9221" max="9221" width="12.5546875" style="573" customWidth="1"/>
    <col min="9222" max="9222" width="10.88671875" style="573" customWidth="1"/>
    <col min="9223" max="9223" width="16.109375" style="573" customWidth="1"/>
    <col min="9224" max="9224" width="0" style="573" hidden="1" customWidth="1"/>
    <col min="9225" max="9225" width="15.44140625" style="573" customWidth="1"/>
    <col min="9226" max="9226" width="12.88671875" style="573" bestFit="1" customWidth="1"/>
    <col min="9227" max="9227" width="8.88671875" style="573"/>
    <col min="9228" max="9228" width="12.88671875" style="573" bestFit="1" customWidth="1"/>
    <col min="9229" max="9472" width="8.88671875" style="573"/>
    <col min="9473" max="9473" width="3.6640625" style="573" bestFit="1" customWidth="1"/>
    <col min="9474" max="9474" width="8.33203125" style="573" customWidth="1"/>
    <col min="9475" max="9475" width="46.109375" style="573" customWidth="1"/>
    <col min="9476" max="9476" width="11" style="573" customWidth="1"/>
    <col min="9477" max="9477" width="12.5546875" style="573" customWidth="1"/>
    <col min="9478" max="9478" width="10.88671875" style="573" customWidth="1"/>
    <col min="9479" max="9479" width="16.109375" style="573" customWidth="1"/>
    <col min="9480" max="9480" width="0" style="573" hidden="1" customWidth="1"/>
    <col min="9481" max="9481" width="15.44140625" style="573" customWidth="1"/>
    <col min="9482" max="9482" width="12.88671875" style="573" bestFit="1" customWidth="1"/>
    <col min="9483" max="9483" width="8.88671875" style="573"/>
    <col min="9484" max="9484" width="12.88671875" style="573" bestFit="1" customWidth="1"/>
    <col min="9485" max="9728" width="8.88671875" style="573"/>
    <col min="9729" max="9729" width="3.6640625" style="573" bestFit="1" customWidth="1"/>
    <col min="9730" max="9730" width="8.33203125" style="573" customWidth="1"/>
    <col min="9731" max="9731" width="46.109375" style="573" customWidth="1"/>
    <col min="9732" max="9732" width="11" style="573" customWidth="1"/>
    <col min="9733" max="9733" width="12.5546875" style="573" customWidth="1"/>
    <col min="9734" max="9734" width="10.88671875" style="573" customWidth="1"/>
    <col min="9735" max="9735" width="16.109375" style="573" customWidth="1"/>
    <col min="9736" max="9736" width="0" style="573" hidden="1" customWidth="1"/>
    <col min="9737" max="9737" width="15.44140625" style="573" customWidth="1"/>
    <col min="9738" max="9738" width="12.88671875" style="573" bestFit="1" customWidth="1"/>
    <col min="9739" max="9739" width="8.88671875" style="573"/>
    <col min="9740" max="9740" width="12.88671875" style="573" bestFit="1" customWidth="1"/>
    <col min="9741" max="9984" width="8.88671875" style="573"/>
    <col min="9985" max="9985" width="3.6640625" style="573" bestFit="1" customWidth="1"/>
    <col min="9986" max="9986" width="8.33203125" style="573" customWidth="1"/>
    <col min="9987" max="9987" width="46.109375" style="573" customWidth="1"/>
    <col min="9988" max="9988" width="11" style="573" customWidth="1"/>
    <col min="9989" max="9989" width="12.5546875" style="573" customWidth="1"/>
    <col min="9990" max="9990" width="10.88671875" style="573" customWidth="1"/>
    <col min="9991" max="9991" width="16.109375" style="573" customWidth="1"/>
    <col min="9992" max="9992" width="0" style="573" hidden="1" customWidth="1"/>
    <col min="9993" max="9993" width="15.44140625" style="573" customWidth="1"/>
    <col min="9994" max="9994" width="12.88671875" style="573" bestFit="1" customWidth="1"/>
    <col min="9995" max="9995" width="8.88671875" style="573"/>
    <col min="9996" max="9996" width="12.88671875" style="573" bestFit="1" customWidth="1"/>
    <col min="9997" max="10240" width="8.88671875" style="573"/>
    <col min="10241" max="10241" width="3.6640625" style="573" bestFit="1" customWidth="1"/>
    <col min="10242" max="10242" width="8.33203125" style="573" customWidth="1"/>
    <col min="10243" max="10243" width="46.109375" style="573" customWidth="1"/>
    <col min="10244" max="10244" width="11" style="573" customWidth="1"/>
    <col min="10245" max="10245" width="12.5546875" style="573" customWidth="1"/>
    <col min="10246" max="10246" width="10.88671875" style="573" customWidth="1"/>
    <col min="10247" max="10247" width="16.109375" style="573" customWidth="1"/>
    <col min="10248" max="10248" width="0" style="573" hidden="1" customWidth="1"/>
    <col min="10249" max="10249" width="15.44140625" style="573" customWidth="1"/>
    <col min="10250" max="10250" width="12.88671875" style="573" bestFit="1" customWidth="1"/>
    <col min="10251" max="10251" width="8.88671875" style="573"/>
    <col min="10252" max="10252" width="12.88671875" style="573" bestFit="1" customWidth="1"/>
    <col min="10253" max="10496" width="8.88671875" style="573"/>
    <col min="10497" max="10497" width="3.6640625" style="573" bestFit="1" customWidth="1"/>
    <col min="10498" max="10498" width="8.33203125" style="573" customWidth="1"/>
    <col min="10499" max="10499" width="46.109375" style="573" customWidth="1"/>
    <col min="10500" max="10500" width="11" style="573" customWidth="1"/>
    <col min="10501" max="10501" width="12.5546875" style="573" customWidth="1"/>
    <col min="10502" max="10502" width="10.88671875" style="573" customWidth="1"/>
    <col min="10503" max="10503" width="16.109375" style="573" customWidth="1"/>
    <col min="10504" max="10504" width="0" style="573" hidden="1" customWidth="1"/>
    <col min="10505" max="10505" width="15.44140625" style="573" customWidth="1"/>
    <col min="10506" max="10506" width="12.88671875" style="573" bestFit="1" customWidth="1"/>
    <col min="10507" max="10507" width="8.88671875" style="573"/>
    <col min="10508" max="10508" width="12.88671875" style="573" bestFit="1" customWidth="1"/>
    <col min="10509" max="10752" width="8.88671875" style="573"/>
    <col min="10753" max="10753" width="3.6640625" style="573" bestFit="1" customWidth="1"/>
    <col min="10754" max="10754" width="8.33203125" style="573" customWidth="1"/>
    <col min="10755" max="10755" width="46.109375" style="573" customWidth="1"/>
    <col min="10756" max="10756" width="11" style="573" customWidth="1"/>
    <col min="10757" max="10757" width="12.5546875" style="573" customWidth="1"/>
    <col min="10758" max="10758" width="10.88671875" style="573" customWidth="1"/>
    <col min="10759" max="10759" width="16.109375" style="573" customWidth="1"/>
    <col min="10760" max="10760" width="0" style="573" hidden="1" customWidth="1"/>
    <col min="10761" max="10761" width="15.44140625" style="573" customWidth="1"/>
    <col min="10762" max="10762" width="12.88671875" style="573" bestFit="1" customWidth="1"/>
    <col min="10763" max="10763" width="8.88671875" style="573"/>
    <col min="10764" max="10764" width="12.88671875" style="573" bestFit="1" customWidth="1"/>
    <col min="10765" max="11008" width="8.88671875" style="573"/>
    <col min="11009" max="11009" width="3.6640625" style="573" bestFit="1" customWidth="1"/>
    <col min="11010" max="11010" width="8.33203125" style="573" customWidth="1"/>
    <col min="11011" max="11011" width="46.109375" style="573" customWidth="1"/>
    <col min="11012" max="11012" width="11" style="573" customWidth="1"/>
    <col min="11013" max="11013" width="12.5546875" style="573" customWidth="1"/>
    <col min="11014" max="11014" width="10.88671875" style="573" customWidth="1"/>
    <col min="11015" max="11015" width="16.109375" style="573" customWidth="1"/>
    <col min="11016" max="11016" width="0" style="573" hidden="1" customWidth="1"/>
    <col min="11017" max="11017" width="15.44140625" style="573" customWidth="1"/>
    <col min="11018" max="11018" width="12.88671875" style="573" bestFit="1" customWidth="1"/>
    <col min="11019" max="11019" width="8.88671875" style="573"/>
    <col min="11020" max="11020" width="12.88671875" style="573" bestFit="1" customWidth="1"/>
    <col min="11021" max="11264" width="8.88671875" style="573"/>
    <col min="11265" max="11265" width="3.6640625" style="573" bestFit="1" customWidth="1"/>
    <col min="11266" max="11266" width="8.33203125" style="573" customWidth="1"/>
    <col min="11267" max="11267" width="46.109375" style="573" customWidth="1"/>
    <col min="11268" max="11268" width="11" style="573" customWidth="1"/>
    <col min="11269" max="11269" width="12.5546875" style="573" customWidth="1"/>
    <col min="11270" max="11270" width="10.88671875" style="573" customWidth="1"/>
    <col min="11271" max="11271" width="16.109375" style="573" customWidth="1"/>
    <col min="11272" max="11272" width="0" style="573" hidden="1" customWidth="1"/>
    <col min="11273" max="11273" width="15.44140625" style="573" customWidth="1"/>
    <col min="11274" max="11274" width="12.88671875" style="573" bestFit="1" customWidth="1"/>
    <col min="11275" max="11275" width="8.88671875" style="573"/>
    <col min="11276" max="11276" width="12.88671875" style="573" bestFit="1" customWidth="1"/>
    <col min="11277" max="11520" width="8.88671875" style="573"/>
    <col min="11521" max="11521" width="3.6640625" style="573" bestFit="1" customWidth="1"/>
    <col min="11522" max="11522" width="8.33203125" style="573" customWidth="1"/>
    <col min="11523" max="11523" width="46.109375" style="573" customWidth="1"/>
    <col min="11524" max="11524" width="11" style="573" customWidth="1"/>
    <col min="11525" max="11525" width="12.5546875" style="573" customWidth="1"/>
    <col min="11526" max="11526" width="10.88671875" style="573" customWidth="1"/>
    <col min="11527" max="11527" width="16.109375" style="573" customWidth="1"/>
    <col min="11528" max="11528" width="0" style="573" hidden="1" customWidth="1"/>
    <col min="11529" max="11529" width="15.44140625" style="573" customWidth="1"/>
    <col min="11530" max="11530" width="12.88671875" style="573" bestFit="1" customWidth="1"/>
    <col min="11531" max="11531" width="8.88671875" style="573"/>
    <col min="11532" max="11532" width="12.88671875" style="573" bestFit="1" customWidth="1"/>
    <col min="11533" max="11776" width="8.88671875" style="573"/>
    <col min="11777" max="11777" width="3.6640625" style="573" bestFit="1" customWidth="1"/>
    <col min="11778" max="11778" width="8.33203125" style="573" customWidth="1"/>
    <col min="11779" max="11779" width="46.109375" style="573" customWidth="1"/>
    <col min="11780" max="11780" width="11" style="573" customWidth="1"/>
    <col min="11781" max="11781" width="12.5546875" style="573" customWidth="1"/>
    <col min="11782" max="11782" width="10.88671875" style="573" customWidth="1"/>
    <col min="11783" max="11783" width="16.109375" style="573" customWidth="1"/>
    <col min="11784" max="11784" width="0" style="573" hidden="1" customWidth="1"/>
    <col min="11785" max="11785" width="15.44140625" style="573" customWidth="1"/>
    <col min="11786" max="11786" width="12.88671875" style="573" bestFit="1" customWidth="1"/>
    <col min="11787" max="11787" width="8.88671875" style="573"/>
    <col min="11788" max="11788" width="12.88671875" style="573" bestFit="1" customWidth="1"/>
    <col min="11789" max="12032" width="8.88671875" style="573"/>
    <col min="12033" max="12033" width="3.6640625" style="573" bestFit="1" customWidth="1"/>
    <col min="12034" max="12034" width="8.33203125" style="573" customWidth="1"/>
    <col min="12035" max="12035" width="46.109375" style="573" customWidth="1"/>
    <col min="12036" max="12036" width="11" style="573" customWidth="1"/>
    <col min="12037" max="12037" width="12.5546875" style="573" customWidth="1"/>
    <col min="12038" max="12038" width="10.88671875" style="573" customWidth="1"/>
    <col min="12039" max="12039" width="16.109375" style="573" customWidth="1"/>
    <col min="12040" max="12040" width="0" style="573" hidden="1" customWidth="1"/>
    <col min="12041" max="12041" width="15.44140625" style="573" customWidth="1"/>
    <col min="12042" max="12042" width="12.88671875" style="573" bestFit="1" customWidth="1"/>
    <col min="12043" max="12043" width="8.88671875" style="573"/>
    <col min="12044" max="12044" width="12.88671875" style="573" bestFit="1" customWidth="1"/>
    <col min="12045" max="12288" width="8.88671875" style="573"/>
    <col min="12289" max="12289" width="3.6640625" style="573" bestFit="1" customWidth="1"/>
    <col min="12290" max="12290" width="8.33203125" style="573" customWidth="1"/>
    <col min="12291" max="12291" width="46.109375" style="573" customWidth="1"/>
    <col min="12292" max="12292" width="11" style="573" customWidth="1"/>
    <col min="12293" max="12293" width="12.5546875" style="573" customWidth="1"/>
    <col min="12294" max="12294" width="10.88671875" style="573" customWidth="1"/>
    <col min="12295" max="12295" width="16.109375" style="573" customWidth="1"/>
    <col min="12296" max="12296" width="0" style="573" hidden="1" customWidth="1"/>
    <col min="12297" max="12297" width="15.44140625" style="573" customWidth="1"/>
    <col min="12298" max="12298" width="12.88671875" style="573" bestFit="1" customWidth="1"/>
    <col min="12299" max="12299" width="8.88671875" style="573"/>
    <col min="12300" max="12300" width="12.88671875" style="573" bestFit="1" customWidth="1"/>
    <col min="12301" max="12544" width="8.88671875" style="573"/>
    <col min="12545" max="12545" width="3.6640625" style="573" bestFit="1" customWidth="1"/>
    <col min="12546" max="12546" width="8.33203125" style="573" customWidth="1"/>
    <col min="12547" max="12547" width="46.109375" style="573" customWidth="1"/>
    <col min="12548" max="12548" width="11" style="573" customWidth="1"/>
    <col min="12549" max="12549" width="12.5546875" style="573" customWidth="1"/>
    <col min="12550" max="12550" width="10.88671875" style="573" customWidth="1"/>
    <col min="12551" max="12551" width="16.109375" style="573" customWidth="1"/>
    <col min="12552" max="12552" width="0" style="573" hidden="1" customWidth="1"/>
    <col min="12553" max="12553" width="15.44140625" style="573" customWidth="1"/>
    <col min="12554" max="12554" width="12.88671875" style="573" bestFit="1" customWidth="1"/>
    <col min="12555" max="12555" width="8.88671875" style="573"/>
    <col min="12556" max="12556" width="12.88671875" style="573" bestFit="1" customWidth="1"/>
    <col min="12557" max="12800" width="8.88671875" style="573"/>
    <col min="12801" max="12801" width="3.6640625" style="573" bestFit="1" customWidth="1"/>
    <col min="12802" max="12802" width="8.33203125" style="573" customWidth="1"/>
    <col min="12803" max="12803" width="46.109375" style="573" customWidth="1"/>
    <col min="12804" max="12804" width="11" style="573" customWidth="1"/>
    <col min="12805" max="12805" width="12.5546875" style="573" customWidth="1"/>
    <col min="12806" max="12806" width="10.88671875" style="573" customWidth="1"/>
    <col min="12807" max="12807" width="16.109375" style="573" customWidth="1"/>
    <col min="12808" max="12808" width="0" style="573" hidden="1" customWidth="1"/>
    <col min="12809" max="12809" width="15.44140625" style="573" customWidth="1"/>
    <col min="12810" max="12810" width="12.88671875" style="573" bestFit="1" customWidth="1"/>
    <col min="12811" max="12811" width="8.88671875" style="573"/>
    <col min="12812" max="12812" width="12.88671875" style="573" bestFit="1" customWidth="1"/>
    <col min="12813" max="13056" width="8.88671875" style="573"/>
    <col min="13057" max="13057" width="3.6640625" style="573" bestFit="1" customWidth="1"/>
    <col min="13058" max="13058" width="8.33203125" style="573" customWidth="1"/>
    <col min="13059" max="13059" width="46.109375" style="573" customWidth="1"/>
    <col min="13060" max="13060" width="11" style="573" customWidth="1"/>
    <col min="13061" max="13061" width="12.5546875" style="573" customWidth="1"/>
    <col min="13062" max="13062" width="10.88671875" style="573" customWidth="1"/>
    <col min="13063" max="13063" width="16.109375" style="573" customWidth="1"/>
    <col min="13064" max="13064" width="0" style="573" hidden="1" customWidth="1"/>
    <col min="13065" max="13065" width="15.44140625" style="573" customWidth="1"/>
    <col min="13066" max="13066" width="12.88671875" style="573" bestFit="1" customWidth="1"/>
    <col min="13067" max="13067" width="8.88671875" style="573"/>
    <col min="13068" max="13068" width="12.88671875" style="573" bestFit="1" customWidth="1"/>
    <col min="13069" max="13312" width="8.88671875" style="573"/>
    <col min="13313" max="13313" width="3.6640625" style="573" bestFit="1" customWidth="1"/>
    <col min="13314" max="13314" width="8.33203125" style="573" customWidth="1"/>
    <col min="13315" max="13315" width="46.109375" style="573" customWidth="1"/>
    <col min="13316" max="13316" width="11" style="573" customWidth="1"/>
    <col min="13317" max="13317" width="12.5546875" style="573" customWidth="1"/>
    <col min="13318" max="13318" width="10.88671875" style="573" customWidth="1"/>
    <col min="13319" max="13319" width="16.109375" style="573" customWidth="1"/>
    <col min="13320" max="13320" width="0" style="573" hidden="1" customWidth="1"/>
    <col min="13321" max="13321" width="15.44140625" style="573" customWidth="1"/>
    <col min="13322" max="13322" width="12.88671875" style="573" bestFit="1" customWidth="1"/>
    <col min="13323" max="13323" width="8.88671875" style="573"/>
    <col min="13324" max="13324" width="12.88671875" style="573" bestFit="1" customWidth="1"/>
    <col min="13325" max="13568" width="8.88671875" style="573"/>
    <col min="13569" max="13569" width="3.6640625" style="573" bestFit="1" customWidth="1"/>
    <col min="13570" max="13570" width="8.33203125" style="573" customWidth="1"/>
    <col min="13571" max="13571" width="46.109375" style="573" customWidth="1"/>
    <col min="13572" max="13572" width="11" style="573" customWidth="1"/>
    <col min="13573" max="13573" width="12.5546875" style="573" customWidth="1"/>
    <col min="13574" max="13574" width="10.88671875" style="573" customWidth="1"/>
    <col min="13575" max="13575" width="16.109375" style="573" customWidth="1"/>
    <col min="13576" max="13576" width="0" style="573" hidden="1" customWidth="1"/>
    <col min="13577" max="13577" width="15.44140625" style="573" customWidth="1"/>
    <col min="13578" max="13578" width="12.88671875" style="573" bestFit="1" customWidth="1"/>
    <col min="13579" max="13579" width="8.88671875" style="573"/>
    <col min="13580" max="13580" width="12.88671875" style="573" bestFit="1" customWidth="1"/>
    <col min="13581" max="13824" width="8.88671875" style="573"/>
    <col min="13825" max="13825" width="3.6640625" style="573" bestFit="1" customWidth="1"/>
    <col min="13826" max="13826" width="8.33203125" style="573" customWidth="1"/>
    <col min="13827" max="13827" width="46.109375" style="573" customWidth="1"/>
    <col min="13828" max="13828" width="11" style="573" customWidth="1"/>
    <col min="13829" max="13829" width="12.5546875" style="573" customWidth="1"/>
    <col min="13830" max="13830" width="10.88671875" style="573" customWidth="1"/>
    <col min="13831" max="13831" width="16.109375" style="573" customWidth="1"/>
    <col min="13832" max="13832" width="0" style="573" hidden="1" customWidth="1"/>
    <col min="13833" max="13833" width="15.44140625" style="573" customWidth="1"/>
    <col min="13834" max="13834" width="12.88671875" style="573" bestFit="1" customWidth="1"/>
    <col min="13835" max="13835" width="8.88671875" style="573"/>
    <col min="13836" max="13836" width="12.88671875" style="573" bestFit="1" customWidth="1"/>
    <col min="13837" max="14080" width="8.88671875" style="573"/>
    <col min="14081" max="14081" width="3.6640625" style="573" bestFit="1" customWidth="1"/>
    <col min="14082" max="14082" width="8.33203125" style="573" customWidth="1"/>
    <col min="14083" max="14083" width="46.109375" style="573" customWidth="1"/>
    <col min="14084" max="14084" width="11" style="573" customWidth="1"/>
    <col min="14085" max="14085" width="12.5546875" style="573" customWidth="1"/>
    <col min="14086" max="14086" width="10.88671875" style="573" customWidth="1"/>
    <col min="14087" max="14087" width="16.109375" style="573" customWidth="1"/>
    <col min="14088" max="14088" width="0" style="573" hidden="1" customWidth="1"/>
    <col min="14089" max="14089" width="15.44140625" style="573" customWidth="1"/>
    <col min="14090" max="14090" width="12.88671875" style="573" bestFit="1" customWidth="1"/>
    <col min="14091" max="14091" width="8.88671875" style="573"/>
    <col min="14092" max="14092" width="12.88671875" style="573" bestFit="1" customWidth="1"/>
    <col min="14093" max="14336" width="8.88671875" style="573"/>
    <col min="14337" max="14337" width="3.6640625" style="573" bestFit="1" customWidth="1"/>
    <col min="14338" max="14338" width="8.33203125" style="573" customWidth="1"/>
    <col min="14339" max="14339" width="46.109375" style="573" customWidth="1"/>
    <col min="14340" max="14340" width="11" style="573" customWidth="1"/>
    <col min="14341" max="14341" width="12.5546875" style="573" customWidth="1"/>
    <col min="14342" max="14342" width="10.88671875" style="573" customWidth="1"/>
    <col min="14343" max="14343" width="16.109375" style="573" customWidth="1"/>
    <col min="14344" max="14344" width="0" style="573" hidden="1" customWidth="1"/>
    <col min="14345" max="14345" width="15.44140625" style="573" customWidth="1"/>
    <col min="14346" max="14346" width="12.88671875" style="573" bestFit="1" customWidth="1"/>
    <col min="14347" max="14347" width="8.88671875" style="573"/>
    <col min="14348" max="14348" width="12.88671875" style="573" bestFit="1" customWidth="1"/>
    <col min="14349" max="14592" width="8.88671875" style="573"/>
    <col min="14593" max="14593" width="3.6640625" style="573" bestFit="1" customWidth="1"/>
    <col min="14594" max="14594" width="8.33203125" style="573" customWidth="1"/>
    <col min="14595" max="14595" width="46.109375" style="573" customWidth="1"/>
    <col min="14596" max="14596" width="11" style="573" customWidth="1"/>
    <col min="14597" max="14597" width="12.5546875" style="573" customWidth="1"/>
    <col min="14598" max="14598" width="10.88671875" style="573" customWidth="1"/>
    <col min="14599" max="14599" width="16.109375" style="573" customWidth="1"/>
    <col min="14600" max="14600" width="0" style="573" hidden="1" customWidth="1"/>
    <col min="14601" max="14601" width="15.44140625" style="573" customWidth="1"/>
    <col min="14602" max="14602" width="12.88671875" style="573" bestFit="1" customWidth="1"/>
    <col min="14603" max="14603" width="8.88671875" style="573"/>
    <col min="14604" max="14604" width="12.88671875" style="573" bestFit="1" customWidth="1"/>
    <col min="14605" max="14848" width="8.88671875" style="573"/>
    <col min="14849" max="14849" width="3.6640625" style="573" bestFit="1" customWidth="1"/>
    <col min="14850" max="14850" width="8.33203125" style="573" customWidth="1"/>
    <col min="14851" max="14851" width="46.109375" style="573" customWidth="1"/>
    <col min="14852" max="14852" width="11" style="573" customWidth="1"/>
    <col min="14853" max="14853" width="12.5546875" style="573" customWidth="1"/>
    <col min="14854" max="14854" width="10.88671875" style="573" customWidth="1"/>
    <col min="14855" max="14855" width="16.109375" style="573" customWidth="1"/>
    <col min="14856" max="14856" width="0" style="573" hidden="1" customWidth="1"/>
    <col min="14857" max="14857" width="15.44140625" style="573" customWidth="1"/>
    <col min="14858" max="14858" width="12.88671875" style="573" bestFit="1" customWidth="1"/>
    <col min="14859" max="14859" width="8.88671875" style="573"/>
    <col min="14860" max="14860" width="12.88671875" style="573" bestFit="1" customWidth="1"/>
    <col min="14861" max="15104" width="8.88671875" style="573"/>
    <col min="15105" max="15105" width="3.6640625" style="573" bestFit="1" customWidth="1"/>
    <col min="15106" max="15106" width="8.33203125" style="573" customWidth="1"/>
    <col min="15107" max="15107" width="46.109375" style="573" customWidth="1"/>
    <col min="15108" max="15108" width="11" style="573" customWidth="1"/>
    <col min="15109" max="15109" width="12.5546875" style="573" customWidth="1"/>
    <col min="15110" max="15110" width="10.88671875" style="573" customWidth="1"/>
    <col min="15111" max="15111" width="16.109375" style="573" customWidth="1"/>
    <col min="15112" max="15112" width="0" style="573" hidden="1" customWidth="1"/>
    <col min="15113" max="15113" width="15.44140625" style="573" customWidth="1"/>
    <col min="15114" max="15114" width="12.88671875" style="573" bestFit="1" customWidth="1"/>
    <col min="15115" max="15115" width="8.88671875" style="573"/>
    <col min="15116" max="15116" width="12.88671875" style="573" bestFit="1" customWidth="1"/>
    <col min="15117" max="15360" width="8.88671875" style="573"/>
    <col min="15361" max="15361" width="3.6640625" style="573" bestFit="1" customWidth="1"/>
    <col min="15362" max="15362" width="8.33203125" style="573" customWidth="1"/>
    <col min="15363" max="15363" width="46.109375" style="573" customWidth="1"/>
    <col min="15364" max="15364" width="11" style="573" customWidth="1"/>
    <col min="15365" max="15365" width="12.5546875" style="573" customWidth="1"/>
    <col min="15366" max="15366" width="10.88671875" style="573" customWidth="1"/>
    <col min="15367" max="15367" width="16.109375" style="573" customWidth="1"/>
    <col min="15368" max="15368" width="0" style="573" hidden="1" customWidth="1"/>
    <col min="15369" max="15369" width="15.44140625" style="573" customWidth="1"/>
    <col min="15370" max="15370" width="12.88671875" style="573" bestFit="1" customWidth="1"/>
    <col min="15371" max="15371" width="8.88671875" style="573"/>
    <col min="15372" max="15372" width="12.88671875" style="573" bestFit="1" customWidth="1"/>
    <col min="15373" max="15616" width="8.88671875" style="573"/>
    <col min="15617" max="15617" width="3.6640625" style="573" bestFit="1" customWidth="1"/>
    <col min="15618" max="15618" width="8.33203125" style="573" customWidth="1"/>
    <col min="15619" max="15619" width="46.109375" style="573" customWidth="1"/>
    <col min="15620" max="15620" width="11" style="573" customWidth="1"/>
    <col min="15621" max="15621" width="12.5546875" style="573" customWidth="1"/>
    <col min="15622" max="15622" width="10.88671875" style="573" customWidth="1"/>
    <col min="15623" max="15623" width="16.109375" style="573" customWidth="1"/>
    <col min="15624" max="15624" width="0" style="573" hidden="1" customWidth="1"/>
    <col min="15625" max="15625" width="15.44140625" style="573" customWidth="1"/>
    <col min="15626" max="15626" width="12.88671875" style="573" bestFit="1" customWidth="1"/>
    <col min="15627" max="15627" width="8.88671875" style="573"/>
    <col min="15628" max="15628" width="12.88671875" style="573" bestFit="1" customWidth="1"/>
    <col min="15629" max="15872" width="8.88671875" style="573"/>
    <col min="15873" max="15873" width="3.6640625" style="573" bestFit="1" customWidth="1"/>
    <col min="15874" max="15874" width="8.33203125" style="573" customWidth="1"/>
    <col min="15875" max="15875" width="46.109375" style="573" customWidth="1"/>
    <col min="15876" max="15876" width="11" style="573" customWidth="1"/>
    <col min="15877" max="15877" width="12.5546875" style="573" customWidth="1"/>
    <col min="15878" max="15878" width="10.88671875" style="573" customWidth="1"/>
    <col min="15879" max="15879" width="16.109375" style="573" customWidth="1"/>
    <col min="15880" max="15880" width="0" style="573" hidden="1" customWidth="1"/>
    <col min="15881" max="15881" width="15.44140625" style="573" customWidth="1"/>
    <col min="15882" max="15882" width="12.88671875" style="573" bestFit="1" customWidth="1"/>
    <col min="15883" max="15883" width="8.88671875" style="573"/>
    <col min="15884" max="15884" width="12.88671875" style="573" bestFit="1" customWidth="1"/>
    <col min="15885" max="16128" width="8.88671875" style="573"/>
    <col min="16129" max="16129" width="3.6640625" style="573" bestFit="1" customWidth="1"/>
    <col min="16130" max="16130" width="8.33203125" style="573" customWidth="1"/>
    <col min="16131" max="16131" width="46.109375" style="573" customWidth="1"/>
    <col min="16132" max="16132" width="11" style="573" customWidth="1"/>
    <col min="16133" max="16133" width="12.5546875" style="573" customWidth="1"/>
    <col min="16134" max="16134" width="10.88671875" style="573" customWidth="1"/>
    <col min="16135" max="16135" width="16.109375" style="573" customWidth="1"/>
    <col min="16136" max="16136" width="0" style="573" hidden="1" customWidth="1"/>
    <col min="16137" max="16137" width="15.44140625" style="573" customWidth="1"/>
    <col min="16138" max="16138" width="12.88671875" style="573" bestFit="1" customWidth="1"/>
    <col min="16139" max="16139" width="8.88671875" style="573"/>
    <col min="16140" max="16140" width="12.88671875" style="573" bestFit="1" customWidth="1"/>
    <col min="16141" max="16384" width="8.88671875" style="573"/>
  </cols>
  <sheetData>
    <row r="1" spans="1:11" s="27" customFormat="1" ht="34.799999999999997" customHeight="1">
      <c r="A1" s="732" t="s">
        <v>1357</v>
      </c>
      <c r="B1" s="733"/>
      <c r="C1" s="734"/>
      <c r="D1" s="880" t="s">
        <v>385</v>
      </c>
      <c r="E1" s="881"/>
      <c r="F1" s="881"/>
      <c r="G1" s="882"/>
      <c r="H1" s="588"/>
    </row>
    <row r="2" spans="1:11" s="27" customFormat="1" ht="18" customHeight="1">
      <c r="A2" s="883" t="s">
        <v>11</v>
      </c>
      <c r="B2" s="885" t="s">
        <v>12</v>
      </c>
      <c r="C2" s="887" t="s">
        <v>8</v>
      </c>
      <c r="D2" s="887" t="s">
        <v>13</v>
      </c>
      <c r="E2" s="887" t="s">
        <v>14</v>
      </c>
      <c r="F2" s="888" t="s">
        <v>15</v>
      </c>
      <c r="G2" s="889" t="s">
        <v>16</v>
      </c>
      <c r="H2" s="588"/>
      <c r="K2" s="602">
        <f>11*150000</f>
        <v>1650000</v>
      </c>
    </row>
    <row r="3" spans="1:11" s="27" customFormat="1" ht="15.6" customHeight="1">
      <c r="A3" s="884"/>
      <c r="B3" s="886"/>
      <c r="C3" s="887"/>
      <c r="D3" s="887"/>
      <c r="E3" s="887"/>
      <c r="F3" s="888"/>
      <c r="G3" s="889"/>
      <c r="H3" s="567"/>
    </row>
    <row r="4" spans="1:11" s="565" customFormat="1" ht="24" customHeight="1">
      <c r="A4" s="615">
        <v>1.1000000000000001</v>
      </c>
      <c r="B4" s="46"/>
      <c r="C4" s="643" t="s">
        <v>1358</v>
      </c>
      <c r="D4" s="46"/>
      <c r="E4" s="46"/>
      <c r="F4" s="57"/>
      <c r="G4" s="735"/>
      <c r="H4" s="588" t="e">
        <f>SUM(#REF!)</f>
        <v>#REF!</v>
      </c>
      <c r="I4" s="565">
        <v>12400000</v>
      </c>
    </row>
    <row r="5" spans="1:11" s="565" customFormat="1" ht="24.9" customHeight="1">
      <c r="A5" s="736" t="s">
        <v>1359</v>
      </c>
      <c r="B5" s="46" t="s">
        <v>1360</v>
      </c>
      <c r="C5" s="436" t="s">
        <v>1361</v>
      </c>
      <c r="D5" s="46" t="s">
        <v>708</v>
      </c>
      <c r="E5" s="46"/>
      <c r="F5" s="57"/>
      <c r="G5" s="735"/>
      <c r="H5" s="588">
        <f>G5/35</f>
        <v>0</v>
      </c>
      <c r="J5" s="644">
        <v>14743590.707278688</v>
      </c>
    </row>
    <row r="6" spans="1:11" s="565" customFormat="1" ht="24.9" customHeight="1">
      <c r="A6" s="736" t="s">
        <v>1362</v>
      </c>
      <c r="B6" s="46" t="s">
        <v>1363</v>
      </c>
      <c r="C6" s="436" t="s">
        <v>1364</v>
      </c>
      <c r="D6" s="46" t="s">
        <v>708</v>
      </c>
      <c r="E6" s="46"/>
      <c r="F6" s="57"/>
      <c r="G6" s="735"/>
      <c r="H6" s="588">
        <f>G6/35</f>
        <v>0</v>
      </c>
      <c r="J6" s="644">
        <v>6112122.6142076496</v>
      </c>
    </row>
    <row r="7" spans="1:11" s="565" customFormat="1" ht="24.9" customHeight="1">
      <c r="A7" s="736" t="s">
        <v>1365</v>
      </c>
      <c r="B7" s="46" t="s">
        <v>1366</v>
      </c>
      <c r="C7" s="645" t="s">
        <v>1367</v>
      </c>
      <c r="D7" s="46" t="s">
        <v>1368</v>
      </c>
      <c r="E7" s="46">
        <v>12</v>
      </c>
      <c r="F7" s="57"/>
      <c r="G7" s="735"/>
      <c r="H7" s="588">
        <f>F7/35</f>
        <v>0</v>
      </c>
      <c r="J7" s="644">
        <v>4431104.9945355197</v>
      </c>
    </row>
    <row r="8" spans="1:11" s="565" customFormat="1" ht="24" customHeight="1">
      <c r="A8" s="615">
        <v>1.2</v>
      </c>
      <c r="B8" s="46"/>
      <c r="C8" s="643" t="s">
        <v>1369</v>
      </c>
      <c r="D8" s="46"/>
      <c r="E8" s="46"/>
      <c r="F8" s="57"/>
      <c r="G8" s="735"/>
      <c r="H8" s="588"/>
      <c r="J8" s="644"/>
    </row>
    <row r="9" spans="1:11" s="565" customFormat="1" ht="24.9" customHeight="1">
      <c r="A9" s="736" t="s">
        <v>1370</v>
      </c>
      <c r="B9" s="46" t="s">
        <v>1371</v>
      </c>
      <c r="C9" s="436" t="s">
        <v>1372</v>
      </c>
      <c r="D9" s="46" t="s">
        <v>1368</v>
      </c>
      <c r="E9" s="46">
        <v>12</v>
      </c>
      <c r="F9" s="57"/>
      <c r="G9" s="735"/>
      <c r="H9" s="588"/>
      <c r="J9" s="644">
        <v>287972.33606557379</v>
      </c>
    </row>
    <row r="10" spans="1:11" s="565" customFormat="1" ht="35.1" customHeight="1">
      <c r="A10" s="736" t="s">
        <v>1373</v>
      </c>
      <c r="B10" s="46" t="s">
        <v>1374</v>
      </c>
      <c r="C10" s="645" t="s">
        <v>1375</v>
      </c>
      <c r="D10" s="646" t="s">
        <v>852</v>
      </c>
      <c r="E10" s="46"/>
      <c r="F10" s="57"/>
      <c r="G10" s="737">
        <v>200000</v>
      </c>
      <c r="H10" s="588"/>
      <c r="J10" s="644"/>
    </row>
    <row r="11" spans="1:11" s="565" customFormat="1" ht="35.1" customHeight="1">
      <c r="A11" s="736" t="s">
        <v>1376</v>
      </c>
      <c r="B11" s="46"/>
      <c r="C11" s="645" t="s">
        <v>1377</v>
      </c>
      <c r="D11" s="46" t="s">
        <v>854</v>
      </c>
      <c r="E11" s="647" t="s">
        <v>855</v>
      </c>
      <c r="F11" s="648"/>
      <c r="G11" s="735"/>
      <c r="H11" s="588"/>
      <c r="I11" s="649">
        <f>G49/1837000000</f>
        <v>0</v>
      </c>
      <c r="J11" s="644"/>
    </row>
    <row r="12" spans="1:11" s="565" customFormat="1" ht="24" customHeight="1">
      <c r="A12" s="615">
        <v>1.3</v>
      </c>
      <c r="B12" s="46"/>
      <c r="C12" s="643" t="s">
        <v>1378</v>
      </c>
      <c r="D12" s="46"/>
      <c r="E12" s="46"/>
      <c r="F12" s="57"/>
      <c r="G12" s="735"/>
      <c r="H12" s="588"/>
      <c r="J12" s="644"/>
    </row>
    <row r="13" spans="1:11" s="565" customFormat="1" ht="24.9" customHeight="1">
      <c r="A13" s="736" t="s">
        <v>1379</v>
      </c>
      <c r="B13" s="46" t="s">
        <v>1380</v>
      </c>
      <c r="C13" s="436" t="s">
        <v>1381</v>
      </c>
      <c r="D13" s="46" t="s">
        <v>55</v>
      </c>
      <c r="E13" s="46">
        <v>10</v>
      </c>
      <c r="F13" s="57"/>
      <c r="G13" s="735"/>
      <c r="H13" s="588"/>
      <c r="J13" s="644">
        <v>646247.56557377044</v>
      </c>
    </row>
    <row r="14" spans="1:11" s="565" customFormat="1" ht="24.9" customHeight="1">
      <c r="A14" s="736" t="s">
        <v>1382</v>
      </c>
      <c r="B14" s="46" t="s">
        <v>1383</v>
      </c>
      <c r="C14" s="436" t="s">
        <v>1384</v>
      </c>
      <c r="D14" s="646" t="s">
        <v>852</v>
      </c>
      <c r="E14" s="46"/>
      <c r="F14" s="650"/>
      <c r="G14" s="664">
        <v>600000</v>
      </c>
      <c r="H14" s="588"/>
      <c r="J14" s="644"/>
    </row>
    <row r="15" spans="1:11" s="565" customFormat="1" ht="33.75" customHeight="1">
      <c r="A15" s="736" t="s">
        <v>1385</v>
      </c>
      <c r="B15" s="46"/>
      <c r="C15" s="436" t="s">
        <v>1386</v>
      </c>
      <c r="D15" s="46" t="s">
        <v>854</v>
      </c>
      <c r="E15" s="647" t="str">
        <f>E11</f>
        <v>%</v>
      </c>
      <c r="F15" s="651"/>
      <c r="G15" s="662"/>
      <c r="H15" s="588"/>
      <c r="J15" s="644"/>
    </row>
    <row r="16" spans="1:11" s="565" customFormat="1" ht="24.9" customHeight="1">
      <c r="A16" s="615">
        <v>1.4</v>
      </c>
      <c r="B16" s="46"/>
      <c r="C16" s="652" t="s">
        <v>1387</v>
      </c>
      <c r="D16" s="46"/>
      <c r="E16" s="46"/>
      <c r="F16" s="650"/>
      <c r="G16" s="662"/>
      <c r="H16" s="588"/>
      <c r="J16" s="644"/>
    </row>
    <row r="17" spans="1:10" s="565" customFormat="1" ht="31.2" customHeight="1">
      <c r="A17" s="736" t="s">
        <v>1388</v>
      </c>
      <c r="B17" s="46" t="s">
        <v>1389</v>
      </c>
      <c r="C17" s="653" t="s">
        <v>1390</v>
      </c>
      <c r="D17" s="646" t="s">
        <v>852</v>
      </c>
      <c r="E17" s="46"/>
      <c r="F17" s="650"/>
      <c r="G17" s="664">
        <v>1000000</v>
      </c>
      <c r="H17" s="588"/>
      <c r="J17" s="644"/>
    </row>
    <row r="18" spans="1:10" s="565" customFormat="1" ht="40.5" customHeight="1">
      <c r="A18" s="736" t="s">
        <v>1391</v>
      </c>
      <c r="B18" s="46"/>
      <c r="C18" s="654" t="s">
        <v>1392</v>
      </c>
      <c r="D18" s="46" t="s">
        <v>854</v>
      </c>
      <c r="E18" s="647" t="str">
        <f>E15</f>
        <v>%</v>
      </c>
      <c r="F18" s="651"/>
      <c r="G18" s="662"/>
      <c r="H18" s="588"/>
      <c r="J18" s="644">
        <f>800000*1.2</f>
        <v>960000</v>
      </c>
    </row>
    <row r="19" spans="1:10" s="565" customFormat="1" ht="24" customHeight="1">
      <c r="A19" s="615">
        <v>1.5</v>
      </c>
      <c r="B19" s="46"/>
      <c r="C19" s="655" t="s">
        <v>1393</v>
      </c>
      <c r="D19" s="46"/>
      <c r="E19" s="46"/>
      <c r="F19" s="57"/>
      <c r="G19" s="735"/>
      <c r="H19" s="588"/>
      <c r="J19" s="644"/>
    </row>
    <row r="20" spans="1:10" s="565" customFormat="1" ht="35.1" customHeight="1">
      <c r="A20" s="736" t="s">
        <v>1394</v>
      </c>
      <c r="B20" s="46" t="s">
        <v>1395</v>
      </c>
      <c r="C20" s="653" t="s">
        <v>1396</v>
      </c>
      <c r="D20" s="46" t="s">
        <v>708</v>
      </c>
      <c r="E20" s="46"/>
      <c r="F20" s="57"/>
      <c r="G20" s="735"/>
      <c r="H20" s="588"/>
      <c r="J20" s="644">
        <v>3284842.0901639345</v>
      </c>
    </row>
    <row r="21" spans="1:10" s="565" customFormat="1" ht="24" customHeight="1">
      <c r="A21" s="615">
        <v>1.6</v>
      </c>
      <c r="B21" s="46"/>
      <c r="C21" s="643" t="s">
        <v>1397</v>
      </c>
      <c r="D21" s="46"/>
      <c r="E21" s="46"/>
      <c r="F21" s="57"/>
      <c r="G21" s="735"/>
      <c r="H21" s="656"/>
      <c r="J21" s="644"/>
    </row>
    <row r="22" spans="1:10" s="565" customFormat="1" ht="47.4" customHeight="1">
      <c r="A22" s="736" t="s">
        <v>1398</v>
      </c>
      <c r="B22" s="46" t="s">
        <v>1399</v>
      </c>
      <c r="C22" s="722" t="s">
        <v>1400</v>
      </c>
      <c r="D22" s="46" t="s">
        <v>708</v>
      </c>
      <c r="E22" s="46"/>
      <c r="F22" s="57"/>
      <c r="G22" s="735"/>
      <c r="H22" s="656"/>
      <c r="J22" s="644">
        <v>921101.9147540984</v>
      </c>
    </row>
    <row r="23" spans="1:10" s="565" customFormat="1" ht="30.75" customHeight="1">
      <c r="A23" s="736" t="s">
        <v>1401</v>
      </c>
      <c r="B23" s="46" t="s">
        <v>1402</v>
      </c>
      <c r="C23" s="645" t="s">
        <v>1403</v>
      </c>
      <c r="D23" s="46" t="s">
        <v>708</v>
      </c>
      <c r="E23" s="46"/>
      <c r="F23" s="57"/>
      <c r="G23" s="735"/>
      <c r="H23" s="656"/>
      <c r="J23" s="644">
        <v>2032745.9016393442</v>
      </c>
    </row>
    <row r="24" spans="1:10" s="565" customFormat="1" ht="21.6" customHeight="1">
      <c r="A24" s="736" t="s">
        <v>1404</v>
      </c>
      <c r="B24" s="46" t="s">
        <v>1405</v>
      </c>
      <c r="C24" s="645" t="s">
        <v>1484</v>
      </c>
      <c r="D24" s="646" t="s">
        <v>852</v>
      </c>
      <c r="E24" s="46"/>
      <c r="F24" s="57"/>
      <c r="G24" s="664">
        <f>'[5]EHSH -1.6 7F'!$F$40</f>
        <v>1500000</v>
      </c>
      <c r="H24" s="656"/>
      <c r="J24" s="644"/>
    </row>
    <row r="25" spans="1:10" s="565" customFormat="1" ht="36" customHeight="1">
      <c r="A25" s="736" t="s">
        <v>1406</v>
      </c>
      <c r="B25" s="46"/>
      <c r="C25" s="436" t="s">
        <v>1483</v>
      </c>
      <c r="D25" s="46" t="s">
        <v>854</v>
      </c>
      <c r="E25" s="647" t="str">
        <f>E18</f>
        <v>%</v>
      </c>
      <c r="F25" s="648"/>
      <c r="G25" s="662"/>
      <c r="H25" s="656"/>
      <c r="J25" s="644">
        <f>13*1500*30</f>
        <v>585000</v>
      </c>
    </row>
    <row r="26" spans="1:10" s="565" customFormat="1" ht="33" customHeight="1">
      <c r="A26" s="738" t="s">
        <v>1481</v>
      </c>
      <c r="B26" s="46" t="s">
        <v>1482</v>
      </c>
      <c r="C26" s="436" t="s">
        <v>1520</v>
      </c>
      <c r="D26" s="46" t="s">
        <v>1368</v>
      </c>
      <c r="E26" s="647"/>
      <c r="F26" s="648"/>
      <c r="G26" s="662"/>
      <c r="H26" s="656"/>
      <c r="J26" s="644"/>
    </row>
    <row r="27" spans="1:10" s="565" customFormat="1" ht="33" customHeight="1">
      <c r="A27" s="738" t="s">
        <v>1521</v>
      </c>
      <c r="B27" s="46" t="s">
        <v>1522</v>
      </c>
      <c r="C27" s="436" t="s">
        <v>1523</v>
      </c>
      <c r="D27" s="46" t="s">
        <v>708</v>
      </c>
      <c r="E27" s="647"/>
      <c r="F27" s="648"/>
      <c r="G27" s="662"/>
      <c r="H27" s="656"/>
      <c r="J27" s="644"/>
    </row>
    <row r="28" spans="1:10" s="565" customFormat="1">
      <c r="A28" s="615">
        <v>1.7</v>
      </c>
      <c r="B28" s="46"/>
      <c r="C28" s="643" t="s">
        <v>1407</v>
      </c>
      <c r="D28" s="46"/>
      <c r="E28" s="46"/>
      <c r="F28" s="650"/>
      <c r="G28" s="662"/>
      <c r="H28" s="656"/>
      <c r="J28" s="644">
        <f>1000*4*30</f>
        <v>120000</v>
      </c>
    </row>
    <row r="29" spans="1:10" s="565" customFormat="1" ht="39.6">
      <c r="A29" s="736" t="s">
        <v>1408</v>
      </c>
      <c r="B29" s="46" t="s">
        <v>1409</v>
      </c>
      <c r="C29" s="436" t="s">
        <v>1410</v>
      </c>
      <c r="D29" s="46" t="s">
        <v>1368</v>
      </c>
      <c r="E29" s="46">
        <v>12</v>
      </c>
      <c r="F29" s="57"/>
      <c r="G29" s="735"/>
      <c r="H29" s="656">
        <f>140000*1.15</f>
        <v>161000</v>
      </c>
      <c r="J29" s="644">
        <v>1532464.5491803279</v>
      </c>
    </row>
    <row r="30" spans="1:10" s="565" customFormat="1" ht="24" customHeight="1">
      <c r="A30" s="739">
        <v>1.8</v>
      </c>
      <c r="B30" s="46"/>
      <c r="C30" s="643" t="s">
        <v>1411</v>
      </c>
      <c r="D30" s="46"/>
      <c r="E30" s="46"/>
      <c r="F30" s="57"/>
      <c r="G30" s="735"/>
      <c r="H30" s="656"/>
      <c r="J30" s="644"/>
    </row>
    <row r="31" spans="1:10" s="565" customFormat="1" ht="35.1" customHeight="1">
      <c r="A31" s="736" t="s">
        <v>1412</v>
      </c>
      <c r="B31" s="52" t="s">
        <v>1413</v>
      </c>
      <c r="C31" s="653" t="s">
        <v>1414</v>
      </c>
      <c r="D31" s="46" t="s">
        <v>1368</v>
      </c>
      <c r="E31" s="46">
        <v>12</v>
      </c>
      <c r="F31" s="57"/>
      <c r="G31" s="735"/>
      <c r="H31" s="588"/>
      <c r="J31" s="644"/>
    </row>
    <row r="32" spans="1:10" s="565" customFormat="1" ht="24.9" customHeight="1">
      <c r="A32" s="736" t="s">
        <v>1415</v>
      </c>
      <c r="B32" s="52" t="s">
        <v>1416</v>
      </c>
      <c r="C32" s="654" t="s">
        <v>1417</v>
      </c>
      <c r="D32" s="646" t="s">
        <v>852</v>
      </c>
      <c r="E32" s="46"/>
      <c r="F32" s="57"/>
      <c r="G32" s="664">
        <v>120000</v>
      </c>
      <c r="H32" s="588"/>
      <c r="J32" s="644"/>
    </row>
    <row r="33" spans="1:13" s="565" customFormat="1" ht="31.5" customHeight="1">
      <c r="A33" s="810" t="s">
        <v>1418</v>
      </c>
      <c r="B33" s="811"/>
      <c r="C33" s="812" t="s">
        <v>1419</v>
      </c>
      <c r="D33" s="813" t="s">
        <v>854</v>
      </c>
      <c r="E33" s="814" t="str">
        <f>E25</f>
        <v>%</v>
      </c>
      <c r="F33" s="815"/>
      <c r="G33" s="816"/>
      <c r="H33" s="588"/>
      <c r="J33" s="644"/>
    </row>
    <row r="34" spans="1:13" s="565" customFormat="1" ht="24.9" customHeight="1">
      <c r="A34" s="808">
        <v>1.9</v>
      </c>
      <c r="B34" s="36"/>
      <c r="C34" s="643" t="s">
        <v>1420</v>
      </c>
      <c r="D34" s="36"/>
      <c r="E34" s="348"/>
      <c r="F34" s="606"/>
      <c r="G34" s="809"/>
      <c r="H34" s="588"/>
      <c r="I34" s="657" t="s">
        <v>1421</v>
      </c>
      <c r="J34" s="658">
        <v>1</v>
      </c>
      <c r="K34" s="657" t="s">
        <v>1422</v>
      </c>
      <c r="L34" s="657">
        <f>M34*J34</f>
        <v>500000</v>
      </c>
      <c r="M34" s="565">
        <v>500000</v>
      </c>
    </row>
    <row r="35" spans="1:13" s="565" customFormat="1" ht="35.25" customHeight="1">
      <c r="A35" s="740" t="s">
        <v>1423</v>
      </c>
      <c r="B35" s="659" t="s">
        <v>1424</v>
      </c>
      <c r="C35" s="654" t="s">
        <v>1425</v>
      </c>
      <c r="D35" s="660" t="s">
        <v>852</v>
      </c>
      <c r="E35" s="661"/>
      <c r="F35" s="444"/>
      <c r="G35" s="664">
        <v>1000000</v>
      </c>
      <c r="H35" s="588"/>
      <c r="I35" s="657" t="s">
        <v>1426</v>
      </c>
      <c r="J35" s="658">
        <v>1</v>
      </c>
      <c r="K35" s="657" t="s">
        <v>1422</v>
      </c>
      <c r="L35" s="657">
        <f>J35*M35</f>
        <v>350000</v>
      </c>
      <c r="M35" s="565">
        <v>350000</v>
      </c>
    </row>
    <row r="36" spans="1:13" s="565" customFormat="1" ht="41.25" customHeight="1">
      <c r="A36" s="740" t="s">
        <v>1427</v>
      </c>
      <c r="B36" s="659"/>
      <c r="C36" s="654" t="s">
        <v>1428</v>
      </c>
      <c r="D36" s="659" t="s">
        <v>854</v>
      </c>
      <c r="E36" s="445" t="str">
        <f>E33</f>
        <v>%</v>
      </c>
      <c r="F36" s="446"/>
      <c r="G36" s="662"/>
      <c r="H36" s="588"/>
      <c r="I36" s="657" t="s">
        <v>1429</v>
      </c>
      <c r="J36" s="658">
        <v>1</v>
      </c>
      <c r="K36" s="657"/>
      <c r="L36" s="657">
        <f>M36*J36</f>
        <v>120000</v>
      </c>
      <c r="M36" s="565">
        <v>120000</v>
      </c>
    </row>
    <row r="37" spans="1:13" s="565" customFormat="1" ht="24" customHeight="1">
      <c r="A37" s="739" t="s">
        <v>1430</v>
      </c>
      <c r="B37" s="46"/>
      <c r="C37" s="66" t="s">
        <v>1431</v>
      </c>
      <c r="D37" s="46"/>
      <c r="E37" s="46"/>
      <c r="F37" s="57"/>
      <c r="G37" s="735"/>
      <c r="H37" s="656"/>
      <c r="I37" s="657" t="s">
        <v>1432</v>
      </c>
      <c r="J37" s="658">
        <v>6</v>
      </c>
      <c r="K37" s="657" t="s">
        <v>1422</v>
      </c>
      <c r="L37" s="657">
        <f>J37*M37</f>
        <v>1200000</v>
      </c>
      <c r="M37" s="565">
        <v>200000</v>
      </c>
    </row>
    <row r="38" spans="1:13" s="565" customFormat="1" ht="35.1" customHeight="1">
      <c r="A38" s="740" t="s">
        <v>1433</v>
      </c>
      <c r="B38" s="659" t="s">
        <v>1434</v>
      </c>
      <c r="C38" s="654" t="s">
        <v>1435</v>
      </c>
      <c r="D38" s="659" t="s">
        <v>1368</v>
      </c>
      <c r="E38" s="659">
        <v>12</v>
      </c>
      <c r="F38" s="357"/>
      <c r="G38" s="741"/>
      <c r="H38" s="588"/>
      <c r="I38" s="657" t="s">
        <v>1436</v>
      </c>
      <c r="J38" s="658">
        <v>1</v>
      </c>
      <c r="K38" s="657" t="s">
        <v>1422</v>
      </c>
      <c r="L38" s="657">
        <f>J38*M38</f>
        <v>90000</v>
      </c>
      <c r="M38" s="565">
        <v>90000</v>
      </c>
    </row>
    <row r="39" spans="1:13" s="565" customFormat="1" ht="25.95" customHeight="1">
      <c r="A39" s="742" t="s">
        <v>1437</v>
      </c>
      <c r="B39" s="46"/>
      <c r="C39" s="66" t="s">
        <v>1438</v>
      </c>
      <c r="D39" s="46"/>
      <c r="E39" s="438"/>
      <c r="F39" s="57"/>
      <c r="G39" s="662"/>
      <c r="H39" s="588"/>
      <c r="I39" s="657" t="s">
        <v>1439</v>
      </c>
      <c r="J39" s="658">
        <v>1</v>
      </c>
      <c r="K39" s="657" t="s">
        <v>1422</v>
      </c>
      <c r="L39" s="657">
        <f>J39*M39</f>
        <v>80000</v>
      </c>
      <c r="M39" s="565">
        <v>80000</v>
      </c>
    </row>
    <row r="40" spans="1:13" s="565" customFormat="1" ht="30" customHeight="1">
      <c r="A40" s="740" t="s">
        <v>1440</v>
      </c>
      <c r="B40" s="46" t="s">
        <v>1441</v>
      </c>
      <c r="C40" s="654" t="s">
        <v>1442</v>
      </c>
      <c r="D40" s="646" t="s">
        <v>852</v>
      </c>
      <c r="E40" s="590"/>
      <c r="F40" s="663"/>
      <c r="G40" s="664">
        <f>1000000*5</f>
        <v>5000000</v>
      </c>
      <c r="H40" s="588"/>
      <c r="I40" s="657" t="s">
        <v>1443</v>
      </c>
      <c r="J40" s="658">
        <v>6</v>
      </c>
      <c r="K40" s="657" t="s">
        <v>1422</v>
      </c>
      <c r="L40" s="657">
        <f>J40*M40</f>
        <v>510000</v>
      </c>
      <c r="M40" s="565">
        <v>85000</v>
      </c>
    </row>
    <row r="41" spans="1:13" s="565" customFormat="1" ht="35.1" customHeight="1">
      <c r="A41" s="740" t="s">
        <v>1444</v>
      </c>
      <c r="B41" s="46"/>
      <c r="C41" s="654" t="s">
        <v>1445</v>
      </c>
      <c r="D41" s="46" t="s">
        <v>1446</v>
      </c>
      <c r="E41" s="665" t="str">
        <f>E36</f>
        <v>%</v>
      </c>
      <c r="F41" s="666"/>
      <c r="G41" s="743"/>
      <c r="H41" s="588"/>
      <c r="I41" s="657"/>
      <c r="J41" s="658"/>
      <c r="K41" s="657"/>
      <c r="L41" s="657">
        <f t="shared" ref="L41:L49" si="0">J41*M41</f>
        <v>0</v>
      </c>
    </row>
    <row r="42" spans="1:13" s="565" customFormat="1" ht="35.1" customHeight="1">
      <c r="A42" s="740" t="s">
        <v>1447</v>
      </c>
      <c r="B42" s="46" t="s">
        <v>1448</v>
      </c>
      <c r="C42" s="47" t="s">
        <v>1449</v>
      </c>
      <c r="D42" s="46" t="s">
        <v>1368</v>
      </c>
      <c r="E42" s="438">
        <v>12</v>
      </c>
      <c r="F42" s="57"/>
      <c r="G42" s="741"/>
      <c r="H42" s="588"/>
      <c r="I42" s="657" t="s">
        <v>1450</v>
      </c>
      <c r="J42" s="667">
        <v>2</v>
      </c>
      <c r="K42" s="657" t="s">
        <v>1422</v>
      </c>
      <c r="L42" s="657">
        <f t="shared" si="0"/>
        <v>240000</v>
      </c>
      <c r="M42" s="565">
        <v>120000</v>
      </c>
    </row>
    <row r="43" spans="1:13" s="565" customFormat="1" ht="24.6" customHeight="1">
      <c r="A43" s="742" t="s">
        <v>1451</v>
      </c>
      <c r="B43" s="46"/>
      <c r="C43" s="351" t="s">
        <v>399</v>
      </c>
      <c r="D43" s="46"/>
      <c r="E43" s="438"/>
      <c r="F43" s="57"/>
      <c r="G43" s="741"/>
      <c r="H43" s="588"/>
      <c r="I43" s="657"/>
      <c r="J43" s="667"/>
      <c r="K43" s="657"/>
      <c r="L43" s="657"/>
    </row>
    <row r="44" spans="1:13" s="565" customFormat="1" ht="35.1" customHeight="1">
      <c r="A44" s="740" t="s">
        <v>1452</v>
      </c>
      <c r="B44" s="46"/>
      <c r="C44" s="441" t="s">
        <v>851</v>
      </c>
      <c r="D44" s="442" t="s">
        <v>852</v>
      </c>
      <c r="E44" s="443"/>
      <c r="F44" s="444"/>
      <c r="G44" s="664">
        <v>600000</v>
      </c>
      <c r="H44" s="588"/>
      <c r="I44" s="657"/>
      <c r="J44" s="667"/>
      <c r="K44" s="657"/>
      <c r="L44" s="657"/>
    </row>
    <row r="45" spans="1:13" s="565" customFormat="1" ht="35.1" customHeight="1">
      <c r="A45" s="740" t="s">
        <v>1453</v>
      </c>
      <c r="B45" s="46"/>
      <c r="C45" s="441" t="s">
        <v>853</v>
      </c>
      <c r="D45" s="354" t="s">
        <v>854</v>
      </c>
      <c r="E45" s="445" t="s">
        <v>855</v>
      </c>
      <c r="F45" s="446"/>
      <c r="G45" s="662"/>
      <c r="H45" s="588"/>
      <c r="I45" s="657"/>
      <c r="J45" s="667"/>
      <c r="K45" s="657"/>
      <c r="L45" s="657"/>
    </row>
    <row r="46" spans="1:13" s="565" customFormat="1" ht="28.2" customHeight="1">
      <c r="A46" s="742" t="s">
        <v>1454</v>
      </c>
      <c r="B46" s="46"/>
      <c r="C46" s="668" t="s">
        <v>1524</v>
      </c>
      <c r="D46" s="350"/>
      <c r="E46" s="445"/>
      <c r="F46" s="446"/>
      <c r="G46" s="743"/>
      <c r="H46" s="588"/>
      <c r="I46" s="657"/>
      <c r="J46" s="667"/>
      <c r="K46" s="657"/>
      <c r="L46" s="657"/>
    </row>
    <row r="47" spans="1:13" s="565" customFormat="1" ht="69" customHeight="1">
      <c r="A47" s="744" t="s">
        <v>1455</v>
      </c>
      <c r="B47" s="46"/>
      <c r="C47" s="353" t="s">
        <v>1525</v>
      </c>
      <c r="D47" s="669" t="s">
        <v>852</v>
      </c>
      <c r="E47" s="635"/>
      <c r="F47" s="446"/>
      <c r="G47" s="745">
        <v>1000000</v>
      </c>
      <c r="H47" s="588"/>
      <c r="I47" s="657"/>
      <c r="J47" s="667"/>
      <c r="K47" s="657"/>
      <c r="L47" s="657"/>
    </row>
    <row r="48" spans="1:13" s="565" customFormat="1" ht="35.1" customHeight="1">
      <c r="A48" s="744" t="s">
        <v>1456</v>
      </c>
      <c r="B48" s="46"/>
      <c r="C48" s="441" t="s">
        <v>1526</v>
      </c>
      <c r="D48" s="364" t="s">
        <v>854</v>
      </c>
      <c r="E48" s="445" t="s">
        <v>855</v>
      </c>
      <c r="F48" s="446"/>
      <c r="G48" s="662"/>
      <c r="H48" s="588"/>
      <c r="I48" s="657"/>
      <c r="J48" s="667"/>
      <c r="K48" s="657"/>
      <c r="L48" s="657"/>
    </row>
    <row r="49" spans="1:12" ht="30" customHeight="1" thickBot="1">
      <c r="A49" s="746"/>
      <c r="B49" s="879" t="s">
        <v>1457</v>
      </c>
      <c r="C49" s="879"/>
      <c r="D49" s="879"/>
      <c r="E49" s="879"/>
      <c r="F49" s="879"/>
      <c r="G49" s="747"/>
      <c r="I49" s="657"/>
      <c r="J49" s="667"/>
      <c r="K49" s="657"/>
      <c r="L49" s="657">
        <f t="shared" si="0"/>
        <v>0</v>
      </c>
    </row>
    <row r="50" spans="1:12">
      <c r="C50" s="27"/>
      <c r="D50" s="578"/>
      <c r="E50" s="578"/>
      <c r="F50" s="671"/>
      <c r="G50" s="671"/>
      <c r="I50" s="657"/>
      <c r="J50" s="667"/>
      <c r="K50" s="657"/>
      <c r="L50" s="657"/>
    </row>
    <row r="51" spans="1:12">
      <c r="I51" s="673"/>
      <c r="J51" s="673"/>
      <c r="K51" s="673"/>
      <c r="L51" s="673"/>
    </row>
    <row r="52" spans="1:12">
      <c r="I52" s="673"/>
      <c r="J52" s="673"/>
      <c r="K52" s="673"/>
      <c r="L52" s="673"/>
    </row>
    <row r="54" spans="1:12" hidden="1"/>
    <row r="55" spans="1:12" ht="15.6" hidden="1">
      <c r="C55" s="573">
        <f>G49*0.92</f>
        <v>0</v>
      </c>
      <c r="G55" s="670"/>
      <c r="I55" s="674"/>
      <c r="J55" s="674"/>
      <c r="K55" s="673"/>
      <c r="L55" s="673"/>
    </row>
    <row r="56" spans="1:12" ht="15.6" hidden="1">
      <c r="I56" s="675"/>
      <c r="J56" s="676"/>
      <c r="K56" s="677"/>
      <c r="L56" s="678"/>
    </row>
    <row r="57" spans="1:12" ht="15.6" hidden="1">
      <c r="C57" s="573">
        <f>G40+G35+G32+G24+G17+G14+G10</f>
        <v>9420000</v>
      </c>
      <c r="I57" s="679"/>
      <c r="J57" s="680"/>
      <c r="K57" s="681"/>
      <c r="L57" s="681"/>
    </row>
    <row r="58" spans="1:12" ht="15.6" hidden="1">
      <c r="C58" s="682">
        <f>G49/'[6]G. Sum'!$C$14</f>
        <v>0</v>
      </c>
      <c r="G58" s="683"/>
      <c r="I58" s="679"/>
      <c r="J58" s="679"/>
      <c r="K58" s="681"/>
      <c r="L58" s="681"/>
    </row>
    <row r="59" spans="1:12" hidden="1">
      <c r="I59" s="684"/>
      <c r="J59" s="684"/>
      <c r="K59" s="684"/>
      <c r="L59" s="684"/>
    </row>
    <row r="80" spans="1:16140" s="595" customFormat="1">
      <c r="A80" s="578"/>
      <c r="B80" s="578"/>
      <c r="C80" s="573"/>
      <c r="D80" s="596"/>
      <c r="E80" s="596"/>
      <c r="F80" s="672"/>
      <c r="G80" s="685"/>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3"/>
      <c r="AL80" s="573"/>
      <c r="AM80" s="573"/>
      <c r="AN80" s="573"/>
      <c r="AO80" s="573"/>
      <c r="AP80" s="573"/>
      <c r="AQ80" s="573"/>
      <c r="AR80" s="573"/>
      <c r="AS80" s="573"/>
      <c r="AT80" s="573"/>
      <c r="AU80" s="573"/>
      <c r="AV80" s="573"/>
      <c r="AW80" s="573"/>
      <c r="AX80" s="573"/>
      <c r="AY80" s="573"/>
      <c r="AZ80" s="573"/>
      <c r="BA80" s="573"/>
      <c r="BB80" s="573"/>
      <c r="BC80" s="573"/>
      <c r="BD80" s="573"/>
      <c r="BE80" s="573"/>
      <c r="BF80" s="573"/>
      <c r="BG80" s="573"/>
      <c r="BH80" s="573"/>
      <c r="BI80" s="573"/>
      <c r="BJ80" s="573"/>
      <c r="BK80" s="573"/>
      <c r="BL80" s="573"/>
      <c r="BM80" s="573"/>
      <c r="BN80" s="573"/>
      <c r="BO80" s="573"/>
      <c r="BP80" s="573"/>
      <c r="BQ80" s="573"/>
      <c r="BR80" s="573"/>
      <c r="BS80" s="573"/>
      <c r="BT80" s="573"/>
      <c r="BU80" s="573"/>
      <c r="BV80" s="573"/>
      <c r="BW80" s="573"/>
      <c r="BX80" s="573"/>
      <c r="BY80" s="573"/>
      <c r="BZ80" s="573"/>
      <c r="CA80" s="573"/>
      <c r="CB80" s="573"/>
      <c r="CC80" s="573"/>
      <c r="CD80" s="573"/>
      <c r="CE80" s="573"/>
      <c r="CF80" s="573"/>
      <c r="CG80" s="573"/>
      <c r="CH80" s="573"/>
      <c r="CI80" s="573"/>
      <c r="CJ80" s="573"/>
      <c r="CK80" s="573"/>
      <c r="CL80" s="573"/>
      <c r="CM80" s="573"/>
      <c r="CN80" s="573"/>
      <c r="CO80" s="573"/>
      <c r="CP80" s="573"/>
      <c r="CQ80" s="573"/>
      <c r="CR80" s="573"/>
      <c r="CS80" s="573"/>
      <c r="CT80" s="573"/>
      <c r="CU80" s="573"/>
      <c r="CV80" s="573"/>
      <c r="CW80" s="573"/>
      <c r="CX80" s="573"/>
      <c r="CY80" s="573"/>
      <c r="CZ80" s="573"/>
      <c r="DA80" s="573"/>
      <c r="DB80" s="573"/>
      <c r="DC80" s="573"/>
      <c r="DD80" s="573"/>
      <c r="DE80" s="573"/>
      <c r="DF80" s="573"/>
      <c r="DG80" s="573"/>
      <c r="DH80" s="573"/>
      <c r="DI80" s="573"/>
      <c r="DJ80" s="573"/>
      <c r="DK80" s="573"/>
      <c r="DL80" s="573"/>
      <c r="DM80" s="573"/>
      <c r="DN80" s="573"/>
      <c r="DO80" s="573"/>
      <c r="DP80" s="573"/>
      <c r="DQ80" s="573"/>
      <c r="DR80" s="573"/>
      <c r="DS80" s="573"/>
      <c r="DT80" s="573"/>
      <c r="DU80" s="573"/>
      <c r="DV80" s="573"/>
      <c r="DW80" s="573"/>
      <c r="DX80" s="573"/>
      <c r="DY80" s="573"/>
      <c r="DZ80" s="573"/>
      <c r="EA80" s="573"/>
      <c r="EB80" s="573"/>
      <c r="EC80" s="573"/>
      <c r="ED80" s="573"/>
      <c r="EE80" s="573"/>
      <c r="EF80" s="573"/>
      <c r="EG80" s="573"/>
      <c r="EH80" s="573"/>
      <c r="EI80" s="573"/>
      <c r="EJ80" s="573"/>
      <c r="EK80" s="573"/>
      <c r="EL80" s="573"/>
      <c r="EM80" s="573"/>
      <c r="EN80" s="573"/>
      <c r="EO80" s="573"/>
      <c r="EP80" s="573"/>
      <c r="EQ80" s="573"/>
      <c r="ER80" s="573"/>
      <c r="ES80" s="573"/>
      <c r="ET80" s="573"/>
      <c r="EU80" s="573"/>
      <c r="EV80" s="573"/>
      <c r="EW80" s="573"/>
      <c r="EX80" s="573"/>
      <c r="EY80" s="573"/>
      <c r="EZ80" s="573"/>
      <c r="FA80" s="573"/>
      <c r="FB80" s="573"/>
      <c r="FC80" s="573"/>
      <c r="FD80" s="573"/>
      <c r="FE80" s="573"/>
      <c r="FF80" s="573"/>
      <c r="FG80" s="573"/>
      <c r="FH80" s="573"/>
      <c r="FI80" s="573"/>
      <c r="FJ80" s="573"/>
      <c r="FK80" s="573"/>
      <c r="FL80" s="573"/>
      <c r="FM80" s="573"/>
      <c r="FN80" s="573"/>
      <c r="FO80" s="573"/>
      <c r="FP80" s="573"/>
      <c r="FQ80" s="573"/>
      <c r="FR80" s="573"/>
      <c r="FS80" s="573"/>
      <c r="FT80" s="573"/>
      <c r="FU80" s="573"/>
      <c r="FV80" s="573"/>
      <c r="FW80" s="573"/>
      <c r="FX80" s="573"/>
      <c r="FY80" s="573"/>
      <c r="FZ80" s="573"/>
      <c r="GA80" s="573"/>
      <c r="GB80" s="573"/>
      <c r="GC80" s="573"/>
      <c r="GD80" s="573"/>
      <c r="GE80" s="573"/>
      <c r="GF80" s="573"/>
      <c r="GG80" s="573"/>
      <c r="GH80" s="573"/>
      <c r="GI80" s="573"/>
      <c r="GJ80" s="573"/>
      <c r="GK80" s="573"/>
      <c r="GL80" s="573"/>
      <c r="GM80" s="573"/>
      <c r="GN80" s="573"/>
      <c r="GO80" s="573"/>
      <c r="GP80" s="573"/>
      <c r="GQ80" s="573"/>
      <c r="GR80" s="573"/>
      <c r="GS80" s="573"/>
      <c r="GT80" s="573"/>
      <c r="GU80" s="573"/>
      <c r="GV80" s="573"/>
      <c r="GW80" s="573"/>
      <c r="GX80" s="573"/>
      <c r="GY80" s="573"/>
      <c r="GZ80" s="573"/>
      <c r="HA80" s="573"/>
      <c r="HB80" s="573"/>
      <c r="HC80" s="573"/>
      <c r="HD80" s="573"/>
      <c r="HE80" s="573"/>
      <c r="HF80" s="573"/>
      <c r="HG80" s="573"/>
      <c r="HH80" s="573"/>
      <c r="HI80" s="573"/>
      <c r="HJ80" s="573"/>
      <c r="HK80" s="573"/>
      <c r="HL80" s="573"/>
      <c r="HM80" s="573"/>
      <c r="HN80" s="573"/>
      <c r="HO80" s="573"/>
      <c r="HP80" s="573"/>
      <c r="HQ80" s="573"/>
      <c r="HR80" s="573"/>
      <c r="HS80" s="573"/>
      <c r="HT80" s="573"/>
      <c r="HU80" s="573"/>
      <c r="HV80" s="573"/>
      <c r="HW80" s="573"/>
      <c r="HX80" s="573"/>
      <c r="HY80" s="573"/>
      <c r="HZ80" s="573"/>
      <c r="IA80" s="573"/>
      <c r="IB80" s="573"/>
      <c r="IC80" s="573"/>
      <c r="ID80" s="573"/>
      <c r="IE80" s="573"/>
      <c r="IF80" s="573"/>
      <c r="IG80" s="573"/>
      <c r="IH80" s="573"/>
      <c r="II80" s="573"/>
      <c r="IJ80" s="573"/>
      <c r="IK80" s="573"/>
      <c r="IL80" s="573"/>
      <c r="IM80" s="573"/>
      <c r="IN80" s="573"/>
      <c r="IO80" s="573"/>
      <c r="IP80" s="573"/>
      <c r="IQ80" s="573"/>
      <c r="IR80" s="573"/>
      <c r="IS80" s="573"/>
      <c r="IT80" s="573"/>
      <c r="IU80" s="573"/>
      <c r="IV80" s="573"/>
      <c r="IW80" s="573"/>
      <c r="IX80" s="573"/>
      <c r="IY80" s="573"/>
      <c r="IZ80" s="573"/>
      <c r="JA80" s="573"/>
      <c r="JB80" s="573"/>
      <c r="JC80" s="573"/>
      <c r="JD80" s="573"/>
      <c r="JE80" s="573"/>
      <c r="JF80" s="573"/>
      <c r="JG80" s="573"/>
      <c r="JH80" s="573"/>
      <c r="JI80" s="573"/>
      <c r="JJ80" s="573"/>
      <c r="JK80" s="573"/>
      <c r="JL80" s="573"/>
      <c r="JM80" s="573"/>
      <c r="JN80" s="573"/>
      <c r="JO80" s="573"/>
      <c r="JP80" s="573"/>
      <c r="JQ80" s="573"/>
      <c r="JR80" s="573"/>
      <c r="JS80" s="573"/>
      <c r="JT80" s="573"/>
      <c r="JU80" s="573"/>
      <c r="JV80" s="573"/>
      <c r="JW80" s="573"/>
      <c r="JX80" s="573"/>
      <c r="JY80" s="573"/>
      <c r="JZ80" s="573"/>
      <c r="KA80" s="573"/>
      <c r="KB80" s="573"/>
      <c r="KC80" s="573"/>
      <c r="KD80" s="573"/>
      <c r="KE80" s="573"/>
      <c r="KF80" s="573"/>
      <c r="KG80" s="573"/>
      <c r="KH80" s="573"/>
      <c r="KI80" s="573"/>
      <c r="KJ80" s="573"/>
      <c r="KK80" s="573"/>
      <c r="KL80" s="573"/>
      <c r="KM80" s="573"/>
      <c r="KN80" s="573"/>
      <c r="KO80" s="573"/>
      <c r="KP80" s="573"/>
      <c r="KQ80" s="573"/>
      <c r="KR80" s="573"/>
      <c r="KS80" s="573"/>
      <c r="KT80" s="573"/>
      <c r="KU80" s="573"/>
      <c r="KV80" s="573"/>
      <c r="KW80" s="573"/>
      <c r="KX80" s="573"/>
      <c r="KY80" s="573"/>
      <c r="KZ80" s="573"/>
      <c r="LA80" s="573"/>
      <c r="LB80" s="573"/>
      <c r="LC80" s="573"/>
      <c r="LD80" s="573"/>
      <c r="LE80" s="573"/>
      <c r="LF80" s="573"/>
      <c r="LG80" s="573"/>
      <c r="LH80" s="573"/>
      <c r="LI80" s="573"/>
      <c r="LJ80" s="573"/>
      <c r="LK80" s="573"/>
      <c r="LL80" s="573"/>
      <c r="LM80" s="573"/>
      <c r="LN80" s="573"/>
      <c r="LO80" s="573"/>
      <c r="LP80" s="573"/>
      <c r="LQ80" s="573"/>
      <c r="LR80" s="573"/>
      <c r="LS80" s="573"/>
      <c r="LT80" s="573"/>
      <c r="LU80" s="573"/>
      <c r="LV80" s="573"/>
      <c r="LW80" s="573"/>
      <c r="LX80" s="573"/>
      <c r="LY80" s="573"/>
      <c r="LZ80" s="573"/>
      <c r="MA80" s="573"/>
      <c r="MB80" s="573"/>
      <c r="MC80" s="573"/>
      <c r="MD80" s="573"/>
      <c r="ME80" s="573"/>
      <c r="MF80" s="573"/>
      <c r="MG80" s="573"/>
      <c r="MH80" s="573"/>
      <c r="MI80" s="573"/>
      <c r="MJ80" s="573"/>
      <c r="MK80" s="573"/>
      <c r="ML80" s="573"/>
      <c r="MM80" s="573"/>
      <c r="MN80" s="573"/>
      <c r="MO80" s="573"/>
      <c r="MP80" s="573"/>
      <c r="MQ80" s="573"/>
      <c r="MR80" s="573"/>
      <c r="MS80" s="573"/>
      <c r="MT80" s="573"/>
      <c r="MU80" s="573"/>
      <c r="MV80" s="573"/>
      <c r="MW80" s="573"/>
      <c r="MX80" s="573"/>
      <c r="MY80" s="573"/>
      <c r="MZ80" s="573"/>
      <c r="NA80" s="573"/>
      <c r="NB80" s="573"/>
      <c r="NC80" s="573"/>
      <c r="ND80" s="573"/>
      <c r="NE80" s="573"/>
      <c r="NF80" s="573"/>
      <c r="NG80" s="573"/>
      <c r="NH80" s="573"/>
      <c r="NI80" s="573"/>
      <c r="NJ80" s="573"/>
      <c r="NK80" s="573"/>
      <c r="NL80" s="573"/>
      <c r="NM80" s="573"/>
      <c r="NN80" s="573"/>
      <c r="NO80" s="573"/>
      <c r="NP80" s="573"/>
      <c r="NQ80" s="573"/>
      <c r="NR80" s="573"/>
      <c r="NS80" s="573"/>
      <c r="NT80" s="573"/>
      <c r="NU80" s="573"/>
      <c r="NV80" s="573"/>
      <c r="NW80" s="573"/>
      <c r="NX80" s="573"/>
      <c r="NY80" s="573"/>
      <c r="NZ80" s="573"/>
      <c r="OA80" s="573"/>
      <c r="OB80" s="573"/>
      <c r="OC80" s="573"/>
      <c r="OD80" s="573"/>
      <c r="OE80" s="573"/>
      <c r="OF80" s="573"/>
      <c r="OG80" s="573"/>
      <c r="OH80" s="573"/>
      <c r="OI80" s="573"/>
      <c r="OJ80" s="573"/>
      <c r="OK80" s="573"/>
      <c r="OL80" s="573"/>
      <c r="OM80" s="573"/>
      <c r="ON80" s="573"/>
      <c r="OO80" s="573"/>
      <c r="OP80" s="573"/>
      <c r="OQ80" s="573"/>
      <c r="OR80" s="573"/>
      <c r="OS80" s="573"/>
      <c r="OT80" s="573"/>
      <c r="OU80" s="573"/>
      <c r="OV80" s="573"/>
      <c r="OW80" s="573"/>
      <c r="OX80" s="573"/>
      <c r="OY80" s="573"/>
      <c r="OZ80" s="573"/>
      <c r="PA80" s="573"/>
      <c r="PB80" s="573"/>
      <c r="PC80" s="573"/>
      <c r="PD80" s="573"/>
      <c r="PE80" s="573"/>
      <c r="PF80" s="573"/>
      <c r="PG80" s="573"/>
      <c r="PH80" s="573"/>
      <c r="PI80" s="573"/>
      <c r="PJ80" s="573"/>
      <c r="PK80" s="573"/>
      <c r="PL80" s="573"/>
      <c r="PM80" s="573"/>
      <c r="PN80" s="573"/>
      <c r="PO80" s="573"/>
      <c r="PP80" s="573"/>
      <c r="PQ80" s="573"/>
      <c r="PR80" s="573"/>
      <c r="PS80" s="573"/>
      <c r="PT80" s="573"/>
      <c r="PU80" s="573"/>
      <c r="PV80" s="573"/>
      <c r="PW80" s="573"/>
      <c r="PX80" s="573"/>
      <c r="PY80" s="573"/>
      <c r="PZ80" s="573"/>
      <c r="QA80" s="573"/>
      <c r="QB80" s="573"/>
      <c r="QC80" s="573"/>
      <c r="QD80" s="573"/>
      <c r="QE80" s="573"/>
      <c r="QF80" s="573"/>
      <c r="QG80" s="573"/>
      <c r="QH80" s="573"/>
      <c r="QI80" s="573"/>
      <c r="QJ80" s="573"/>
      <c r="QK80" s="573"/>
      <c r="QL80" s="573"/>
      <c r="QM80" s="573"/>
      <c r="QN80" s="573"/>
      <c r="QO80" s="573"/>
      <c r="QP80" s="573"/>
      <c r="QQ80" s="573"/>
      <c r="QR80" s="573"/>
      <c r="QS80" s="573"/>
      <c r="QT80" s="573"/>
      <c r="QU80" s="573"/>
      <c r="QV80" s="573"/>
      <c r="QW80" s="573"/>
      <c r="QX80" s="573"/>
      <c r="QY80" s="573"/>
      <c r="QZ80" s="573"/>
      <c r="RA80" s="573"/>
      <c r="RB80" s="573"/>
      <c r="RC80" s="573"/>
      <c r="RD80" s="573"/>
      <c r="RE80" s="573"/>
      <c r="RF80" s="573"/>
      <c r="RG80" s="573"/>
      <c r="RH80" s="573"/>
      <c r="RI80" s="573"/>
      <c r="RJ80" s="573"/>
      <c r="RK80" s="573"/>
      <c r="RL80" s="573"/>
      <c r="RM80" s="573"/>
      <c r="RN80" s="573"/>
      <c r="RO80" s="573"/>
      <c r="RP80" s="573"/>
      <c r="RQ80" s="573"/>
      <c r="RR80" s="573"/>
      <c r="RS80" s="573"/>
      <c r="RT80" s="573"/>
      <c r="RU80" s="573"/>
      <c r="RV80" s="573"/>
      <c r="RW80" s="573"/>
      <c r="RX80" s="573"/>
      <c r="RY80" s="573"/>
      <c r="RZ80" s="573"/>
      <c r="SA80" s="573"/>
      <c r="SB80" s="573"/>
      <c r="SC80" s="573"/>
      <c r="SD80" s="573"/>
      <c r="SE80" s="573"/>
      <c r="SF80" s="573"/>
      <c r="SG80" s="573"/>
      <c r="SH80" s="573"/>
      <c r="SI80" s="573"/>
      <c r="SJ80" s="573"/>
      <c r="SK80" s="573"/>
      <c r="SL80" s="573"/>
      <c r="SM80" s="573"/>
      <c r="SN80" s="573"/>
      <c r="SO80" s="573"/>
      <c r="SP80" s="573"/>
      <c r="SQ80" s="573"/>
      <c r="SR80" s="573"/>
      <c r="SS80" s="573"/>
      <c r="ST80" s="573"/>
      <c r="SU80" s="573"/>
      <c r="SV80" s="573"/>
      <c r="SW80" s="573"/>
      <c r="SX80" s="573"/>
      <c r="SY80" s="573"/>
      <c r="SZ80" s="573"/>
      <c r="TA80" s="573"/>
      <c r="TB80" s="573"/>
      <c r="TC80" s="573"/>
      <c r="TD80" s="573"/>
      <c r="TE80" s="573"/>
      <c r="TF80" s="573"/>
      <c r="TG80" s="573"/>
      <c r="TH80" s="573"/>
      <c r="TI80" s="573"/>
      <c r="TJ80" s="573"/>
      <c r="TK80" s="573"/>
      <c r="TL80" s="573"/>
      <c r="TM80" s="573"/>
      <c r="TN80" s="573"/>
      <c r="TO80" s="573"/>
      <c r="TP80" s="573"/>
      <c r="TQ80" s="573"/>
      <c r="TR80" s="573"/>
      <c r="TS80" s="573"/>
      <c r="TT80" s="573"/>
      <c r="TU80" s="573"/>
      <c r="TV80" s="573"/>
      <c r="TW80" s="573"/>
      <c r="TX80" s="573"/>
      <c r="TY80" s="573"/>
      <c r="TZ80" s="573"/>
      <c r="UA80" s="573"/>
      <c r="UB80" s="573"/>
      <c r="UC80" s="573"/>
      <c r="UD80" s="573"/>
      <c r="UE80" s="573"/>
      <c r="UF80" s="573"/>
      <c r="UG80" s="573"/>
      <c r="UH80" s="573"/>
      <c r="UI80" s="573"/>
      <c r="UJ80" s="573"/>
      <c r="UK80" s="573"/>
      <c r="UL80" s="573"/>
      <c r="UM80" s="573"/>
      <c r="UN80" s="573"/>
      <c r="UO80" s="573"/>
      <c r="UP80" s="573"/>
      <c r="UQ80" s="573"/>
      <c r="UR80" s="573"/>
      <c r="US80" s="573"/>
      <c r="UT80" s="573"/>
      <c r="UU80" s="573"/>
      <c r="UV80" s="573"/>
      <c r="UW80" s="573"/>
      <c r="UX80" s="573"/>
      <c r="UY80" s="573"/>
      <c r="UZ80" s="573"/>
      <c r="VA80" s="573"/>
      <c r="VB80" s="573"/>
      <c r="VC80" s="573"/>
      <c r="VD80" s="573"/>
      <c r="VE80" s="573"/>
      <c r="VF80" s="573"/>
      <c r="VG80" s="573"/>
      <c r="VH80" s="573"/>
      <c r="VI80" s="573"/>
      <c r="VJ80" s="573"/>
      <c r="VK80" s="573"/>
      <c r="VL80" s="573"/>
      <c r="VM80" s="573"/>
      <c r="VN80" s="573"/>
      <c r="VO80" s="573"/>
      <c r="VP80" s="573"/>
      <c r="VQ80" s="573"/>
      <c r="VR80" s="573"/>
      <c r="VS80" s="573"/>
      <c r="VT80" s="573"/>
      <c r="VU80" s="573"/>
      <c r="VV80" s="573"/>
      <c r="VW80" s="573"/>
      <c r="VX80" s="573"/>
      <c r="VY80" s="573"/>
      <c r="VZ80" s="573"/>
      <c r="WA80" s="573"/>
      <c r="WB80" s="573"/>
      <c r="WC80" s="573"/>
      <c r="WD80" s="573"/>
      <c r="WE80" s="573"/>
      <c r="WF80" s="573"/>
      <c r="WG80" s="573"/>
      <c r="WH80" s="573"/>
      <c r="WI80" s="573"/>
      <c r="WJ80" s="573"/>
      <c r="WK80" s="573"/>
      <c r="WL80" s="573"/>
      <c r="WM80" s="573"/>
      <c r="WN80" s="573"/>
      <c r="WO80" s="573"/>
      <c r="WP80" s="573"/>
      <c r="WQ80" s="573"/>
      <c r="WR80" s="573"/>
      <c r="WS80" s="573"/>
      <c r="WT80" s="573"/>
      <c r="WU80" s="573"/>
      <c r="WV80" s="573"/>
      <c r="WW80" s="573"/>
      <c r="WX80" s="573"/>
      <c r="WY80" s="573"/>
      <c r="WZ80" s="573"/>
      <c r="XA80" s="573"/>
      <c r="XB80" s="573"/>
      <c r="XC80" s="573"/>
      <c r="XD80" s="573"/>
      <c r="XE80" s="573"/>
      <c r="XF80" s="573"/>
      <c r="XG80" s="573"/>
      <c r="XH80" s="573"/>
      <c r="XI80" s="573"/>
      <c r="XJ80" s="573"/>
      <c r="XK80" s="573"/>
      <c r="XL80" s="573"/>
      <c r="XM80" s="573"/>
      <c r="XN80" s="573"/>
      <c r="XO80" s="573"/>
      <c r="XP80" s="573"/>
      <c r="XQ80" s="573"/>
      <c r="XR80" s="573"/>
      <c r="XS80" s="573"/>
      <c r="XT80" s="573"/>
      <c r="XU80" s="573"/>
      <c r="XV80" s="573"/>
      <c r="XW80" s="573"/>
      <c r="XX80" s="573"/>
      <c r="XY80" s="573"/>
      <c r="XZ80" s="573"/>
      <c r="YA80" s="573"/>
      <c r="YB80" s="573"/>
      <c r="YC80" s="573"/>
      <c r="YD80" s="573"/>
      <c r="YE80" s="573"/>
      <c r="YF80" s="573"/>
      <c r="YG80" s="573"/>
      <c r="YH80" s="573"/>
      <c r="YI80" s="573"/>
      <c r="YJ80" s="573"/>
      <c r="YK80" s="573"/>
      <c r="YL80" s="573"/>
      <c r="YM80" s="573"/>
      <c r="YN80" s="573"/>
      <c r="YO80" s="573"/>
      <c r="YP80" s="573"/>
      <c r="YQ80" s="573"/>
      <c r="YR80" s="573"/>
      <c r="YS80" s="573"/>
      <c r="YT80" s="573"/>
      <c r="YU80" s="573"/>
      <c r="YV80" s="573"/>
      <c r="YW80" s="573"/>
      <c r="YX80" s="573"/>
      <c r="YY80" s="573"/>
      <c r="YZ80" s="573"/>
      <c r="ZA80" s="573"/>
      <c r="ZB80" s="573"/>
      <c r="ZC80" s="573"/>
      <c r="ZD80" s="573"/>
      <c r="ZE80" s="573"/>
      <c r="ZF80" s="573"/>
      <c r="ZG80" s="573"/>
      <c r="ZH80" s="573"/>
      <c r="ZI80" s="573"/>
      <c r="ZJ80" s="573"/>
      <c r="ZK80" s="573"/>
      <c r="ZL80" s="573"/>
      <c r="ZM80" s="573"/>
      <c r="ZN80" s="573"/>
      <c r="ZO80" s="573"/>
      <c r="ZP80" s="573"/>
      <c r="ZQ80" s="573"/>
      <c r="ZR80" s="573"/>
      <c r="ZS80" s="573"/>
      <c r="ZT80" s="573"/>
      <c r="ZU80" s="573"/>
      <c r="ZV80" s="573"/>
      <c r="ZW80" s="573"/>
      <c r="ZX80" s="573"/>
      <c r="ZY80" s="573"/>
      <c r="ZZ80" s="573"/>
      <c r="AAA80" s="573"/>
      <c r="AAB80" s="573"/>
      <c r="AAC80" s="573"/>
      <c r="AAD80" s="573"/>
      <c r="AAE80" s="573"/>
      <c r="AAF80" s="573"/>
      <c r="AAG80" s="573"/>
      <c r="AAH80" s="573"/>
      <c r="AAI80" s="573"/>
      <c r="AAJ80" s="573"/>
      <c r="AAK80" s="573"/>
      <c r="AAL80" s="573"/>
      <c r="AAM80" s="573"/>
      <c r="AAN80" s="573"/>
      <c r="AAO80" s="573"/>
      <c r="AAP80" s="573"/>
      <c r="AAQ80" s="573"/>
      <c r="AAR80" s="573"/>
      <c r="AAS80" s="573"/>
      <c r="AAT80" s="573"/>
      <c r="AAU80" s="573"/>
      <c r="AAV80" s="573"/>
      <c r="AAW80" s="573"/>
      <c r="AAX80" s="573"/>
      <c r="AAY80" s="573"/>
      <c r="AAZ80" s="573"/>
      <c r="ABA80" s="573"/>
      <c r="ABB80" s="573"/>
      <c r="ABC80" s="573"/>
      <c r="ABD80" s="573"/>
      <c r="ABE80" s="573"/>
      <c r="ABF80" s="573"/>
      <c r="ABG80" s="573"/>
      <c r="ABH80" s="573"/>
      <c r="ABI80" s="573"/>
      <c r="ABJ80" s="573"/>
      <c r="ABK80" s="573"/>
      <c r="ABL80" s="573"/>
      <c r="ABM80" s="573"/>
      <c r="ABN80" s="573"/>
      <c r="ABO80" s="573"/>
      <c r="ABP80" s="573"/>
      <c r="ABQ80" s="573"/>
      <c r="ABR80" s="573"/>
      <c r="ABS80" s="573"/>
      <c r="ABT80" s="573"/>
      <c r="ABU80" s="573"/>
      <c r="ABV80" s="573"/>
      <c r="ABW80" s="573"/>
      <c r="ABX80" s="573"/>
      <c r="ABY80" s="573"/>
      <c r="ABZ80" s="573"/>
      <c r="ACA80" s="573"/>
      <c r="ACB80" s="573"/>
      <c r="ACC80" s="573"/>
      <c r="ACD80" s="573"/>
      <c r="ACE80" s="573"/>
      <c r="ACF80" s="573"/>
      <c r="ACG80" s="573"/>
      <c r="ACH80" s="573"/>
      <c r="ACI80" s="573"/>
      <c r="ACJ80" s="573"/>
      <c r="ACK80" s="573"/>
      <c r="ACL80" s="573"/>
      <c r="ACM80" s="573"/>
      <c r="ACN80" s="573"/>
      <c r="ACO80" s="573"/>
      <c r="ACP80" s="573"/>
      <c r="ACQ80" s="573"/>
      <c r="ACR80" s="573"/>
      <c r="ACS80" s="573"/>
      <c r="ACT80" s="573"/>
      <c r="ACU80" s="573"/>
      <c r="ACV80" s="573"/>
      <c r="ACW80" s="573"/>
      <c r="ACX80" s="573"/>
      <c r="ACY80" s="573"/>
      <c r="ACZ80" s="573"/>
      <c r="ADA80" s="573"/>
      <c r="ADB80" s="573"/>
      <c r="ADC80" s="573"/>
      <c r="ADD80" s="573"/>
      <c r="ADE80" s="573"/>
      <c r="ADF80" s="573"/>
      <c r="ADG80" s="573"/>
      <c r="ADH80" s="573"/>
      <c r="ADI80" s="573"/>
      <c r="ADJ80" s="573"/>
      <c r="ADK80" s="573"/>
      <c r="ADL80" s="573"/>
      <c r="ADM80" s="573"/>
      <c r="ADN80" s="573"/>
      <c r="ADO80" s="573"/>
      <c r="ADP80" s="573"/>
      <c r="ADQ80" s="573"/>
      <c r="ADR80" s="573"/>
      <c r="ADS80" s="573"/>
      <c r="ADT80" s="573"/>
      <c r="ADU80" s="573"/>
      <c r="ADV80" s="573"/>
      <c r="ADW80" s="573"/>
      <c r="ADX80" s="573"/>
      <c r="ADY80" s="573"/>
      <c r="ADZ80" s="573"/>
      <c r="AEA80" s="573"/>
      <c r="AEB80" s="573"/>
      <c r="AEC80" s="573"/>
      <c r="AED80" s="573"/>
      <c r="AEE80" s="573"/>
      <c r="AEF80" s="573"/>
      <c r="AEG80" s="573"/>
      <c r="AEH80" s="573"/>
      <c r="AEI80" s="573"/>
      <c r="AEJ80" s="573"/>
      <c r="AEK80" s="573"/>
      <c r="AEL80" s="573"/>
      <c r="AEM80" s="573"/>
      <c r="AEN80" s="573"/>
      <c r="AEO80" s="573"/>
      <c r="AEP80" s="573"/>
      <c r="AEQ80" s="573"/>
      <c r="AER80" s="573"/>
      <c r="AES80" s="573"/>
      <c r="AET80" s="573"/>
      <c r="AEU80" s="573"/>
      <c r="AEV80" s="573"/>
      <c r="AEW80" s="573"/>
      <c r="AEX80" s="573"/>
      <c r="AEY80" s="573"/>
      <c r="AEZ80" s="573"/>
      <c r="AFA80" s="573"/>
      <c r="AFB80" s="573"/>
      <c r="AFC80" s="573"/>
      <c r="AFD80" s="573"/>
      <c r="AFE80" s="573"/>
      <c r="AFF80" s="573"/>
      <c r="AFG80" s="573"/>
      <c r="AFH80" s="573"/>
      <c r="AFI80" s="573"/>
      <c r="AFJ80" s="573"/>
      <c r="AFK80" s="573"/>
      <c r="AFL80" s="573"/>
      <c r="AFM80" s="573"/>
      <c r="AFN80" s="573"/>
      <c r="AFO80" s="573"/>
      <c r="AFP80" s="573"/>
      <c r="AFQ80" s="573"/>
      <c r="AFR80" s="573"/>
      <c r="AFS80" s="573"/>
      <c r="AFT80" s="573"/>
      <c r="AFU80" s="573"/>
      <c r="AFV80" s="573"/>
      <c r="AFW80" s="573"/>
      <c r="AFX80" s="573"/>
      <c r="AFY80" s="573"/>
      <c r="AFZ80" s="573"/>
      <c r="AGA80" s="573"/>
      <c r="AGB80" s="573"/>
      <c r="AGC80" s="573"/>
      <c r="AGD80" s="573"/>
      <c r="AGE80" s="573"/>
      <c r="AGF80" s="573"/>
      <c r="AGG80" s="573"/>
      <c r="AGH80" s="573"/>
      <c r="AGI80" s="573"/>
      <c r="AGJ80" s="573"/>
      <c r="AGK80" s="573"/>
      <c r="AGL80" s="573"/>
      <c r="AGM80" s="573"/>
      <c r="AGN80" s="573"/>
      <c r="AGO80" s="573"/>
      <c r="AGP80" s="573"/>
      <c r="AGQ80" s="573"/>
      <c r="AGR80" s="573"/>
      <c r="AGS80" s="573"/>
      <c r="AGT80" s="573"/>
      <c r="AGU80" s="573"/>
      <c r="AGV80" s="573"/>
      <c r="AGW80" s="573"/>
      <c r="AGX80" s="573"/>
      <c r="AGY80" s="573"/>
      <c r="AGZ80" s="573"/>
      <c r="AHA80" s="573"/>
      <c r="AHB80" s="573"/>
      <c r="AHC80" s="573"/>
      <c r="AHD80" s="573"/>
      <c r="AHE80" s="573"/>
      <c r="AHF80" s="573"/>
      <c r="AHG80" s="573"/>
      <c r="AHH80" s="573"/>
      <c r="AHI80" s="573"/>
      <c r="AHJ80" s="573"/>
      <c r="AHK80" s="573"/>
      <c r="AHL80" s="573"/>
      <c r="AHM80" s="573"/>
      <c r="AHN80" s="573"/>
      <c r="AHO80" s="573"/>
      <c r="AHP80" s="573"/>
      <c r="AHQ80" s="573"/>
      <c r="AHR80" s="573"/>
      <c r="AHS80" s="573"/>
      <c r="AHT80" s="573"/>
      <c r="AHU80" s="573"/>
      <c r="AHV80" s="573"/>
      <c r="AHW80" s="573"/>
      <c r="AHX80" s="573"/>
      <c r="AHY80" s="573"/>
      <c r="AHZ80" s="573"/>
      <c r="AIA80" s="573"/>
      <c r="AIB80" s="573"/>
      <c r="AIC80" s="573"/>
      <c r="AID80" s="573"/>
      <c r="AIE80" s="573"/>
      <c r="AIF80" s="573"/>
      <c r="AIG80" s="573"/>
      <c r="AIH80" s="573"/>
      <c r="AII80" s="573"/>
      <c r="AIJ80" s="573"/>
      <c r="AIK80" s="573"/>
      <c r="AIL80" s="573"/>
      <c r="AIM80" s="573"/>
      <c r="AIN80" s="573"/>
      <c r="AIO80" s="573"/>
      <c r="AIP80" s="573"/>
      <c r="AIQ80" s="573"/>
      <c r="AIR80" s="573"/>
      <c r="AIS80" s="573"/>
      <c r="AIT80" s="573"/>
      <c r="AIU80" s="573"/>
      <c r="AIV80" s="573"/>
      <c r="AIW80" s="573"/>
      <c r="AIX80" s="573"/>
      <c r="AIY80" s="573"/>
      <c r="AIZ80" s="573"/>
      <c r="AJA80" s="573"/>
      <c r="AJB80" s="573"/>
      <c r="AJC80" s="573"/>
      <c r="AJD80" s="573"/>
      <c r="AJE80" s="573"/>
      <c r="AJF80" s="573"/>
      <c r="AJG80" s="573"/>
      <c r="AJH80" s="573"/>
      <c r="AJI80" s="573"/>
      <c r="AJJ80" s="573"/>
      <c r="AJK80" s="573"/>
      <c r="AJL80" s="573"/>
      <c r="AJM80" s="573"/>
      <c r="AJN80" s="573"/>
      <c r="AJO80" s="573"/>
      <c r="AJP80" s="573"/>
      <c r="AJQ80" s="573"/>
      <c r="AJR80" s="573"/>
      <c r="AJS80" s="573"/>
      <c r="AJT80" s="573"/>
      <c r="AJU80" s="573"/>
      <c r="AJV80" s="573"/>
      <c r="AJW80" s="573"/>
      <c r="AJX80" s="573"/>
      <c r="AJY80" s="573"/>
      <c r="AJZ80" s="573"/>
      <c r="AKA80" s="573"/>
      <c r="AKB80" s="573"/>
      <c r="AKC80" s="573"/>
      <c r="AKD80" s="573"/>
      <c r="AKE80" s="573"/>
      <c r="AKF80" s="573"/>
      <c r="AKG80" s="573"/>
      <c r="AKH80" s="573"/>
      <c r="AKI80" s="573"/>
      <c r="AKJ80" s="573"/>
      <c r="AKK80" s="573"/>
      <c r="AKL80" s="573"/>
      <c r="AKM80" s="573"/>
      <c r="AKN80" s="573"/>
      <c r="AKO80" s="573"/>
      <c r="AKP80" s="573"/>
      <c r="AKQ80" s="573"/>
      <c r="AKR80" s="573"/>
      <c r="AKS80" s="573"/>
      <c r="AKT80" s="573"/>
      <c r="AKU80" s="573"/>
      <c r="AKV80" s="573"/>
      <c r="AKW80" s="573"/>
      <c r="AKX80" s="573"/>
      <c r="AKY80" s="573"/>
      <c r="AKZ80" s="573"/>
      <c r="ALA80" s="573"/>
      <c r="ALB80" s="573"/>
      <c r="ALC80" s="573"/>
      <c r="ALD80" s="573"/>
      <c r="ALE80" s="573"/>
      <c r="ALF80" s="573"/>
      <c r="ALG80" s="573"/>
      <c r="ALH80" s="573"/>
      <c r="ALI80" s="573"/>
      <c r="ALJ80" s="573"/>
      <c r="ALK80" s="573"/>
      <c r="ALL80" s="573"/>
      <c r="ALM80" s="573"/>
      <c r="ALN80" s="573"/>
      <c r="ALO80" s="573"/>
      <c r="ALP80" s="573"/>
      <c r="ALQ80" s="573"/>
      <c r="ALR80" s="573"/>
      <c r="ALS80" s="573"/>
      <c r="ALT80" s="573"/>
      <c r="ALU80" s="573"/>
      <c r="ALV80" s="573"/>
      <c r="ALW80" s="573"/>
      <c r="ALX80" s="573"/>
      <c r="ALY80" s="573"/>
      <c r="ALZ80" s="573"/>
      <c r="AMA80" s="573"/>
      <c r="AMB80" s="573"/>
      <c r="AMC80" s="573"/>
      <c r="AMD80" s="573"/>
      <c r="AME80" s="573"/>
      <c r="AMF80" s="573"/>
      <c r="AMG80" s="573"/>
      <c r="AMH80" s="573"/>
      <c r="AMI80" s="573"/>
      <c r="AMJ80" s="573"/>
      <c r="AMK80" s="573"/>
      <c r="AML80" s="573"/>
      <c r="AMM80" s="573"/>
      <c r="AMN80" s="573"/>
      <c r="AMO80" s="573"/>
      <c r="AMP80" s="573"/>
      <c r="AMQ80" s="573"/>
      <c r="AMR80" s="573"/>
      <c r="AMS80" s="573"/>
      <c r="AMT80" s="573"/>
      <c r="AMU80" s="573"/>
      <c r="AMV80" s="573"/>
      <c r="AMW80" s="573"/>
      <c r="AMX80" s="573"/>
      <c r="AMY80" s="573"/>
      <c r="AMZ80" s="573"/>
      <c r="ANA80" s="573"/>
      <c r="ANB80" s="573"/>
      <c r="ANC80" s="573"/>
      <c r="AND80" s="573"/>
      <c r="ANE80" s="573"/>
      <c r="ANF80" s="573"/>
      <c r="ANG80" s="573"/>
      <c r="ANH80" s="573"/>
      <c r="ANI80" s="573"/>
      <c r="ANJ80" s="573"/>
      <c r="ANK80" s="573"/>
      <c r="ANL80" s="573"/>
      <c r="ANM80" s="573"/>
      <c r="ANN80" s="573"/>
      <c r="ANO80" s="573"/>
      <c r="ANP80" s="573"/>
      <c r="ANQ80" s="573"/>
      <c r="ANR80" s="573"/>
      <c r="ANS80" s="573"/>
      <c r="ANT80" s="573"/>
      <c r="ANU80" s="573"/>
      <c r="ANV80" s="573"/>
      <c r="ANW80" s="573"/>
      <c r="ANX80" s="573"/>
      <c r="ANY80" s="573"/>
      <c r="ANZ80" s="573"/>
      <c r="AOA80" s="573"/>
      <c r="AOB80" s="573"/>
      <c r="AOC80" s="573"/>
      <c r="AOD80" s="573"/>
      <c r="AOE80" s="573"/>
      <c r="AOF80" s="573"/>
      <c r="AOG80" s="573"/>
      <c r="AOH80" s="573"/>
      <c r="AOI80" s="573"/>
      <c r="AOJ80" s="573"/>
      <c r="AOK80" s="573"/>
      <c r="AOL80" s="573"/>
      <c r="AOM80" s="573"/>
      <c r="AON80" s="573"/>
      <c r="AOO80" s="573"/>
      <c r="AOP80" s="573"/>
      <c r="AOQ80" s="573"/>
      <c r="AOR80" s="573"/>
      <c r="AOS80" s="573"/>
      <c r="AOT80" s="573"/>
      <c r="AOU80" s="573"/>
      <c r="AOV80" s="573"/>
      <c r="AOW80" s="573"/>
      <c r="AOX80" s="573"/>
      <c r="AOY80" s="573"/>
      <c r="AOZ80" s="573"/>
      <c r="APA80" s="573"/>
      <c r="APB80" s="573"/>
      <c r="APC80" s="573"/>
      <c r="APD80" s="573"/>
      <c r="APE80" s="573"/>
      <c r="APF80" s="573"/>
      <c r="APG80" s="573"/>
      <c r="APH80" s="573"/>
      <c r="API80" s="573"/>
      <c r="APJ80" s="573"/>
      <c r="APK80" s="573"/>
      <c r="APL80" s="573"/>
      <c r="APM80" s="573"/>
      <c r="APN80" s="573"/>
      <c r="APO80" s="573"/>
      <c r="APP80" s="573"/>
      <c r="APQ80" s="573"/>
      <c r="APR80" s="573"/>
      <c r="APS80" s="573"/>
      <c r="APT80" s="573"/>
      <c r="APU80" s="573"/>
      <c r="APV80" s="573"/>
      <c r="APW80" s="573"/>
      <c r="APX80" s="573"/>
      <c r="APY80" s="573"/>
      <c r="APZ80" s="573"/>
      <c r="AQA80" s="573"/>
      <c r="AQB80" s="573"/>
      <c r="AQC80" s="573"/>
      <c r="AQD80" s="573"/>
      <c r="AQE80" s="573"/>
      <c r="AQF80" s="573"/>
      <c r="AQG80" s="573"/>
      <c r="AQH80" s="573"/>
      <c r="AQI80" s="573"/>
      <c r="AQJ80" s="573"/>
      <c r="AQK80" s="573"/>
      <c r="AQL80" s="573"/>
      <c r="AQM80" s="573"/>
      <c r="AQN80" s="573"/>
      <c r="AQO80" s="573"/>
      <c r="AQP80" s="573"/>
      <c r="AQQ80" s="573"/>
      <c r="AQR80" s="573"/>
      <c r="AQS80" s="573"/>
      <c r="AQT80" s="573"/>
      <c r="AQU80" s="573"/>
      <c r="AQV80" s="573"/>
      <c r="AQW80" s="573"/>
      <c r="AQX80" s="573"/>
      <c r="AQY80" s="573"/>
      <c r="AQZ80" s="573"/>
      <c r="ARA80" s="573"/>
      <c r="ARB80" s="573"/>
      <c r="ARC80" s="573"/>
      <c r="ARD80" s="573"/>
      <c r="ARE80" s="573"/>
      <c r="ARF80" s="573"/>
      <c r="ARG80" s="573"/>
      <c r="ARH80" s="573"/>
      <c r="ARI80" s="573"/>
      <c r="ARJ80" s="573"/>
      <c r="ARK80" s="573"/>
      <c r="ARL80" s="573"/>
      <c r="ARM80" s="573"/>
      <c r="ARN80" s="573"/>
      <c r="ARO80" s="573"/>
      <c r="ARP80" s="573"/>
      <c r="ARQ80" s="573"/>
      <c r="ARR80" s="573"/>
      <c r="ARS80" s="573"/>
      <c r="ART80" s="573"/>
      <c r="ARU80" s="573"/>
      <c r="ARV80" s="573"/>
      <c r="ARW80" s="573"/>
      <c r="ARX80" s="573"/>
      <c r="ARY80" s="573"/>
      <c r="ARZ80" s="573"/>
      <c r="ASA80" s="573"/>
      <c r="ASB80" s="573"/>
      <c r="ASC80" s="573"/>
      <c r="ASD80" s="573"/>
      <c r="ASE80" s="573"/>
      <c r="ASF80" s="573"/>
      <c r="ASG80" s="573"/>
      <c r="ASH80" s="573"/>
      <c r="ASI80" s="573"/>
      <c r="ASJ80" s="573"/>
      <c r="ASK80" s="573"/>
      <c r="ASL80" s="573"/>
      <c r="ASM80" s="573"/>
      <c r="ASN80" s="573"/>
      <c r="ASO80" s="573"/>
      <c r="ASP80" s="573"/>
      <c r="ASQ80" s="573"/>
      <c r="ASR80" s="573"/>
      <c r="ASS80" s="573"/>
      <c r="AST80" s="573"/>
      <c r="ASU80" s="573"/>
      <c r="ASV80" s="573"/>
      <c r="ASW80" s="573"/>
      <c r="ASX80" s="573"/>
      <c r="ASY80" s="573"/>
      <c r="ASZ80" s="573"/>
      <c r="ATA80" s="573"/>
      <c r="ATB80" s="573"/>
      <c r="ATC80" s="573"/>
      <c r="ATD80" s="573"/>
      <c r="ATE80" s="573"/>
      <c r="ATF80" s="573"/>
      <c r="ATG80" s="573"/>
      <c r="ATH80" s="573"/>
      <c r="ATI80" s="573"/>
      <c r="ATJ80" s="573"/>
      <c r="ATK80" s="573"/>
      <c r="ATL80" s="573"/>
      <c r="ATM80" s="573"/>
      <c r="ATN80" s="573"/>
      <c r="ATO80" s="573"/>
      <c r="ATP80" s="573"/>
      <c r="ATQ80" s="573"/>
      <c r="ATR80" s="573"/>
      <c r="ATS80" s="573"/>
      <c r="ATT80" s="573"/>
      <c r="ATU80" s="573"/>
      <c r="ATV80" s="573"/>
      <c r="ATW80" s="573"/>
      <c r="ATX80" s="573"/>
      <c r="ATY80" s="573"/>
      <c r="ATZ80" s="573"/>
      <c r="AUA80" s="573"/>
      <c r="AUB80" s="573"/>
      <c r="AUC80" s="573"/>
      <c r="AUD80" s="573"/>
      <c r="AUE80" s="573"/>
      <c r="AUF80" s="573"/>
      <c r="AUG80" s="573"/>
      <c r="AUH80" s="573"/>
      <c r="AUI80" s="573"/>
      <c r="AUJ80" s="573"/>
      <c r="AUK80" s="573"/>
      <c r="AUL80" s="573"/>
      <c r="AUM80" s="573"/>
      <c r="AUN80" s="573"/>
      <c r="AUO80" s="573"/>
      <c r="AUP80" s="573"/>
      <c r="AUQ80" s="573"/>
      <c r="AUR80" s="573"/>
      <c r="AUS80" s="573"/>
      <c r="AUT80" s="573"/>
      <c r="AUU80" s="573"/>
      <c r="AUV80" s="573"/>
      <c r="AUW80" s="573"/>
      <c r="AUX80" s="573"/>
      <c r="AUY80" s="573"/>
      <c r="AUZ80" s="573"/>
      <c r="AVA80" s="573"/>
      <c r="AVB80" s="573"/>
      <c r="AVC80" s="573"/>
      <c r="AVD80" s="573"/>
      <c r="AVE80" s="573"/>
      <c r="AVF80" s="573"/>
      <c r="AVG80" s="573"/>
      <c r="AVH80" s="573"/>
      <c r="AVI80" s="573"/>
      <c r="AVJ80" s="573"/>
      <c r="AVK80" s="573"/>
      <c r="AVL80" s="573"/>
      <c r="AVM80" s="573"/>
      <c r="AVN80" s="573"/>
      <c r="AVO80" s="573"/>
      <c r="AVP80" s="573"/>
      <c r="AVQ80" s="573"/>
      <c r="AVR80" s="573"/>
      <c r="AVS80" s="573"/>
      <c r="AVT80" s="573"/>
      <c r="AVU80" s="573"/>
      <c r="AVV80" s="573"/>
      <c r="AVW80" s="573"/>
      <c r="AVX80" s="573"/>
      <c r="AVY80" s="573"/>
      <c r="AVZ80" s="573"/>
      <c r="AWA80" s="573"/>
      <c r="AWB80" s="573"/>
      <c r="AWC80" s="573"/>
      <c r="AWD80" s="573"/>
      <c r="AWE80" s="573"/>
      <c r="AWF80" s="573"/>
      <c r="AWG80" s="573"/>
      <c r="AWH80" s="573"/>
      <c r="AWI80" s="573"/>
      <c r="AWJ80" s="573"/>
      <c r="AWK80" s="573"/>
      <c r="AWL80" s="573"/>
      <c r="AWM80" s="573"/>
      <c r="AWN80" s="573"/>
      <c r="AWO80" s="573"/>
      <c r="AWP80" s="573"/>
      <c r="AWQ80" s="573"/>
      <c r="AWR80" s="573"/>
      <c r="AWS80" s="573"/>
      <c r="AWT80" s="573"/>
      <c r="AWU80" s="573"/>
      <c r="AWV80" s="573"/>
      <c r="AWW80" s="573"/>
      <c r="AWX80" s="573"/>
      <c r="AWY80" s="573"/>
      <c r="AWZ80" s="573"/>
      <c r="AXA80" s="573"/>
      <c r="AXB80" s="573"/>
      <c r="AXC80" s="573"/>
      <c r="AXD80" s="573"/>
      <c r="AXE80" s="573"/>
      <c r="AXF80" s="573"/>
      <c r="AXG80" s="573"/>
      <c r="AXH80" s="573"/>
      <c r="AXI80" s="573"/>
      <c r="AXJ80" s="573"/>
      <c r="AXK80" s="573"/>
      <c r="AXL80" s="573"/>
      <c r="AXM80" s="573"/>
      <c r="AXN80" s="573"/>
      <c r="AXO80" s="573"/>
      <c r="AXP80" s="573"/>
      <c r="AXQ80" s="573"/>
      <c r="AXR80" s="573"/>
      <c r="AXS80" s="573"/>
      <c r="AXT80" s="573"/>
      <c r="AXU80" s="573"/>
      <c r="AXV80" s="573"/>
      <c r="AXW80" s="573"/>
      <c r="AXX80" s="573"/>
      <c r="AXY80" s="573"/>
      <c r="AXZ80" s="573"/>
      <c r="AYA80" s="573"/>
      <c r="AYB80" s="573"/>
      <c r="AYC80" s="573"/>
      <c r="AYD80" s="573"/>
      <c r="AYE80" s="573"/>
      <c r="AYF80" s="573"/>
      <c r="AYG80" s="573"/>
      <c r="AYH80" s="573"/>
      <c r="AYI80" s="573"/>
      <c r="AYJ80" s="573"/>
      <c r="AYK80" s="573"/>
      <c r="AYL80" s="573"/>
      <c r="AYM80" s="573"/>
      <c r="AYN80" s="573"/>
      <c r="AYO80" s="573"/>
      <c r="AYP80" s="573"/>
      <c r="AYQ80" s="573"/>
      <c r="AYR80" s="573"/>
      <c r="AYS80" s="573"/>
      <c r="AYT80" s="573"/>
      <c r="AYU80" s="573"/>
      <c r="AYV80" s="573"/>
      <c r="AYW80" s="573"/>
      <c r="AYX80" s="573"/>
      <c r="AYY80" s="573"/>
      <c r="AYZ80" s="573"/>
      <c r="AZA80" s="573"/>
      <c r="AZB80" s="573"/>
      <c r="AZC80" s="573"/>
      <c r="AZD80" s="573"/>
      <c r="AZE80" s="573"/>
      <c r="AZF80" s="573"/>
      <c r="AZG80" s="573"/>
      <c r="AZH80" s="573"/>
      <c r="AZI80" s="573"/>
      <c r="AZJ80" s="573"/>
      <c r="AZK80" s="573"/>
      <c r="AZL80" s="573"/>
      <c r="AZM80" s="573"/>
      <c r="AZN80" s="573"/>
      <c r="AZO80" s="573"/>
      <c r="AZP80" s="573"/>
      <c r="AZQ80" s="573"/>
      <c r="AZR80" s="573"/>
      <c r="AZS80" s="573"/>
      <c r="AZT80" s="573"/>
      <c r="AZU80" s="573"/>
      <c r="AZV80" s="573"/>
      <c r="AZW80" s="573"/>
      <c r="AZX80" s="573"/>
      <c r="AZY80" s="573"/>
      <c r="AZZ80" s="573"/>
      <c r="BAA80" s="573"/>
      <c r="BAB80" s="573"/>
      <c r="BAC80" s="573"/>
      <c r="BAD80" s="573"/>
      <c r="BAE80" s="573"/>
      <c r="BAF80" s="573"/>
      <c r="BAG80" s="573"/>
      <c r="BAH80" s="573"/>
      <c r="BAI80" s="573"/>
      <c r="BAJ80" s="573"/>
      <c r="BAK80" s="573"/>
      <c r="BAL80" s="573"/>
      <c r="BAM80" s="573"/>
      <c r="BAN80" s="573"/>
      <c r="BAO80" s="573"/>
      <c r="BAP80" s="573"/>
      <c r="BAQ80" s="573"/>
      <c r="BAR80" s="573"/>
      <c r="BAS80" s="573"/>
      <c r="BAT80" s="573"/>
      <c r="BAU80" s="573"/>
      <c r="BAV80" s="573"/>
      <c r="BAW80" s="573"/>
      <c r="BAX80" s="573"/>
      <c r="BAY80" s="573"/>
      <c r="BAZ80" s="573"/>
      <c r="BBA80" s="573"/>
      <c r="BBB80" s="573"/>
      <c r="BBC80" s="573"/>
      <c r="BBD80" s="573"/>
      <c r="BBE80" s="573"/>
      <c r="BBF80" s="573"/>
      <c r="BBG80" s="573"/>
      <c r="BBH80" s="573"/>
      <c r="BBI80" s="573"/>
      <c r="BBJ80" s="573"/>
      <c r="BBK80" s="573"/>
      <c r="BBL80" s="573"/>
      <c r="BBM80" s="573"/>
      <c r="BBN80" s="573"/>
      <c r="BBO80" s="573"/>
      <c r="BBP80" s="573"/>
      <c r="BBQ80" s="573"/>
      <c r="BBR80" s="573"/>
      <c r="BBS80" s="573"/>
      <c r="BBT80" s="573"/>
      <c r="BBU80" s="573"/>
      <c r="BBV80" s="573"/>
      <c r="BBW80" s="573"/>
      <c r="BBX80" s="573"/>
      <c r="BBY80" s="573"/>
      <c r="BBZ80" s="573"/>
      <c r="BCA80" s="573"/>
      <c r="BCB80" s="573"/>
      <c r="BCC80" s="573"/>
      <c r="BCD80" s="573"/>
      <c r="BCE80" s="573"/>
      <c r="BCF80" s="573"/>
      <c r="BCG80" s="573"/>
      <c r="BCH80" s="573"/>
      <c r="BCI80" s="573"/>
      <c r="BCJ80" s="573"/>
      <c r="BCK80" s="573"/>
      <c r="BCL80" s="573"/>
      <c r="BCM80" s="573"/>
      <c r="BCN80" s="573"/>
      <c r="BCO80" s="573"/>
      <c r="BCP80" s="573"/>
      <c r="BCQ80" s="573"/>
      <c r="BCR80" s="573"/>
      <c r="BCS80" s="573"/>
      <c r="BCT80" s="573"/>
      <c r="BCU80" s="573"/>
      <c r="BCV80" s="573"/>
      <c r="BCW80" s="573"/>
      <c r="BCX80" s="573"/>
      <c r="BCY80" s="573"/>
      <c r="BCZ80" s="573"/>
      <c r="BDA80" s="573"/>
      <c r="BDB80" s="573"/>
      <c r="BDC80" s="573"/>
      <c r="BDD80" s="573"/>
      <c r="BDE80" s="573"/>
      <c r="BDF80" s="573"/>
      <c r="BDG80" s="573"/>
      <c r="BDH80" s="573"/>
      <c r="BDI80" s="573"/>
      <c r="BDJ80" s="573"/>
      <c r="BDK80" s="573"/>
      <c r="BDL80" s="573"/>
      <c r="BDM80" s="573"/>
      <c r="BDN80" s="573"/>
      <c r="BDO80" s="573"/>
      <c r="BDP80" s="573"/>
      <c r="BDQ80" s="573"/>
      <c r="BDR80" s="573"/>
      <c r="BDS80" s="573"/>
      <c r="BDT80" s="573"/>
      <c r="BDU80" s="573"/>
      <c r="BDV80" s="573"/>
      <c r="BDW80" s="573"/>
      <c r="BDX80" s="573"/>
      <c r="BDY80" s="573"/>
      <c r="BDZ80" s="573"/>
      <c r="BEA80" s="573"/>
      <c r="BEB80" s="573"/>
      <c r="BEC80" s="573"/>
      <c r="BED80" s="573"/>
      <c r="BEE80" s="573"/>
      <c r="BEF80" s="573"/>
      <c r="BEG80" s="573"/>
      <c r="BEH80" s="573"/>
      <c r="BEI80" s="573"/>
      <c r="BEJ80" s="573"/>
      <c r="BEK80" s="573"/>
      <c r="BEL80" s="573"/>
      <c r="BEM80" s="573"/>
      <c r="BEN80" s="573"/>
      <c r="BEO80" s="573"/>
      <c r="BEP80" s="573"/>
      <c r="BEQ80" s="573"/>
      <c r="BER80" s="573"/>
      <c r="BES80" s="573"/>
      <c r="BET80" s="573"/>
      <c r="BEU80" s="573"/>
      <c r="BEV80" s="573"/>
      <c r="BEW80" s="573"/>
      <c r="BEX80" s="573"/>
      <c r="BEY80" s="573"/>
      <c r="BEZ80" s="573"/>
      <c r="BFA80" s="573"/>
      <c r="BFB80" s="573"/>
      <c r="BFC80" s="573"/>
      <c r="BFD80" s="573"/>
      <c r="BFE80" s="573"/>
      <c r="BFF80" s="573"/>
      <c r="BFG80" s="573"/>
      <c r="BFH80" s="573"/>
      <c r="BFI80" s="573"/>
      <c r="BFJ80" s="573"/>
      <c r="BFK80" s="573"/>
      <c r="BFL80" s="573"/>
      <c r="BFM80" s="573"/>
      <c r="BFN80" s="573"/>
      <c r="BFO80" s="573"/>
      <c r="BFP80" s="573"/>
      <c r="BFQ80" s="573"/>
      <c r="BFR80" s="573"/>
      <c r="BFS80" s="573"/>
      <c r="BFT80" s="573"/>
      <c r="BFU80" s="573"/>
      <c r="BFV80" s="573"/>
      <c r="BFW80" s="573"/>
      <c r="BFX80" s="573"/>
      <c r="BFY80" s="573"/>
      <c r="BFZ80" s="573"/>
      <c r="BGA80" s="573"/>
      <c r="BGB80" s="573"/>
      <c r="BGC80" s="573"/>
      <c r="BGD80" s="573"/>
      <c r="BGE80" s="573"/>
      <c r="BGF80" s="573"/>
      <c r="BGG80" s="573"/>
      <c r="BGH80" s="573"/>
      <c r="BGI80" s="573"/>
      <c r="BGJ80" s="573"/>
      <c r="BGK80" s="573"/>
      <c r="BGL80" s="573"/>
      <c r="BGM80" s="573"/>
      <c r="BGN80" s="573"/>
      <c r="BGO80" s="573"/>
      <c r="BGP80" s="573"/>
      <c r="BGQ80" s="573"/>
      <c r="BGR80" s="573"/>
      <c r="BGS80" s="573"/>
      <c r="BGT80" s="573"/>
      <c r="BGU80" s="573"/>
      <c r="BGV80" s="573"/>
      <c r="BGW80" s="573"/>
      <c r="BGX80" s="573"/>
      <c r="BGY80" s="573"/>
      <c r="BGZ80" s="573"/>
      <c r="BHA80" s="573"/>
      <c r="BHB80" s="573"/>
      <c r="BHC80" s="573"/>
      <c r="BHD80" s="573"/>
      <c r="BHE80" s="573"/>
      <c r="BHF80" s="573"/>
      <c r="BHG80" s="573"/>
      <c r="BHH80" s="573"/>
      <c r="BHI80" s="573"/>
      <c r="BHJ80" s="573"/>
      <c r="BHK80" s="573"/>
      <c r="BHL80" s="573"/>
      <c r="BHM80" s="573"/>
      <c r="BHN80" s="573"/>
      <c r="BHO80" s="573"/>
      <c r="BHP80" s="573"/>
      <c r="BHQ80" s="573"/>
      <c r="BHR80" s="573"/>
      <c r="BHS80" s="573"/>
      <c r="BHT80" s="573"/>
      <c r="BHU80" s="573"/>
      <c r="BHV80" s="573"/>
      <c r="BHW80" s="573"/>
      <c r="BHX80" s="573"/>
      <c r="BHY80" s="573"/>
      <c r="BHZ80" s="573"/>
      <c r="BIA80" s="573"/>
      <c r="BIB80" s="573"/>
      <c r="BIC80" s="573"/>
      <c r="BID80" s="573"/>
      <c r="BIE80" s="573"/>
      <c r="BIF80" s="573"/>
      <c r="BIG80" s="573"/>
      <c r="BIH80" s="573"/>
      <c r="BII80" s="573"/>
      <c r="BIJ80" s="573"/>
      <c r="BIK80" s="573"/>
      <c r="BIL80" s="573"/>
      <c r="BIM80" s="573"/>
      <c r="BIN80" s="573"/>
      <c r="BIO80" s="573"/>
      <c r="BIP80" s="573"/>
      <c r="BIQ80" s="573"/>
      <c r="BIR80" s="573"/>
      <c r="BIS80" s="573"/>
      <c r="BIT80" s="573"/>
      <c r="BIU80" s="573"/>
      <c r="BIV80" s="573"/>
      <c r="BIW80" s="573"/>
      <c r="BIX80" s="573"/>
      <c r="BIY80" s="573"/>
      <c r="BIZ80" s="573"/>
      <c r="BJA80" s="573"/>
      <c r="BJB80" s="573"/>
      <c r="BJC80" s="573"/>
      <c r="BJD80" s="573"/>
      <c r="BJE80" s="573"/>
      <c r="BJF80" s="573"/>
      <c r="BJG80" s="573"/>
      <c r="BJH80" s="573"/>
      <c r="BJI80" s="573"/>
      <c r="BJJ80" s="573"/>
      <c r="BJK80" s="573"/>
      <c r="BJL80" s="573"/>
      <c r="BJM80" s="573"/>
      <c r="BJN80" s="573"/>
      <c r="BJO80" s="573"/>
      <c r="BJP80" s="573"/>
      <c r="BJQ80" s="573"/>
      <c r="BJR80" s="573"/>
      <c r="BJS80" s="573"/>
      <c r="BJT80" s="573"/>
      <c r="BJU80" s="573"/>
      <c r="BJV80" s="573"/>
      <c r="BJW80" s="573"/>
      <c r="BJX80" s="573"/>
      <c r="BJY80" s="573"/>
      <c r="BJZ80" s="573"/>
      <c r="BKA80" s="573"/>
      <c r="BKB80" s="573"/>
      <c r="BKC80" s="573"/>
      <c r="BKD80" s="573"/>
      <c r="BKE80" s="573"/>
      <c r="BKF80" s="573"/>
      <c r="BKG80" s="573"/>
      <c r="BKH80" s="573"/>
      <c r="BKI80" s="573"/>
      <c r="BKJ80" s="573"/>
      <c r="BKK80" s="573"/>
      <c r="BKL80" s="573"/>
      <c r="BKM80" s="573"/>
      <c r="BKN80" s="573"/>
      <c r="BKO80" s="573"/>
      <c r="BKP80" s="573"/>
      <c r="BKQ80" s="573"/>
      <c r="BKR80" s="573"/>
      <c r="BKS80" s="573"/>
      <c r="BKT80" s="573"/>
      <c r="BKU80" s="573"/>
      <c r="BKV80" s="573"/>
      <c r="BKW80" s="573"/>
      <c r="BKX80" s="573"/>
      <c r="BKY80" s="573"/>
      <c r="BKZ80" s="573"/>
      <c r="BLA80" s="573"/>
      <c r="BLB80" s="573"/>
      <c r="BLC80" s="573"/>
      <c r="BLD80" s="573"/>
      <c r="BLE80" s="573"/>
      <c r="BLF80" s="573"/>
      <c r="BLG80" s="573"/>
      <c r="BLH80" s="573"/>
      <c r="BLI80" s="573"/>
      <c r="BLJ80" s="573"/>
      <c r="BLK80" s="573"/>
      <c r="BLL80" s="573"/>
      <c r="BLM80" s="573"/>
      <c r="BLN80" s="573"/>
      <c r="BLO80" s="573"/>
      <c r="BLP80" s="573"/>
      <c r="BLQ80" s="573"/>
      <c r="BLR80" s="573"/>
      <c r="BLS80" s="573"/>
      <c r="BLT80" s="573"/>
      <c r="BLU80" s="573"/>
      <c r="BLV80" s="573"/>
      <c r="BLW80" s="573"/>
      <c r="BLX80" s="573"/>
      <c r="BLY80" s="573"/>
      <c r="BLZ80" s="573"/>
      <c r="BMA80" s="573"/>
      <c r="BMB80" s="573"/>
      <c r="BMC80" s="573"/>
      <c r="BMD80" s="573"/>
      <c r="BME80" s="573"/>
      <c r="BMF80" s="573"/>
      <c r="BMG80" s="573"/>
      <c r="BMH80" s="573"/>
      <c r="BMI80" s="573"/>
      <c r="BMJ80" s="573"/>
      <c r="BMK80" s="573"/>
      <c r="BML80" s="573"/>
      <c r="BMM80" s="573"/>
      <c r="BMN80" s="573"/>
      <c r="BMO80" s="573"/>
      <c r="BMP80" s="573"/>
      <c r="BMQ80" s="573"/>
      <c r="BMR80" s="573"/>
      <c r="BMS80" s="573"/>
      <c r="BMT80" s="573"/>
      <c r="BMU80" s="573"/>
      <c r="BMV80" s="573"/>
      <c r="BMW80" s="573"/>
      <c r="BMX80" s="573"/>
      <c r="BMY80" s="573"/>
      <c r="BMZ80" s="573"/>
      <c r="BNA80" s="573"/>
      <c r="BNB80" s="573"/>
      <c r="BNC80" s="573"/>
      <c r="BND80" s="573"/>
      <c r="BNE80" s="573"/>
      <c r="BNF80" s="573"/>
      <c r="BNG80" s="573"/>
      <c r="BNH80" s="573"/>
      <c r="BNI80" s="573"/>
      <c r="BNJ80" s="573"/>
      <c r="BNK80" s="573"/>
      <c r="BNL80" s="573"/>
      <c r="BNM80" s="573"/>
      <c r="BNN80" s="573"/>
      <c r="BNO80" s="573"/>
      <c r="BNP80" s="573"/>
      <c r="BNQ80" s="573"/>
      <c r="BNR80" s="573"/>
      <c r="BNS80" s="573"/>
      <c r="BNT80" s="573"/>
      <c r="BNU80" s="573"/>
      <c r="BNV80" s="573"/>
      <c r="BNW80" s="573"/>
      <c r="BNX80" s="573"/>
      <c r="BNY80" s="573"/>
      <c r="BNZ80" s="573"/>
      <c r="BOA80" s="573"/>
      <c r="BOB80" s="573"/>
      <c r="BOC80" s="573"/>
      <c r="BOD80" s="573"/>
      <c r="BOE80" s="573"/>
      <c r="BOF80" s="573"/>
      <c r="BOG80" s="573"/>
      <c r="BOH80" s="573"/>
      <c r="BOI80" s="573"/>
      <c r="BOJ80" s="573"/>
      <c r="BOK80" s="573"/>
      <c r="BOL80" s="573"/>
      <c r="BOM80" s="573"/>
      <c r="BON80" s="573"/>
      <c r="BOO80" s="573"/>
      <c r="BOP80" s="573"/>
      <c r="BOQ80" s="573"/>
      <c r="BOR80" s="573"/>
      <c r="BOS80" s="573"/>
      <c r="BOT80" s="573"/>
      <c r="BOU80" s="573"/>
      <c r="BOV80" s="573"/>
      <c r="BOW80" s="573"/>
      <c r="BOX80" s="573"/>
      <c r="BOY80" s="573"/>
      <c r="BOZ80" s="573"/>
      <c r="BPA80" s="573"/>
      <c r="BPB80" s="573"/>
      <c r="BPC80" s="573"/>
      <c r="BPD80" s="573"/>
      <c r="BPE80" s="573"/>
      <c r="BPF80" s="573"/>
      <c r="BPG80" s="573"/>
      <c r="BPH80" s="573"/>
      <c r="BPI80" s="573"/>
      <c r="BPJ80" s="573"/>
      <c r="BPK80" s="573"/>
      <c r="BPL80" s="573"/>
      <c r="BPM80" s="573"/>
      <c r="BPN80" s="573"/>
      <c r="BPO80" s="573"/>
      <c r="BPP80" s="573"/>
      <c r="BPQ80" s="573"/>
      <c r="BPR80" s="573"/>
      <c r="BPS80" s="573"/>
      <c r="BPT80" s="573"/>
      <c r="BPU80" s="573"/>
      <c r="BPV80" s="573"/>
      <c r="BPW80" s="573"/>
      <c r="BPX80" s="573"/>
      <c r="BPY80" s="573"/>
      <c r="BPZ80" s="573"/>
      <c r="BQA80" s="573"/>
      <c r="BQB80" s="573"/>
      <c r="BQC80" s="573"/>
      <c r="BQD80" s="573"/>
      <c r="BQE80" s="573"/>
      <c r="BQF80" s="573"/>
      <c r="BQG80" s="573"/>
      <c r="BQH80" s="573"/>
      <c r="BQI80" s="573"/>
      <c r="BQJ80" s="573"/>
      <c r="BQK80" s="573"/>
      <c r="BQL80" s="573"/>
      <c r="BQM80" s="573"/>
      <c r="BQN80" s="573"/>
      <c r="BQO80" s="573"/>
      <c r="BQP80" s="573"/>
      <c r="BQQ80" s="573"/>
      <c r="BQR80" s="573"/>
      <c r="BQS80" s="573"/>
      <c r="BQT80" s="573"/>
      <c r="BQU80" s="573"/>
      <c r="BQV80" s="573"/>
      <c r="BQW80" s="573"/>
      <c r="BQX80" s="573"/>
      <c r="BQY80" s="573"/>
      <c r="BQZ80" s="573"/>
      <c r="BRA80" s="573"/>
      <c r="BRB80" s="573"/>
      <c r="BRC80" s="573"/>
      <c r="BRD80" s="573"/>
      <c r="BRE80" s="573"/>
      <c r="BRF80" s="573"/>
      <c r="BRG80" s="573"/>
      <c r="BRH80" s="573"/>
      <c r="BRI80" s="573"/>
      <c r="BRJ80" s="573"/>
      <c r="BRK80" s="573"/>
      <c r="BRL80" s="573"/>
      <c r="BRM80" s="573"/>
      <c r="BRN80" s="573"/>
      <c r="BRO80" s="573"/>
      <c r="BRP80" s="573"/>
      <c r="BRQ80" s="573"/>
      <c r="BRR80" s="573"/>
      <c r="BRS80" s="573"/>
      <c r="BRT80" s="573"/>
      <c r="BRU80" s="573"/>
      <c r="BRV80" s="573"/>
      <c r="BRW80" s="573"/>
      <c r="BRX80" s="573"/>
      <c r="BRY80" s="573"/>
      <c r="BRZ80" s="573"/>
      <c r="BSA80" s="573"/>
      <c r="BSB80" s="573"/>
      <c r="BSC80" s="573"/>
      <c r="BSD80" s="573"/>
      <c r="BSE80" s="573"/>
      <c r="BSF80" s="573"/>
      <c r="BSG80" s="573"/>
      <c r="BSH80" s="573"/>
      <c r="BSI80" s="573"/>
      <c r="BSJ80" s="573"/>
      <c r="BSK80" s="573"/>
      <c r="BSL80" s="573"/>
      <c r="BSM80" s="573"/>
      <c r="BSN80" s="573"/>
      <c r="BSO80" s="573"/>
      <c r="BSP80" s="573"/>
      <c r="BSQ80" s="573"/>
      <c r="BSR80" s="573"/>
      <c r="BSS80" s="573"/>
      <c r="BST80" s="573"/>
      <c r="BSU80" s="573"/>
      <c r="BSV80" s="573"/>
      <c r="BSW80" s="573"/>
      <c r="BSX80" s="573"/>
      <c r="BSY80" s="573"/>
      <c r="BSZ80" s="573"/>
      <c r="BTA80" s="573"/>
      <c r="BTB80" s="573"/>
      <c r="BTC80" s="573"/>
      <c r="BTD80" s="573"/>
      <c r="BTE80" s="573"/>
      <c r="BTF80" s="573"/>
      <c r="BTG80" s="573"/>
      <c r="BTH80" s="573"/>
      <c r="BTI80" s="573"/>
      <c r="BTJ80" s="573"/>
      <c r="BTK80" s="573"/>
      <c r="BTL80" s="573"/>
      <c r="BTM80" s="573"/>
      <c r="BTN80" s="573"/>
      <c r="BTO80" s="573"/>
      <c r="BTP80" s="573"/>
      <c r="BTQ80" s="573"/>
      <c r="BTR80" s="573"/>
      <c r="BTS80" s="573"/>
      <c r="BTT80" s="573"/>
      <c r="BTU80" s="573"/>
      <c r="BTV80" s="573"/>
      <c r="BTW80" s="573"/>
      <c r="BTX80" s="573"/>
      <c r="BTY80" s="573"/>
      <c r="BTZ80" s="573"/>
      <c r="BUA80" s="573"/>
      <c r="BUB80" s="573"/>
      <c r="BUC80" s="573"/>
      <c r="BUD80" s="573"/>
      <c r="BUE80" s="573"/>
      <c r="BUF80" s="573"/>
      <c r="BUG80" s="573"/>
      <c r="BUH80" s="573"/>
      <c r="BUI80" s="573"/>
      <c r="BUJ80" s="573"/>
      <c r="BUK80" s="573"/>
      <c r="BUL80" s="573"/>
      <c r="BUM80" s="573"/>
      <c r="BUN80" s="573"/>
      <c r="BUO80" s="573"/>
      <c r="BUP80" s="573"/>
      <c r="BUQ80" s="573"/>
      <c r="BUR80" s="573"/>
      <c r="BUS80" s="573"/>
      <c r="BUT80" s="573"/>
      <c r="BUU80" s="573"/>
      <c r="BUV80" s="573"/>
      <c r="BUW80" s="573"/>
      <c r="BUX80" s="573"/>
      <c r="BUY80" s="573"/>
      <c r="BUZ80" s="573"/>
      <c r="BVA80" s="573"/>
      <c r="BVB80" s="573"/>
      <c r="BVC80" s="573"/>
      <c r="BVD80" s="573"/>
      <c r="BVE80" s="573"/>
      <c r="BVF80" s="573"/>
      <c r="BVG80" s="573"/>
      <c r="BVH80" s="573"/>
      <c r="BVI80" s="573"/>
      <c r="BVJ80" s="573"/>
      <c r="BVK80" s="573"/>
      <c r="BVL80" s="573"/>
      <c r="BVM80" s="573"/>
      <c r="BVN80" s="573"/>
      <c r="BVO80" s="573"/>
      <c r="BVP80" s="573"/>
      <c r="BVQ80" s="573"/>
      <c r="BVR80" s="573"/>
      <c r="BVS80" s="573"/>
      <c r="BVT80" s="573"/>
      <c r="BVU80" s="573"/>
      <c r="BVV80" s="573"/>
      <c r="BVW80" s="573"/>
      <c r="BVX80" s="573"/>
      <c r="BVY80" s="573"/>
      <c r="BVZ80" s="573"/>
      <c r="BWA80" s="573"/>
      <c r="BWB80" s="573"/>
      <c r="BWC80" s="573"/>
      <c r="BWD80" s="573"/>
      <c r="BWE80" s="573"/>
      <c r="BWF80" s="573"/>
      <c r="BWG80" s="573"/>
      <c r="BWH80" s="573"/>
      <c r="BWI80" s="573"/>
      <c r="BWJ80" s="573"/>
      <c r="BWK80" s="573"/>
      <c r="BWL80" s="573"/>
      <c r="BWM80" s="573"/>
      <c r="BWN80" s="573"/>
      <c r="BWO80" s="573"/>
      <c r="BWP80" s="573"/>
      <c r="BWQ80" s="573"/>
      <c r="BWR80" s="573"/>
      <c r="BWS80" s="573"/>
      <c r="BWT80" s="573"/>
      <c r="BWU80" s="573"/>
      <c r="BWV80" s="573"/>
      <c r="BWW80" s="573"/>
      <c r="BWX80" s="573"/>
      <c r="BWY80" s="573"/>
      <c r="BWZ80" s="573"/>
      <c r="BXA80" s="573"/>
      <c r="BXB80" s="573"/>
      <c r="BXC80" s="573"/>
      <c r="BXD80" s="573"/>
      <c r="BXE80" s="573"/>
      <c r="BXF80" s="573"/>
      <c r="BXG80" s="573"/>
      <c r="BXH80" s="573"/>
      <c r="BXI80" s="573"/>
      <c r="BXJ80" s="573"/>
      <c r="BXK80" s="573"/>
      <c r="BXL80" s="573"/>
      <c r="BXM80" s="573"/>
      <c r="BXN80" s="573"/>
      <c r="BXO80" s="573"/>
      <c r="BXP80" s="573"/>
      <c r="BXQ80" s="573"/>
      <c r="BXR80" s="573"/>
      <c r="BXS80" s="573"/>
      <c r="BXT80" s="573"/>
      <c r="BXU80" s="573"/>
      <c r="BXV80" s="573"/>
      <c r="BXW80" s="573"/>
      <c r="BXX80" s="573"/>
      <c r="BXY80" s="573"/>
      <c r="BXZ80" s="573"/>
      <c r="BYA80" s="573"/>
      <c r="BYB80" s="573"/>
      <c r="BYC80" s="573"/>
      <c r="BYD80" s="573"/>
      <c r="BYE80" s="573"/>
      <c r="BYF80" s="573"/>
      <c r="BYG80" s="573"/>
      <c r="BYH80" s="573"/>
      <c r="BYI80" s="573"/>
      <c r="BYJ80" s="573"/>
      <c r="BYK80" s="573"/>
      <c r="BYL80" s="573"/>
      <c r="BYM80" s="573"/>
      <c r="BYN80" s="573"/>
      <c r="BYO80" s="573"/>
      <c r="BYP80" s="573"/>
      <c r="BYQ80" s="573"/>
      <c r="BYR80" s="573"/>
      <c r="BYS80" s="573"/>
      <c r="BYT80" s="573"/>
      <c r="BYU80" s="573"/>
      <c r="BYV80" s="573"/>
      <c r="BYW80" s="573"/>
      <c r="BYX80" s="573"/>
      <c r="BYY80" s="573"/>
      <c r="BYZ80" s="573"/>
      <c r="BZA80" s="573"/>
      <c r="BZB80" s="573"/>
      <c r="BZC80" s="573"/>
      <c r="BZD80" s="573"/>
      <c r="BZE80" s="573"/>
      <c r="BZF80" s="573"/>
      <c r="BZG80" s="573"/>
      <c r="BZH80" s="573"/>
      <c r="BZI80" s="573"/>
      <c r="BZJ80" s="573"/>
      <c r="BZK80" s="573"/>
      <c r="BZL80" s="573"/>
      <c r="BZM80" s="573"/>
      <c r="BZN80" s="573"/>
      <c r="BZO80" s="573"/>
      <c r="BZP80" s="573"/>
      <c r="BZQ80" s="573"/>
      <c r="BZR80" s="573"/>
      <c r="BZS80" s="573"/>
      <c r="BZT80" s="573"/>
      <c r="BZU80" s="573"/>
      <c r="BZV80" s="573"/>
      <c r="BZW80" s="573"/>
      <c r="BZX80" s="573"/>
      <c r="BZY80" s="573"/>
      <c r="BZZ80" s="573"/>
      <c r="CAA80" s="573"/>
      <c r="CAB80" s="573"/>
      <c r="CAC80" s="573"/>
      <c r="CAD80" s="573"/>
      <c r="CAE80" s="573"/>
      <c r="CAF80" s="573"/>
      <c r="CAG80" s="573"/>
      <c r="CAH80" s="573"/>
      <c r="CAI80" s="573"/>
      <c r="CAJ80" s="573"/>
      <c r="CAK80" s="573"/>
      <c r="CAL80" s="573"/>
      <c r="CAM80" s="573"/>
      <c r="CAN80" s="573"/>
      <c r="CAO80" s="573"/>
      <c r="CAP80" s="573"/>
      <c r="CAQ80" s="573"/>
      <c r="CAR80" s="573"/>
      <c r="CAS80" s="573"/>
      <c r="CAT80" s="573"/>
      <c r="CAU80" s="573"/>
      <c r="CAV80" s="573"/>
      <c r="CAW80" s="573"/>
      <c r="CAX80" s="573"/>
      <c r="CAY80" s="573"/>
      <c r="CAZ80" s="573"/>
      <c r="CBA80" s="573"/>
      <c r="CBB80" s="573"/>
      <c r="CBC80" s="573"/>
      <c r="CBD80" s="573"/>
      <c r="CBE80" s="573"/>
      <c r="CBF80" s="573"/>
      <c r="CBG80" s="573"/>
      <c r="CBH80" s="573"/>
      <c r="CBI80" s="573"/>
      <c r="CBJ80" s="573"/>
      <c r="CBK80" s="573"/>
      <c r="CBL80" s="573"/>
      <c r="CBM80" s="573"/>
      <c r="CBN80" s="573"/>
      <c r="CBO80" s="573"/>
      <c r="CBP80" s="573"/>
      <c r="CBQ80" s="573"/>
      <c r="CBR80" s="573"/>
      <c r="CBS80" s="573"/>
      <c r="CBT80" s="573"/>
      <c r="CBU80" s="573"/>
      <c r="CBV80" s="573"/>
      <c r="CBW80" s="573"/>
      <c r="CBX80" s="573"/>
      <c r="CBY80" s="573"/>
      <c r="CBZ80" s="573"/>
      <c r="CCA80" s="573"/>
      <c r="CCB80" s="573"/>
      <c r="CCC80" s="573"/>
      <c r="CCD80" s="573"/>
      <c r="CCE80" s="573"/>
      <c r="CCF80" s="573"/>
      <c r="CCG80" s="573"/>
      <c r="CCH80" s="573"/>
      <c r="CCI80" s="573"/>
      <c r="CCJ80" s="573"/>
      <c r="CCK80" s="573"/>
      <c r="CCL80" s="573"/>
      <c r="CCM80" s="573"/>
      <c r="CCN80" s="573"/>
      <c r="CCO80" s="573"/>
      <c r="CCP80" s="573"/>
      <c r="CCQ80" s="573"/>
      <c r="CCR80" s="573"/>
      <c r="CCS80" s="573"/>
      <c r="CCT80" s="573"/>
      <c r="CCU80" s="573"/>
      <c r="CCV80" s="573"/>
      <c r="CCW80" s="573"/>
      <c r="CCX80" s="573"/>
      <c r="CCY80" s="573"/>
      <c r="CCZ80" s="573"/>
      <c r="CDA80" s="573"/>
      <c r="CDB80" s="573"/>
      <c r="CDC80" s="573"/>
      <c r="CDD80" s="573"/>
      <c r="CDE80" s="573"/>
      <c r="CDF80" s="573"/>
      <c r="CDG80" s="573"/>
      <c r="CDH80" s="573"/>
      <c r="CDI80" s="573"/>
      <c r="CDJ80" s="573"/>
      <c r="CDK80" s="573"/>
      <c r="CDL80" s="573"/>
      <c r="CDM80" s="573"/>
      <c r="CDN80" s="573"/>
      <c r="CDO80" s="573"/>
      <c r="CDP80" s="573"/>
      <c r="CDQ80" s="573"/>
      <c r="CDR80" s="573"/>
      <c r="CDS80" s="573"/>
      <c r="CDT80" s="573"/>
      <c r="CDU80" s="573"/>
      <c r="CDV80" s="573"/>
      <c r="CDW80" s="573"/>
      <c r="CDX80" s="573"/>
      <c r="CDY80" s="573"/>
      <c r="CDZ80" s="573"/>
      <c r="CEA80" s="573"/>
      <c r="CEB80" s="573"/>
      <c r="CEC80" s="573"/>
      <c r="CED80" s="573"/>
      <c r="CEE80" s="573"/>
      <c r="CEF80" s="573"/>
      <c r="CEG80" s="573"/>
      <c r="CEH80" s="573"/>
      <c r="CEI80" s="573"/>
      <c r="CEJ80" s="573"/>
      <c r="CEK80" s="573"/>
      <c r="CEL80" s="573"/>
      <c r="CEM80" s="573"/>
      <c r="CEN80" s="573"/>
      <c r="CEO80" s="573"/>
      <c r="CEP80" s="573"/>
      <c r="CEQ80" s="573"/>
      <c r="CER80" s="573"/>
      <c r="CES80" s="573"/>
      <c r="CET80" s="573"/>
      <c r="CEU80" s="573"/>
      <c r="CEV80" s="573"/>
      <c r="CEW80" s="573"/>
      <c r="CEX80" s="573"/>
      <c r="CEY80" s="573"/>
      <c r="CEZ80" s="573"/>
      <c r="CFA80" s="573"/>
      <c r="CFB80" s="573"/>
      <c r="CFC80" s="573"/>
      <c r="CFD80" s="573"/>
      <c r="CFE80" s="573"/>
      <c r="CFF80" s="573"/>
      <c r="CFG80" s="573"/>
      <c r="CFH80" s="573"/>
      <c r="CFI80" s="573"/>
      <c r="CFJ80" s="573"/>
      <c r="CFK80" s="573"/>
      <c r="CFL80" s="573"/>
      <c r="CFM80" s="573"/>
      <c r="CFN80" s="573"/>
      <c r="CFO80" s="573"/>
      <c r="CFP80" s="573"/>
      <c r="CFQ80" s="573"/>
      <c r="CFR80" s="573"/>
      <c r="CFS80" s="573"/>
      <c r="CFT80" s="573"/>
      <c r="CFU80" s="573"/>
      <c r="CFV80" s="573"/>
      <c r="CFW80" s="573"/>
      <c r="CFX80" s="573"/>
      <c r="CFY80" s="573"/>
      <c r="CFZ80" s="573"/>
      <c r="CGA80" s="573"/>
      <c r="CGB80" s="573"/>
      <c r="CGC80" s="573"/>
      <c r="CGD80" s="573"/>
      <c r="CGE80" s="573"/>
      <c r="CGF80" s="573"/>
      <c r="CGG80" s="573"/>
      <c r="CGH80" s="573"/>
      <c r="CGI80" s="573"/>
      <c r="CGJ80" s="573"/>
      <c r="CGK80" s="573"/>
      <c r="CGL80" s="573"/>
      <c r="CGM80" s="573"/>
      <c r="CGN80" s="573"/>
      <c r="CGO80" s="573"/>
      <c r="CGP80" s="573"/>
      <c r="CGQ80" s="573"/>
      <c r="CGR80" s="573"/>
      <c r="CGS80" s="573"/>
      <c r="CGT80" s="573"/>
      <c r="CGU80" s="573"/>
      <c r="CGV80" s="573"/>
      <c r="CGW80" s="573"/>
      <c r="CGX80" s="573"/>
      <c r="CGY80" s="573"/>
      <c r="CGZ80" s="573"/>
      <c r="CHA80" s="573"/>
      <c r="CHB80" s="573"/>
      <c r="CHC80" s="573"/>
      <c r="CHD80" s="573"/>
      <c r="CHE80" s="573"/>
      <c r="CHF80" s="573"/>
      <c r="CHG80" s="573"/>
      <c r="CHH80" s="573"/>
      <c r="CHI80" s="573"/>
      <c r="CHJ80" s="573"/>
      <c r="CHK80" s="573"/>
      <c r="CHL80" s="573"/>
      <c r="CHM80" s="573"/>
      <c r="CHN80" s="573"/>
      <c r="CHO80" s="573"/>
      <c r="CHP80" s="573"/>
      <c r="CHQ80" s="573"/>
      <c r="CHR80" s="573"/>
      <c r="CHS80" s="573"/>
      <c r="CHT80" s="573"/>
      <c r="CHU80" s="573"/>
      <c r="CHV80" s="573"/>
      <c r="CHW80" s="573"/>
      <c r="CHX80" s="573"/>
      <c r="CHY80" s="573"/>
      <c r="CHZ80" s="573"/>
      <c r="CIA80" s="573"/>
      <c r="CIB80" s="573"/>
      <c r="CIC80" s="573"/>
      <c r="CID80" s="573"/>
      <c r="CIE80" s="573"/>
      <c r="CIF80" s="573"/>
      <c r="CIG80" s="573"/>
      <c r="CIH80" s="573"/>
      <c r="CII80" s="573"/>
      <c r="CIJ80" s="573"/>
      <c r="CIK80" s="573"/>
      <c r="CIL80" s="573"/>
      <c r="CIM80" s="573"/>
      <c r="CIN80" s="573"/>
      <c r="CIO80" s="573"/>
      <c r="CIP80" s="573"/>
      <c r="CIQ80" s="573"/>
      <c r="CIR80" s="573"/>
      <c r="CIS80" s="573"/>
      <c r="CIT80" s="573"/>
      <c r="CIU80" s="573"/>
      <c r="CIV80" s="573"/>
      <c r="CIW80" s="573"/>
      <c r="CIX80" s="573"/>
      <c r="CIY80" s="573"/>
      <c r="CIZ80" s="573"/>
      <c r="CJA80" s="573"/>
      <c r="CJB80" s="573"/>
      <c r="CJC80" s="573"/>
      <c r="CJD80" s="573"/>
      <c r="CJE80" s="573"/>
      <c r="CJF80" s="573"/>
      <c r="CJG80" s="573"/>
      <c r="CJH80" s="573"/>
      <c r="CJI80" s="573"/>
      <c r="CJJ80" s="573"/>
      <c r="CJK80" s="573"/>
      <c r="CJL80" s="573"/>
      <c r="CJM80" s="573"/>
      <c r="CJN80" s="573"/>
      <c r="CJO80" s="573"/>
      <c r="CJP80" s="573"/>
      <c r="CJQ80" s="573"/>
      <c r="CJR80" s="573"/>
      <c r="CJS80" s="573"/>
      <c r="CJT80" s="573"/>
      <c r="CJU80" s="573"/>
      <c r="CJV80" s="573"/>
      <c r="CJW80" s="573"/>
      <c r="CJX80" s="573"/>
      <c r="CJY80" s="573"/>
      <c r="CJZ80" s="573"/>
      <c r="CKA80" s="573"/>
      <c r="CKB80" s="573"/>
      <c r="CKC80" s="573"/>
      <c r="CKD80" s="573"/>
      <c r="CKE80" s="573"/>
      <c r="CKF80" s="573"/>
      <c r="CKG80" s="573"/>
      <c r="CKH80" s="573"/>
      <c r="CKI80" s="573"/>
      <c r="CKJ80" s="573"/>
      <c r="CKK80" s="573"/>
      <c r="CKL80" s="573"/>
      <c r="CKM80" s="573"/>
      <c r="CKN80" s="573"/>
      <c r="CKO80" s="573"/>
      <c r="CKP80" s="573"/>
      <c r="CKQ80" s="573"/>
      <c r="CKR80" s="573"/>
      <c r="CKS80" s="573"/>
      <c r="CKT80" s="573"/>
      <c r="CKU80" s="573"/>
      <c r="CKV80" s="573"/>
      <c r="CKW80" s="573"/>
      <c r="CKX80" s="573"/>
      <c r="CKY80" s="573"/>
      <c r="CKZ80" s="573"/>
      <c r="CLA80" s="573"/>
      <c r="CLB80" s="573"/>
      <c r="CLC80" s="573"/>
      <c r="CLD80" s="573"/>
      <c r="CLE80" s="573"/>
      <c r="CLF80" s="573"/>
      <c r="CLG80" s="573"/>
      <c r="CLH80" s="573"/>
      <c r="CLI80" s="573"/>
      <c r="CLJ80" s="573"/>
      <c r="CLK80" s="573"/>
      <c r="CLL80" s="573"/>
      <c r="CLM80" s="573"/>
      <c r="CLN80" s="573"/>
      <c r="CLO80" s="573"/>
      <c r="CLP80" s="573"/>
      <c r="CLQ80" s="573"/>
      <c r="CLR80" s="573"/>
      <c r="CLS80" s="573"/>
      <c r="CLT80" s="573"/>
      <c r="CLU80" s="573"/>
      <c r="CLV80" s="573"/>
      <c r="CLW80" s="573"/>
      <c r="CLX80" s="573"/>
      <c r="CLY80" s="573"/>
      <c r="CLZ80" s="573"/>
      <c r="CMA80" s="573"/>
      <c r="CMB80" s="573"/>
      <c r="CMC80" s="573"/>
      <c r="CMD80" s="573"/>
      <c r="CME80" s="573"/>
      <c r="CMF80" s="573"/>
      <c r="CMG80" s="573"/>
      <c r="CMH80" s="573"/>
      <c r="CMI80" s="573"/>
      <c r="CMJ80" s="573"/>
      <c r="CMK80" s="573"/>
      <c r="CML80" s="573"/>
      <c r="CMM80" s="573"/>
      <c r="CMN80" s="573"/>
      <c r="CMO80" s="573"/>
      <c r="CMP80" s="573"/>
      <c r="CMQ80" s="573"/>
      <c r="CMR80" s="573"/>
      <c r="CMS80" s="573"/>
      <c r="CMT80" s="573"/>
      <c r="CMU80" s="573"/>
      <c r="CMV80" s="573"/>
      <c r="CMW80" s="573"/>
      <c r="CMX80" s="573"/>
      <c r="CMY80" s="573"/>
      <c r="CMZ80" s="573"/>
      <c r="CNA80" s="573"/>
      <c r="CNB80" s="573"/>
      <c r="CNC80" s="573"/>
      <c r="CND80" s="573"/>
      <c r="CNE80" s="573"/>
      <c r="CNF80" s="573"/>
      <c r="CNG80" s="573"/>
      <c r="CNH80" s="573"/>
      <c r="CNI80" s="573"/>
      <c r="CNJ80" s="573"/>
      <c r="CNK80" s="573"/>
      <c r="CNL80" s="573"/>
      <c r="CNM80" s="573"/>
      <c r="CNN80" s="573"/>
      <c r="CNO80" s="573"/>
      <c r="CNP80" s="573"/>
      <c r="CNQ80" s="573"/>
      <c r="CNR80" s="573"/>
      <c r="CNS80" s="573"/>
      <c r="CNT80" s="573"/>
      <c r="CNU80" s="573"/>
      <c r="CNV80" s="573"/>
      <c r="CNW80" s="573"/>
      <c r="CNX80" s="573"/>
      <c r="CNY80" s="573"/>
      <c r="CNZ80" s="573"/>
      <c r="COA80" s="573"/>
      <c r="COB80" s="573"/>
      <c r="COC80" s="573"/>
      <c r="COD80" s="573"/>
      <c r="COE80" s="573"/>
      <c r="COF80" s="573"/>
      <c r="COG80" s="573"/>
      <c r="COH80" s="573"/>
      <c r="COI80" s="573"/>
      <c r="COJ80" s="573"/>
      <c r="COK80" s="573"/>
      <c r="COL80" s="573"/>
      <c r="COM80" s="573"/>
      <c r="CON80" s="573"/>
      <c r="COO80" s="573"/>
      <c r="COP80" s="573"/>
      <c r="COQ80" s="573"/>
      <c r="COR80" s="573"/>
      <c r="COS80" s="573"/>
      <c r="COT80" s="573"/>
      <c r="COU80" s="573"/>
      <c r="COV80" s="573"/>
      <c r="COW80" s="573"/>
      <c r="COX80" s="573"/>
      <c r="COY80" s="573"/>
      <c r="COZ80" s="573"/>
      <c r="CPA80" s="573"/>
      <c r="CPB80" s="573"/>
      <c r="CPC80" s="573"/>
      <c r="CPD80" s="573"/>
      <c r="CPE80" s="573"/>
      <c r="CPF80" s="573"/>
      <c r="CPG80" s="573"/>
      <c r="CPH80" s="573"/>
      <c r="CPI80" s="573"/>
      <c r="CPJ80" s="573"/>
      <c r="CPK80" s="573"/>
      <c r="CPL80" s="573"/>
      <c r="CPM80" s="573"/>
      <c r="CPN80" s="573"/>
      <c r="CPO80" s="573"/>
      <c r="CPP80" s="573"/>
      <c r="CPQ80" s="573"/>
      <c r="CPR80" s="573"/>
      <c r="CPS80" s="573"/>
      <c r="CPT80" s="573"/>
      <c r="CPU80" s="573"/>
      <c r="CPV80" s="573"/>
      <c r="CPW80" s="573"/>
      <c r="CPX80" s="573"/>
      <c r="CPY80" s="573"/>
      <c r="CPZ80" s="573"/>
      <c r="CQA80" s="573"/>
      <c r="CQB80" s="573"/>
      <c r="CQC80" s="573"/>
      <c r="CQD80" s="573"/>
      <c r="CQE80" s="573"/>
      <c r="CQF80" s="573"/>
      <c r="CQG80" s="573"/>
      <c r="CQH80" s="573"/>
      <c r="CQI80" s="573"/>
      <c r="CQJ80" s="573"/>
      <c r="CQK80" s="573"/>
      <c r="CQL80" s="573"/>
      <c r="CQM80" s="573"/>
      <c r="CQN80" s="573"/>
      <c r="CQO80" s="573"/>
      <c r="CQP80" s="573"/>
      <c r="CQQ80" s="573"/>
      <c r="CQR80" s="573"/>
      <c r="CQS80" s="573"/>
      <c r="CQT80" s="573"/>
      <c r="CQU80" s="573"/>
      <c r="CQV80" s="573"/>
      <c r="CQW80" s="573"/>
      <c r="CQX80" s="573"/>
      <c r="CQY80" s="573"/>
      <c r="CQZ80" s="573"/>
      <c r="CRA80" s="573"/>
      <c r="CRB80" s="573"/>
      <c r="CRC80" s="573"/>
      <c r="CRD80" s="573"/>
      <c r="CRE80" s="573"/>
      <c r="CRF80" s="573"/>
      <c r="CRG80" s="573"/>
      <c r="CRH80" s="573"/>
      <c r="CRI80" s="573"/>
      <c r="CRJ80" s="573"/>
      <c r="CRK80" s="573"/>
      <c r="CRL80" s="573"/>
      <c r="CRM80" s="573"/>
      <c r="CRN80" s="573"/>
      <c r="CRO80" s="573"/>
      <c r="CRP80" s="573"/>
      <c r="CRQ80" s="573"/>
      <c r="CRR80" s="573"/>
      <c r="CRS80" s="573"/>
      <c r="CRT80" s="573"/>
      <c r="CRU80" s="573"/>
      <c r="CRV80" s="573"/>
      <c r="CRW80" s="573"/>
      <c r="CRX80" s="573"/>
      <c r="CRY80" s="573"/>
      <c r="CRZ80" s="573"/>
      <c r="CSA80" s="573"/>
      <c r="CSB80" s="573"/>
      <c r="CSC80" s="573"/>
      <c r="CSD80" s="573"/>
      <c r="CSE80" s="573"/>
      <c r="CSF80" s="573"/>
      <c r="CSG80" s="573"/>
      <c r="CSH80" s="573"/>
      <c r="CSI80" s="573"/>
      <c r="CSJ80" s="573"/>
      <c r="CSK80" s="573"/>
      <c r="CSL80" s="573"/>
      <c r="CSM80" s="573"/>
      <c r="CSN80" s="573"/>
      <c r="CSO80" s="573"/>
      <c r="CSP80" s="573"/>
      <c r="CSQ80" s="573"/>
      <c r="CSR80" s="573"/>
      <c r="CSS80" s="573"/>
      <c r="CST80" s="573"/>
      <c r="CSU80" s="573"/>
      <c r="CSV80" s="573"/>
      <c r="CSW80" s="573"/>
      <c r="CSX80" s="573"/>
      <c r="CSY80" s="573"/>
      <c r="CSZ80" s="573"/>
      <c r="CTA80" s="573"/>
      <c r="CTB80" s="573"/>
      <c r="CTC80" s="573"/>
      <c r="CTD80" s="573"/>
      <c r="CTE80" s="573"/>
      <c r="CTF80" s="573"/>
      <c r="CTG80" s="573"/>
      <c r="CTH80" s="573"/>
      <c r="CTI80" s="573"/>
      <c r="CTJ80" s="573"/>
      <c r="CTK80" s="573"/>
      <c r="CTL80" s="573"/>
      <c r="CTM80" s="573"/>
      <c r="CTN80" s="573"/>
      <c r="CTO80" s="573"/>
      <c r="CTP80" s="573"/>
      <c r="CTQ80" s="573"/>
      <c r="CTR80" s="573"/>
      <c r="CTS80" s="573"/>
      <c r="CTT80" s="573"/>
      <c r="CTU80" s="573"/>
      <c r="CTV80" s="573"/>
      <c r="CTW80" s="573"/>
      <c r="CTX80" s="573"/>
      <c r="CTY80" s="573"/>
      <c r="CTZ80" s="573"/>
      <c r="CUA80" s="573"/>
      <c r="CUB80" s="573"/>
      <c r="CUC80" s="573"/>
      <c r="CUD80" s="573"/>
      <c r="CUE80" s="573"/>
      <c r="CUF80" s="573"/>
      <c r="CUG80" s="573"/>
      <c r="CUH80" s="573"/>
      <c r="CUI80" s="573"/>
      <c r="CUJ80" s="573"/>
      <c r="CUK80" s="573"/>
      <c r="CUL80" s="573"/>
      <c r="CUM80" s="573"/>
      <c r="CUN80" s="573"/>
      <c r="CUO80" s="573"/>
      <c r="CUP80" s="573"/>
      <c r="CUQ80" s="573"/>
      <c r="CUR80" s="573"/>
      <c r="CUS80" s="573"/>
      <c r="CUT80" s="573"/>
      <c r="CUU80" s="573"/>
      <c r="CUV80" s="573"/>
      <c r="CUW80" s="573"/>
      <c r="CUX80" s="573"/>
      <c r="CUY80" s="573"/>
      <c r="CUZ80" s="573"/>
      <c r="CVA80" s="573"/>
      <c r="CVB80" s="573"/>
      <c r="CVC80" s="573"/>
      <c r="CVD80" s="573"/>
      <c r="CVE80" s="573"/>
      <c r="CVF80" s="573"/>
      <c r="CVG80" s="573"/>
      <c r="CVH80" s="573"/>
      <c r="CVI80" s="573"/>
      <c r="CVJ80" s="573"/>
      <c r="CVK80" s="573"/>
      <c r="CVL80" s="573"/>
      <c r="CVM80" s="573"/>
      <c r="CVN80" s="573"/>
      <c r="CVO80" s="573"/>
      <c r="CVP80" s="573"/>
      <c r="CVQ80" s="573"/>
      <c r="CVR80" s="573"/>
      <c r="CVS80" s="573"/>
      <c r="CVT80" s="573"/>
      <c r="CVU80" s="573"/>
      <c r="CVV80" s="573"/>
      <c r="CVW80" s="573"/>
      <c r="CVX80" s="573"/>
      <c r="CVY80" s="573"/>
      <c r="CVZ80" s="573"/>
      <c r="CWA80" s="573"/>
      <c r="CWB80" s="573"/>
      <c r="CWC80" s="573"/>
      <c r="CWD80" s="573"/>
      <c r="CWE80" s="573"/>
      <c r="CWF80" s="573"/>
      <c r="CWG80" s="573"/>
      <c r="CWH80" s="573"/>
      <c r="CWI80" s="573"/>
      <c r="CWJ80" s="573"/>
      <c r="CWK80" s="573"/>
      <c r="CWL80" s="573"/>
      <c r="CWM80" s="573"/>
      <c r="CWN80" s="573"/>
      <c r="CWO80" s="573"/>
      <c r="CWP80" s="573"/>
      <c r="CWQ80" s="573"/>
      <c r="CWR80" s="573"/>
      <c r="CWS80" s="573"/>
      <c r="CWT80" s="573"/>
      <c r="CWU80" s="573"/>
      <c r="CWV80" s="573"/>
      <c r="CWW80" s="573"/>
      <c r="CWX80" s="573"/>
      <c r="CWY80" s="573"/>
      <c r="CWZ80" s="573"/>
      <c r="CXA80" s="573"/>
      <c r="CXB80" s="573"/>
      <c r="CXC80" s="573"/>
      <c r="CXD80" s="573"/>
      <c r="CXE80" s="573"/>
      <c r="CXF80" s="573"/>
      <c r="CXG80" s="573"/>
      <c r="CXH80" s="573"/>
      <c r="CXI80" s="573"/>
      <c r="CXJ80" s="573"/>
      <c r="CXK80" s="573"/>
      <c r="CXL80" s="573"/>
      <c r="CXM80" s="573"/>
      <c r="CXN80" s="573"/>
      <c r="CXO80" s="573"/>
      <c r="CXP80" s="573"/>
      <c r="CXQ80" s="573"/>
      <c r="CXR80" s="573"/>
      <c r="CXS80" s="573"/>
      <c r="CXT80" s="573"/>
      <c r="CXU80" s="573"/>
      <c r="CXV80" s="573"/>
      <c r="CXW80" s="573"/>
      <c r="CXX80" s="573"/>
      <c r="CXY80" s="573"/>
      <c r="CXZ80" s="573"/>
      <c r="CYA80" s="573"/>
      <c r="CYB80" s="573"/>
      <c r="CYC80" s="573"/>
      <c r="CYD80" s="573"/>
      <c r="CYE80" s="573"/>
      <c r="CYF80" s="573"/>
      <c r="CYG80" s="573"/>
      <c r="CYH80" s="573"/>
      <c r="CYI80" s="573"/>
      <c r="CYJ80" s="573"/>
      <c r="CYK80" s="573"/>
      <c r="CYL80" s="573"/>
      <c r="CYM80" s="573"/>
      <c r="CYN80" s="573"/>
      <c r="CYO80" s="573"/>
      <c r="CYP80" s="573"/>
      <c r="CYQ80" s="573"/>
      <c r="CYR80" s="573"/>
      <c r="CYS80" s="573"/>
      <c r="CYT80" s="573"/>
      <c r="CYU80" s="573"/>
      <c r="CYV80" s="573"/>
      <c r="CYW80" s="573"/>
      <c r="CYX80" s="573"/>
      <c r="CYY80" s="573"/>
      <c r="CYZ80" s="573"/>
      <c r="CZA80" s="573"/>
      <c r="CZB80" s="573"/>
      <c r="CZC80" s="573"/>
      <c r="CZD80" s="573"/>
      <c r="CZE80" s="573"/>
      <c r="CZF80" s="573"/>
      <c r="CZG80" s="573"/>
      <c r="CZH80" s="573"/>
      <c r="CZI80" s="573"/>
      <c r="CZJ80" s="573"/>
      <c r="CZK80" s="573"/>
      <c r="CZL80" s="573"/>
      <c r="CZM80" s="573"/>
      <c r="CZN80" s="573"/>
      <c r="CZO80" s="573"/>
      <c r="CZP80" s="573"/>
      <c r="CZQ80" s="573"/>
      <c r="CZR80" s="573"/>
      <c r="CZS80" s="573"/>
      <c r="CZT80" s="573"/>
      <c r="CZU80" s="573"/>
      <c r="CZV80" s="573"/>
      <c r="CZW80" s="573"/>
      <c r="CZX80" s="573"/>
      <c r="CZY80" s="573"/>
      <c r="CZZ80" s="573"/>
      <c r="DAA80" s="573"/>
      <c r="DAB80" s="573"/>
      <c r="DAC80" s="573"/>
      <c r="DAD80" s="573"/>
      <c r="DAE80" s="573"/>
      <c r="DAF80" s="573"/>
      <c r="DAG80" s="573"/>
      <c r="DAH80" s="573"/>
      <c r="DAI80" s="573"/>
      <c r="DAJ80" s="573"/>
      <c r="DAK80" s="573"/>
      <c r="DAL80" s="573"/>
      <c r="DAM80" s="573"/>
      <c r="DAN80" s="573"/>
      <c r="DAO80" s="573"/>
      <c r="DAP80" s="573"/>
      <c r="DAQ80" s="573"/>
      <c r="DAR80" s="573"/>
      <c r="DAS80" s="573"/>
      <c r="DAT80" s="573"/>
      <c r="DAU80" s="573"/>
      <c r="DAV80" s="573"/>
      <c r="DAW80" s="573"/>
      <c r="DAX80" s="573"/>
      <c r="DAY80" s="573"/>
      <c r="DAZ80" s="573"/>
      <c r="DBA80" s="573"/>
      <c r="DBB80" s="573"/>
      <c r="DBC80" s="573"/>
      <c r="DBD80" s="573"/>
      <c r="DBE80" s="573"/>
      <c r="DBF80" s="573"/>
      <c r="DBG80" s="573"/>
      <c r="DBH80" s="573"/>
      <c r="DBI80" s="573"/>
      <c r="DBJ80" s="573"/>
      <c r="DBK80" s="573"/>
      <c r="DBL80" s="573"/>
      <c r="DBM80" s="573"/>
      <c r="DBN80" s="573"/>
      <c r="DBO80" s="573"/>
      <c r="DBP80" s="573"/>
      <c r="DBQ80" s="573"/>
      <c r="DBR80" s="573"/>
      <c r="DBS80" s="573"/>
      <c r="DBT80" s="573"/>
      <c r="DBU80" s="573"/>
      <c r="DBV80" s="573"/>
      <c r="DBW80" s="573"/>
      <c r="DBX80" s="573"/>
      <c r="DBY80" s="573"/>
      <c r="DBZ80" s="573"/>
      <c r="DCA80" s="573"/>
      <c r="DCB80" s="573"/>
      <c r="DCC80" s="573"/>
      <c r="DCD80" s="573"/>
      <c r="DCE80" s="573"/>
      <c r="DCF80" s="573"/>
      <c r="DCG80" s="573"/>
      <c r="DCH80" s="573"/>
      <c r="DCI80" s="573"/>
      <c r="DCJ80" s="573"/>
      <c r="DCK80" s="573"/>
      <c r="DCL80" s="573"/>
      <c r="DCM80" s="573"/>
      <c r="DCN80" s="573"/>
      <c r="DCO80" s="573"/>
      <c r="DCP80" s="573"/>
      <c r="DCQ80" s="573"/>
      <c r="DCR80" s="573"/>
      <c r="DCS80" s="573"/>
      <c r="DCT80" s="573"/>
      <c r="DCU80" s="573"/>
      <c r="DCV80" s="573"/>
      <c r="DCW80" s="573"/>
      <c r="DCX80" s="573"/>
      <c r="DCY80" s="573"/>
      <c r="DCZ80" s="573"/>
      <c r="DDA80" s="573"/>
      <c r="DDB80" s="573"/>
      <c r="DDC80" s="573"/>
      <c r="DDD80" s="573"/>
      <c r="DDE80" s="573"/>
      <c r="DDF80" s="573"/>
      <c r="DDG80" s="573"/>
      <c r="DDH80" s="573"/>
      <c r="DDI80" s="573"/>
      <c r="DDJ80" s="573"/>
      <c r="DDK80" s="573"/>
      <c r="DDL80" s="573"/>
      <c r="DDM80" s="573"/>
      <c r="DDN80" s="573"/>
      <c r="DDO80" s="573"/>
      <c r="DDP80" s="573"/>
      <c r="DDQ80" s="573"/>
      <c r="DDR80" s="573"/>
      <c r="DDS80" s="573"/>
      <c r="DDT80" s="573"/>
      <c r="DDU80" s="573"/>
      <c r="DDV80" s="573"/>
      <c r="DDW80" s="573"/>
      <c r="DDX80" s="573"/>
      <c r="DDY80" s="573"/>
      <c r="DDZ80" s="573"/>
      <c r="DEA80" s="573"/>
      <c r="DEB80" s="573"/>
      <c r="DEC80" s="573"/>
      <c r="DED80" s="573"/>
      <c r="DEE80" s="573"/>
      <c r="DEF80" s="573"/>
      <c r="DEG80" s="573"/>
      <c r="DEH80" s="573"/>
      <c r="DEI80" s="573"/>
      <c r="DEJ80" s="573"/>
      <c r="DEK80" s="573"/>
      <c r="DEL80" s="573"/>
      <c r="DEM80" s="573"/>
      <c r="DEN80" s="573"/>
      <c r="DEO80" s="573"/>
      <c r="DEP80" s="573"/>
      <c r="DEQ80" s="573"/>
      <c r="DER80" s="573"/>
      <c r="DES80" s="573"/>
      <c r="DET80" s="573"/>
      <c r="DEU80" s="573"/>
      <c r="DEV80" s="573"/>
      <c r="DEW80" s="573"/>
      <c r="DEX80" s="573"/>
      <c r="DEY80" s="573"/>
      <c r="DEZ80" s="573"/>
      <c r="DFA80" s="573"/>
      <c r="DFB80" s="573"/>
      <c r="DFC80" s="573"/>
      <c r="DFD80" s="573"/>
      <c r="DFE80" s="573"/>
      <c r="DFF80" s="573"/>
      <c r="DFG80" s="573"/>
      <c r="DFH80" s="573"/>
      <c r="DFI80" s="573"/>
      <c r="DFJ80" s="573"/>
      <c r="DFK80" s="573"/>
      <c r="DFL80" s="573"/>
      <c r="DFM80" s="573"/>
      <c r="DFN80" s="573"/>
      <c r="DFO80" s="573"/>
      <c r="DFP80" s="573"/>
      <c r="DFQ80" s="573"/>
      <c r="DFR80" s="573"/>
      <c r="DFS80" s="573"/>
      <c r="DFT80" s="573"/>
      <c r="DFU80" s="573"/>
      <c r="DFV80" s="573"/>
      <c r="DFW80" s="573"/>
      <c r="DFX80" s="573"/>
      <c r="DFY80" s="573"/>
      <c r="DFZ80" s="573"/>
      <c r="DGA80" s="573"/>
      <c r="DGB80" s="573"/>
      <c r="DGC80" s="573"/>
      <c r="DGD80" s="573"/>
      <c r="DGE80" s="573"/>
      <c r="DGF80" s="573"/>
      <c r="DGG80" s="573"/>
      <c r="DGH80" s="573"/>
      <c r="DGI80" s="573"/>
      <c r="DGJ80" s="573"/>
      <c r="DGK80" s="573"/>
      <c r="DGL80" s="573"/>
      <c r="DGM80" s="573"/>
      <c r="DGN80" s="573"/>
      <c r="DGO80" s="573"/>
      <c r="DGP80" s="573"/>
      <c r="DGQ80" s="573"/>
      <c r="DGR80" s="573"/>
      <c r="DGS80" s="573"/>
      <c r="DGT80" s="573"/>
      <c r="DGU80" s="573"/>
      <c r="DGV80" s="573"/>
      <c r="DGW80" s="573"/>
      <c r="DGX80" s="573"/>
      <c r="DGY80" s="573"/>
      <c r="DGZ80" s="573"/>
      <c r="DHA80" s="573"/>
      <c r="DHB80" s="573"/>
      <c r="DHC80" s="573"/>
      <c r="DHD80" s="573"/>
      <c r="DHE80" s="573"/>
      <c r="DHF80" s="573"/>
      <c r="DHG80" s="573"/>
      <c r="DHH80" s="573"/>
      <c r="DHI80" s="573"/>
      <c r="DHJ80" s="573"/>
      <c r="DHK80" s="573"/>
      <c r="DHL80" s="573"/>
      <c r="DHM80" s="573"/>
      <c r="DHN80" s="573"/>
      <c r="DHO80" s="573"/>
      <c r="DHP80" s="573"/>
      <c r="DHQ80" s="573"/>
      <c r="DHR80" s="573"/>
      <c r="DHS80" s="573"/>
      <c r="DHT80" s="573"/>
      <c r="DHU80" s="573"/>
      <c r="DHV80" s="573"/>
      <c r="DHW80" s="573"/>
      <c r="DHX80" s="573"/>
      <c r="DHY80" s="573"/>
      <c r="DHZ80" s="573"/>
      <c r="DIA80" s="573"/>
      <c r="DIB80" s="573"/>
      <c r="DIC80" s="573"/>
      <c r="DID80" s="573"/>
      <c r="DIE80" s="573"/>
      <c r="DIF80" s="573"/>
      <c r="DIG80" s="573"/>
      <c r="DIH80" s="573"/>
      <c r="DII80" s="573"/>
      <c r="DIJ80" s="573"/>
      <c r="DIK80" s="573"/>
      <c r="DIL80" s="573"/>
      <c r="DIM80" s="573"/>
      <c r="DIN80" s="573"/>
      <c r="DIO80" s="573"/>
      <c r="DIP80" s="573"/>
      <c r="DIQ80" s="573"/>
      <c r="DIR80" s="573"/>
      <c r="DIS80" s="573"/>
      <c r="DIT80" s="573"/>
      <c r="DIU80" s="573"/>
      <c r="DIV80" s="573"/>
      <c r="DIW80" s="573"/>
      <c r="DIX80" s="573"/>
      <c r="DIY80" s="573"/>
      <c r="DIZ80" s="573"/>
      <c r="DJA80" s="573"/>
      <c r="DJB80" s="573"/>
      <c r="DJC80" s="573"/>
      <c r="DJD80" s="573"/>
      <c r="DJE80" s="573"/>
      <c r="DJF80" s="573"/>
      <c r="DJG80" s="573"/>
      <c r="DJH80" s="573"/>
      <c r="DJI80" s="573"/>
      <c r="DJJ80" s="573"/>
      <c r="DJK80" s="573"/>
      <c r="DJL80" s="573"/>
      <c r="DJM80" s="573"/>
      <c r="DJN80" s="573"/>
      <c r="DJO80" s="573"/>
      <c r="DJP80" s="573"/>
      <c r="DJQ80" s="573"/>
      <c r="DJR80" s="573"/>
      <c r="DJS80" s="573"/>
      <c r="DJT80" s="573"/>
      <c r="DJU80" s="573"/>
      <c r="DJV80" s="573"/>
      <c r="DJW80" s="573"/>
      <c r="DJX80" s="573"/>
      <c r="DJY80" s="573"/>
      <c r="DJZ80" s="573"/>
      <c r="DKA80" s="573"/>
      <c r="DKB80" s="573"/>
      <c r="DKC80" s="573"/>
      <c r="DKD80" s="573"/>
      <c r="DKE80" s="573"/>
      <c r="DKF80" s="573"/>
      <c r="DKG80" s="573"/>
      <c r="DKH80" s="573"/>
      <c r="DKI80" s="573"/>
      <c r="DKJ80" s="573"/>
      <c r="DKK80" s="573"/>
      <c r="DKL80" s="573"/>
      <c r="DKM80" s="573"/>
      <c r="DKN80" s="573"/>
      <c r="DKO80" s="573"/>
      <c r="DKP80" s="573"/>
      <c r="DKQ80" s="573"/>
      <c r="DKR80" s="573"/>
      <c r="DKS80" s="573"/>
      <c r="DKT80" s="573"/>
      <c r="DKU80" s="573"/>
      <c r="DKV80" s="573"/>
      <c r="DKW80" s="573"/>
      <c r="DKX80" s="573"/>
      <c r="DKY80" s="573"/>
      <c r="DKZ80" s="573"/>
      <c r="DLA80" s="573"/>
      <c r="DLB80" s="573"/>
      <c r="DLC80" s="573"/>
      <c r="DLD80" s="573"/>
      <c r="DLE80" s="573"/>
      <c r="DLF80" s="573"/>
      <c r="DLG80" s="573"/>
      <c r="DLH80" s="573"/>
      <c r="DLI80" s="573"/>
      <c r="DLJ80" s="573"/>
      <c r="DLK80" s="573"/>
      <c r="DLL80" s="573"/>
      <c r="DLM80" s="573"/>
      <c r="DLN80" s="573"/>
      <c r="DLO80" s="573"/>
      <c r="DLP80" s="573"/>
      <c r="DLQ80" s="573"/>
      <c r="DLR80" s="573"/>
      <c r="DLS80" s="573"/>
      <c r="DLT80" s="573"/>
      <c r="DLU80" s="573"/>
      <c r="DLV80" s="573"/>
      <c r="DLW80" s="573"/>
      <c r="DLX80" s="573"/>
      <c r="DLY80" s="573"/>
      <c r="DLZ80" s="573"/>
      <c r="DMA80" s="573"/>
      <c r="DMB80" s="573"/>
      <c r="DMC80" s="573"/>
      <c r="DMD80" s="573"/>
      <c r="DME80" s="573"/>
      <c r="DMF80" s="573"/>
      <c r="DMG80" s="573"/>
      <c r="DMH80" s="573"/>
      <c r="DMI80" s="573"/>
      <c r="DMJ80" s="573"/>
      <c r="DMK80" s="573"/>
      <c r="DML80" s="573"/>
      <c r="DMM80" s="573"/>
      <c r="DMN80" s="573"/>
      <c r="DMO80" s="573"/>
      <c r="DMP80" s="573"/>
      <c r="DMQ80" s="573"/>
      <c r="DMR80" s="573"/>
      <c r="DMS80" s="573"/>
      <c r="DMT80" s="573"/>
      <c r="DMU80" s="573"/>
      <c r="DMV80" s="573"/>
      <c r="DMW80" s="573"/>
      <c r="DMX80" s="573"/>
      <c r="DMY80" s="573"/>
      <c r="DMZ80" s="573"/>
      <c r="DNA80" s="573"/>
      <c r="DNB80" s="573"/>
      <c r="DNC80" s="573"/>
      <c r="DND80" s="573"/>
      <c r="DNE80" s="573"/>
      <c r="DNF80" s="573"/>
      <c r="DNG80" s="573"/>
      <c r="DNH80" s="573"/>
      <c r="DNI80" s="573"/>
      <c r="DNJ80" s="573"/>
      <c r="DNK80" s="573"/>
      <c r="DNL80" s="573"/>
      <c r="DNM80" s="573"/>
      <c r="DNN80" s="573"/>
      <c r="DNO80" s="573"/>
      <c r="DNP80" s="573"/>
      <c r="DNQ80" s="573"/>
      <c r="DNR80" s="573"/>
      <c r="DNS80" s="573"/>
      <c r="DNT80" s="573"/>
      <c r="DNU80" s="573"/>
      <c r="DNV80" s="573"/>
      <c r="DNW80" s="573"/>
      <c r="DNX80" s="573"/>
      <c r="DNY80" s="573"/>
      <c r="DNZ80" s="573"/>
      <c r="DOA80" s="573"/>
      <c r="DOB80" s="573"/>
      <c r="DOC80" s="573"/>
      <c r="DOD80" s="573"/>
      <c r="DOE80" s="573"/>
      <c r="DOF80" s="573"/>
      <c r="DOG80" s="573"/>
      <c r="DOH80" s="573"/>
      <c r="DOI80" s="573"/>
      <c r="DOJ80" s="573"/>
      <c r="DOK80" s="573"/>
      <c r="DOL80" s="573"/>
      <c r="DOM80" s="573"/>
      <c r="DON80" s="573"/>
      <c r="DOO80" s="573"/>
      <c r="DOP80" s="573"/>
      <c r="DOQ80" s="573"/>
      <c r="DOR80" s="573"/>
      <c r="DOS80" s="573"/>
      <c r="DOT80" s="573"/>
      <c r="DOU80" s="573"/>
      <c r="DOV80" s="573"/>
      <c r="DOW80" s="573"/>
      <c r="DOX80" s="573"/>
      <c r="DOY80" s="573"/>
      <c r="DOZ80" s="573"/>
      <c r="DPA80" s="573"/>
      <c r="DPB80" s="573"/>
      <c r="DPC80" s="573"/>
      <c r="DPD80" s="573"/>
      <c r="DPE80" s="573"/>
      <c r="DPF80" s="573"/>
      <c r="DPG80" s="573"/>
      <c r="DPH80" s="573"/>
      <c r="DPI80" s="573"/>
      <c r="DPJ80" s="573"/>
      <c r="DPK80" s="573"/>
      <c r="DPL80" s="573"/>
      <c r="DPM80" s="573"/>
      <c r="DPN80" s="573"/>
      <c r="DPO80" s="573"/>
      <c r="DPP80" s="573"/>
      <c r="DPQ80" s="573"/>
      <c r="DPR80" s="573"/>
      <c r="DPS80" s="573"/>
      <c r="DPT80" s="573"/>
      <c r="DPU80" s="573"/>
      <c r="DPV80" s="573"/>
      <c r="DPW80" s="573"/>
      <c r="DPX80" s="573"/>
      <c r="DPY80" s="573"/>
      <c r="DPZ80" s="573"/>
      <c r="DQA80" s="573"/>
      <c r="DQB80" s="573"/>
      <c r="DQC80" s="573"/>
      <c r="DQD80" s="573"/>
      <c r="DQE80" s="573"/>
      <c r="DQF80" s="573"/>
      <c r="DQG80" s="573"/>
      <c r="DQH80" s="573"/>
      <c r="DQI80" s="573"/>
      <c r="DQJ80" s="573"/>
      <c r="DQK80" s="573"/>
      <c r="DQL80" s="573"/>
      <c r="DQM80" s="573"/>
      <c r="DQN80" s="573"/>
      <c r="DQO80" s="573"/>
      <c r="DQP80" s="573"/>
      <c r="DQQ80" s="573"/>
      <c r="DQR80" s="573"/>
      <c r="DQS80" s="573"/>
      <c r="DQT80" s="573"/>
      <c r="DQU80" s="573"/>
      <c r="DQV80" s="573"/>
      <c r="DQW80" s="573"/>
      <c r="DQX80" s="573"/>
      <c r="DQY80" s="573"/>
      <c r="DQZ80" s="573"/>
      <c r="DRA80" s="573"/>
      <c r="DRB80" s="573"/>
      <c r="DRC80" s="573"/>
      <c r="DRD80" s="573"/>
      <c r="DRE80" s="573"/>
      <c r="DRF80" s="573"/>
      <c r="DRG80" s="573"/>
      <c r="DRH80" s="573"/>
      <c r="DRI80" s="573"/>
      <c r="DRJ80" s="573"/>
      <c r="DRK80" s="573"/>
      <c r="DRL80" s="573"/>
      <c r="DRM80" s="573"/>
      <c r="DRN80" s="573"/>
      <c r="DRO80" s="573"/>
      <c r="DRP80" s="573"/>
      <c r="DRQ80" s="573"/>
      <c r="DRR80" s="573"/>
      <c r="DRS80" s="573"/>
      <c r="DRT80" s="573"/>
      <c r="DRU80" s="573"/>
      <c r="DRV80" s="573"/>
      <c r="DRW80" s="573"/>
      <c r="DRX80" s="573"/>
      <c r="DRY80" s="573"/>
      <c r="DRZ80" s="573"/>
      <c r="DSA80" s="573"/>
      <c r="DSB80" s="573"/>
      <c r="DSC80" s="573"/>
      <c r="DSD80" s="573"/>
      <c r="DSE80" s="573"/>
      <c r="DSF80" s="573"/>
      <c r="DSG80" s="573"/>
      <c r="DSH80" s="573"/>
      <c r="DSI80" s="573"/>
      <c r="DSJ80" s="573"/>
      <c r="DSK80" s="573"/>
      <c r="DSL80" s="573"/>
      <c r="DSM80" s="573"/>
      <c r="DSN80" s="573"/>
      <c r="DSO80" s="573"/>
      <c r="DSP80" s="573"/>
      <c r="DSQ80" s="573"/>
      <c r="DSR80" s="573"/>
      <c r="DSS80" s="573"/>
      <c r="DST80" s="573"/>
      <c r="DSU80" s="573"/>
      <c r="DSV80" s="573"/>
      <c r="DSW80" s="573"/>
      <c r="DSX80" s="573"/>
      <c r="DSY80" s="573"/>
      <c r="DSZ80" s="573"/>
      <c r="DTA80" s="573"/>
      <c r="DTB80" s="573"/>
      <c r="DTC80" s="573"/>
      <c r="DTD80" s="573"/>
      <c r="DTE80" s="573"/>
      <c r="DTF80" s="573"/>
      <c r="DTG80" s="573"/>
      <c r="DTH80" s="573"/>
      <c r="DTI80" s="573"/>
      <c r="DTJ80" s="573"/>
      <c r="DTK80" s="573"/>
      <c r="DTL80" s="573"/>
      <c r="DTM80" s="573"/>
      <c r="DTN80" s="573"/>
      <c r="DTO80" s="573"/>
      <c r="DTP80" s="573"/>
      <c r="DTQ80" s="573"/>
      <c r="DTR80" s="573"/>
      <c r="DTS80" s="573"/>
      <c r="DTT80" s="573"/>
      <c r="DTU80" s="573"/>
      <c r="DTV80" s="573"/>
      <c r="DTW80" s="573"/>
      <c r="DTX80" s="573"/>
      <c r="DTY80" s="573"/>
      <c r="DTZ80" s="573"/>
      <c r="DUA80" s="573"/>
      <c r="DUB80" s="573"/>
      <c r="DUC80" s="573"/>
      <c r="DUD80" s="573"/>
      <c r="DUE80" s="573"/>
      <c r="DUF80" s="573"/>
      <c r="DUG80" s="573"/>
      <c r="DUH80" s="573"/>
      <c r="DUI80" s="573"/>
      <c r="DUJ80" s="573"/>
      <c r="DUK80" s="573"/>
      <c r="DUL80" s="573"/>
      <c r="DUM80" s="573"/>
      <c r="DUN80" s="573"/>
      <c r="DUO80" s="573"/>
      <c r="DUP80" s="573"/>
      <c r="DUQ80" s="573"/>
      <c r="DUR80" s="573"/>
      <c r="DUS80" s="573"/>
      <c r="DUT80" s="573"/>
      <c r="DUU80" s="573"/>
      <c r="DUV80" s="573"/>
      <c r="DUW80" s="573"/>
      <c r="DUX80" s="573"/>
      <c r="DUY80" s="573"/>
      <c r="DUZ80" s="573"/>
      <c r="DVA80" s="573"/>
      <c r="DVB80" s="573"/>
      <c r="DVC80" s="573"/>
      <c r="DVD80" s="573"/>
      <c r="DVE80" s="573"/>
      <c r="DVF80" s="573"/>
      <c r="DVG80" s="573"/>
      <c r="DVH80" s="573"/>
      <c r="DVI80" s="573"/>
      <c r="DVJ80" s="573"/>
      <c r="DVK80" s="573"/>
      <c r="DVL80" s="573"/>
      <c r="DVM80" s="573"/>
      <c r="DVN80" s="573"/>
      <c r="DVO80" s="573"/>
      <c r="DVP80" s="573"/>
      <c r="DVQ80" s="573"/>
      <c r="DVR80" s="573"/>
      <c r="DVS80" s="573"/>
      <c r="DVT80" s="573"/>
      <c r="DVU80" s="573"/>
      <c r="DVV80" s="573"/>
      <c r="DVW80" s="573"/>
      <c r="DVX80" s="573"/>
      <c r="DVY80" s="573"/>
      <c r="DVZ80" s="573"/>
      <c r="DWA80" s="573"/>
      <c r="DWB80" s="573"/>
      <c r="DWC80" s="573"/>
      <c r="DWD80" s="573"/>
      <c r="DWE80" s="573"/>
      <c r="DWF80" s="573"/>
      <c r="DWG80" s="573"/>
      <c r="DWH80" s="573"/>
      <c r="DWI80" s="573"/>
      <c r="DWJ80" s="573"/>
      <c r="DWK80" s="573"/>
      <c r="DWL80" s="573"/>
      <c r="DWM80" s="573"/>
      <c r="DWN80" s="573"/>
      <c r="DWO80" s="573"/>
      <c r="DWP80" s="573"/>
      <c r="DWQ80" s="573"/>
      <c r="DWR80" s="573"/>
      <c r="DWS80" s="573"/>
      <c r="DWT80" s="573"/>
      <c r="DWU80" s="573"/>
      <c r="DWV80" s="573"/>
      <c r="DWW80" s="573"/>
      <c r="DWX80" s="573"/>
      <c r="DWY80" s="573"/>
      <c r="DWZ80" s="573"/>
      <c r="DXA80" s="573"/>
      <c r="DXB80" s="573"/>
      <c r="DXC80" s="573"/>
      <c r="DXD80" s="573"/>
      <c r="DXE80" s="573"/>
      <c r="DXF80" s="573"/>
      <c r="DXG80" s="573"/>
      <c r="DXH80" s="573"/>
      <c r="DXI80" s="573"/>
      <c r="DXJ80" s="573"/>
      <c r="DXK80" s="573"/>
      <c r="DXL80" s="573"/>
      <c r="DXM80" s="573"/>
      <c r="DXN80" s="573"/>
      <c r="DXO80" s="573"/>
      <c r="DXP80" s="573"/>
      <c r="DXQ80" s="573"/>
      <c r="DXR80" s="573"/>
      <c r="DXS80" s="573"/>
      <c r="DXT80" s="573"/>
      <c r="DXU80" s="573"/>
      <c r="DXV80" s="573"/>
      <c r="DXW80" s="573"/>
      <c r="DXX80" s="573"/>
      <c r="DXY80" s="573"/>
      <c r="DXZ80" s="573"/>
      <c r="DYA80" s="573"/>
      <c r="DYB80" s="573"/>
      <c r="DYC80" s="573"/>
      <c r="DYD80" s="573"/>
      <c r="DYE80" s="573"/>
      <c r="DYF80" s="573"/>
      <c r="DYG80" s="573"/>
      <c r="DYH80" s="573"/>
      <c r="DYI80" s="573"/>
      <c r="DYJ80" s="573"/>
      <c r="DYK80" s="573"/>
      <c r="DYL80" s="573"/>
      <c r="DYM80" s="573"/>
      <c r="DYN80" s="573"/>
      <c r="DYO80" s="573"/>
      <c r="DYP80" s="573"/>
      <c r="DYQ80" s="573"/>
      <c r="DYR80" s="573"/>
      <c r="DYS80" s="573"/>
      <c r="DYT80" s="573"/>
      <c r="DYU80" s="573"/>
      <c r="DYV80" s="573"/>
      <c r="DYW80" s="573"/>
      <c r="DYX80" s="573"/>
      <c r="DYY80" s="573"/>
      <c r="DYZ80" s="573"/>
      <c r="DZA80" s="573"/>
      <c r="DZB80" s="573"/>
      <c r="DZC80" s="573"/>
      <c r="DZD80" s="573"/>
      <c r="DZE80" s="573"/>
      <c r="DZF80" s="573"/>
      <c r="DZG80" s="573"/>
      <c r="DZH80" s="573"/>
      <c r="DZI80" s="573"/>
      <c r="DZJ80" s="573"/>
      <c r="DZK80" s="573"/>
      <c r="DZL80" s="573"/>
      <c r="DZM80" s="573"/>
      <c r="DZN80" s="573"/>
      <c r="DZO80" s="573"/>
      <c r="DZP80" s="573"/>
      <c r="DZQ80" s="573"/>
      <c r="DZR80" s="573"/>
      <c r="DZS80" s="573"/>
      <c r="DZT80" s="573"/>
      <c r="DZU80" s="573"/>
      <c r="DZV80" s="573"/>
      <c r="DZW80" s="573"/>
      <c r="DZX80" s="573"/>
      <c r="DZY80" s="573"/>
      <c r="DZZ80" s="573"/>
      <c r="EAA80" s="573"/>
      <c r="EAB80" s="573"/>
      <c r="EAC80" s="573"/>
      <c r="EAD80" s="573"/>
      <c r="EAE80" s="573"/>
      <c r="EAF80" s="573"/>
      <c r="EAG80" s="573"/>
      <c r="EAH80" s="573"/>
      <c r="EAI80" s="573"/>
      <c r="EAJ80" s="573"/>
      <c r="EAK80" s="573"/>
      <c r="EAL80" s="573"/>
      <c r="EAM80" s="573"/>
      <c r="EAN80" s="573"/>
      <c r="EAO80" s="573"/>
      <c r="EAP80" s="573"/>
      <c r="EAQ80" s="573"/>
      <c r="EAR80" s="573"/>
      <c r="EAS80" s="573"/>
      <c r="EAT80" s="573"/>
      <c r="EAU80" s="573"/>
      <c r="EAV80" s="573"/>
      <c r="EAW80" s="573"/>
      <c r="EAX80" s="573"/>
      <c r="EAY80" s="573"/>
      <c r="EAZ80" s="573"/>
      <c r="EBA80" s="573"/>
      <c r="EBB80" s="573"/>
      <c r="EBC80" s="573"/>
      <c r="EBD80" s="573"/>
      <c r="EBE80" s="573"/>
      <c r="EBF80" s="573"/>
      <c r="EBG80" s="573"/>
      <c r="EBH80" s="573"/>
      <c r="EBI80" s="573"/>
      <c r="EBJ80" s="573"/>
      <c r="EBK80" s="573"/>
      <c r="EBL80" s="573"/>
      <c r="EBM80" s="573"/>
      <c r="EBN80" s="573"/>
      <c r="EBO80" s="573"/>
      <c r="EBP80" s="573"/>
      <c r="EBQ80" s="573"/>
      <c r="EBR80" s="573"/>
      <c r="EBS80" s="573"/>
      <c r="EBT80" s="573"/>
      <c r="EBU80" s="573"/>
      <c r="EBV80" s="573"/>
      <c r="EBW80" s="573"/>
      <c r="EBX80" s="573"/>
      <c r="EBY80" s="573"/>
      <c r="EBZ80" s="573"/>
      <c r="ECA80" s="573"/>
      <c r="ECB80" s="573"/>
      <c r="ECC80" s="573"/>
      <c r="ECD80" s="573"/>
      <c r="ECE80" s="573"/>
      <c r="ECF80" s="573"/>
      <c r="ECG80" s="573"/>
      <c r="ECH80" s="573"/>
      <c r="ECI80" s="573"/>
      <c r="ECJ80" s="573"/>
      <c r="ECK80" s="573"/>
      <c r="ECL80" s="573"/>
      <c r="ECM80" s="573"/>
      <c r="ECN80" s="573"/>
      <c r="ECO80" s="573"/>
      <c r="ECP80" s="573"/>
      <c r="ECQ80" s="573"/>
      <c r="ECR80" s="573"/>
      <c r="ECS80" s="573"/>
      <c r="ECT80" s="573"/>
      <c r="ECU80" s="573"/>
      <c r="ECV80" s="573"/>
      <c r="ECW80" s="573"/>
      <c r="ECX80" s="573"/>
      <c r="ECY80" s="573"/>
      <c r="ECZ80" s="573"/>
      <c r="EDA80" s="573"/>
      <c r="EDB80" s="573"/>
      <c r="EDC80" s="573"/>
      <c r="EDD80" s="573"/>
      <c r="EDE80" s="573"/>
      <c r="EDF80" s="573"/>
      <c r="EDG80" s="573"/>
      <c r="EDH80" s="573"/>
      <c r="EDI80" s="573"/>
      <c r="EDJ80" s="573"/>
      <c r="EDK80" s="573"/>
      <c r="EDL80" s="573"/>
      <c r="EDM80" s="573"/>
      <c r="EDN80" s="573"/>
      <c r="EDO80" s="573"/>
      <c r="EDP80" s="573"/>
      <c r="EDQ80" s="573"/>
      <c r="EDR80" s="573"/>
      <c r="EDS80" s="573"/>
      <c r="EDT80" s="573"/>
      <c r="EDU80" s="573"/>
      <c r="EDV80" s="573"/>
      <c r="EDW80" s="573"/>
      <c r="EDX80" s="573"/>
      <c r="EDY80" s="573"/>
      <c r="EDZ80" s="573"/>
      <c r="EEA80" s="573"/>
      <c r="EEB80" s="573"/>
      <c r="EEC80" s="573"/>
      <c r="EED80" s="573"/>
      <c r="EEE80" s="573"/>
      <c r="EEF80" s="573"/>
      <c r="EEG80" s="573"/>
      <c r="EEH80" s="573"/>
      <c r="EEI80" s="573"/>
      <c r="EEJ80" s="573"/>
      <c r="EEK80" s="573"/>
      <c r="EEL80" s="573"/>
      <c r="EEM80" s="573"/>
      <c r="EEN80" s="573"/>
      <c r="EEO80" s="573"/>
      <c r="EEP80" s="573"/>
      <c r="EEQ80" s="573"/>
      <c r="EER80" s="573"/>
      <c r="EES80" s="573"/>
      <c r="EET80" s="573"/>
      <c r="EEU80" s="573"/>
      <c r="EEV80" s="573"/>
      <c r="EEW80" s="573"/>
      <c r="EEX80" s="573"/>
      <c r="EEY80" s="573"/>
      <c r="EEZ80" s="573"/>
      <c r="EFA80" s="573"/>
      <c r="EFB80" s="573"/>
      <c r="EFC80" s="573"/>
      <c r="EFD80" s="573"/>
      <c r="EFE80" s="573"/>
      <c r="EFF80" s="573"/>
      <c r="EFG80" s="573"/>
      <c r="EFH80" s="573"/>
      <c r="EFI80" s="573"/>
      <c r="EFJ80" s="573"/>
      <c r="EFK80" s="573"/>
      <c r="EFL80" s="573"/>
      <c r="EFM80" s="573"/>
      <c r="EFN80" s="573"/>
      <c r="EFO80" s="573"/>
      <c r="EFP80" s="573"/>
      <c r="EFQ80" s="573"/>
      <c r="EFR80" s="573"/>
      <c r="EFS80" s="573"/>
      <c r="EFT80" s="573"/>
      <c r="EFU80" s="573"/>
      <c r="EFV80" s="573"/>
      <c r="EFW80" s="573"/>
      <c r="EFX80" s="573"/>
      <c r="EFY80" s="573"/>
      <c r="EFZ80" s="573"/>
      <c r="EGA80" s="573"/>
      <c r="EGB80" s="573"/>
      <c r="EGC80" s="573"/>
      <c r="EGD80" s="573"/>
      <c r="EGE80" s="573"/>
      <c r="EGF80" s="573"/>
      <c r="EGG80" s="573"/>
      <c r="EGH80" s="573"/>
      <c r="EGI80" s="573"/>
      <c r="EGJ80" s="573"/>
      <c r="EGK80" s="573"/>
      <c r="EGL80" s="573"/>
      <c r="EGM80" s="573"/>
      <c r="EGN80" s="573"/>
      <c r="EGO80" s="573"/>
      <c r="EGP80" s="573"/>
      <c r="EGQ80" s="573"/>
      <c r="EGR80" s="573"/>
      <c r="EGS80" s="573"/>
      <c r="EGT80" s="573"/>
      <c r="EGU80" s="573"/>
      <c r="EGV80" s="573"/>
      <c r="EGW80" s="573"/>
      <c r="EGX80" s="573"/>
      <c r="EGY80" s="573"/>
      <c r="EGZ80" s="573"/>
      <c r="EHA80" s="573"/>
      <c r="EHB80" s="573"/>
      <c r="EHC80" s="573"/>
      <c r="EHD80" s="573"/>
      <c r="EHE80" s="573"/>
      <c r="EHF80" s="573"/>
      <c r="EHG80" s="573"/>
      <c r="EHH80" s="573"/>
      <c r="EHI80" s="573"/>
      <c r="EHJ80" s="573"/>
      <c r="EHK80" s="573"/>
      <c r="EHL80" s="573"/>
      <c r="EHM80" s="573"/>
      <c r="EHN80" s="573"/>
      <c r="EHO80" s="573"/>
      <c r="EHP80" s="573"/>
      <c r="EHQ80" s="573"/>
      <c r="EHR80" s="573"/>
      <c r="EHS80" s="573"/>
      <c r="EHT80" s="573"/>
      <c r="EHU80" s="573"/>
      <c r="EHV80" s="573"/>
      <c r="EHW80" s="573"/>
      <c r="EHX80" s="573"/>
      <c r="EHY80" s="573"/>
      <c r="EHZ80" s="573"/>
      <c r="EIA80" s="573"/>
      <c r="EIB80" s="573"/>
      <c r="EIC80" s="573"/>
      <c r="EID80" s="573"/>
      <c r="EIE80" s="573"/>
      <c r="EIF80" s="573"/>
      <c r="EIG80" s="573"/>
      <c r="EIH80" s="573"/>
      <c r="EII80" s="573"/>
      <c r="EIJ80" s="573"/>
      <c r="EIK80" s="573"/>
      <c r="EIL80" s="573"/>
      <c r="EIM80" s="573"/>
      <c r="EIN80" s="573"/>
      <c r="EIO80" s="573"/>
      <c r="EIP80" s="573"/>
      <c r="EIQ80" s="573"/>
      <c r="EIR80" s="573"/>
      <c r="EIS80" s="573"/>
      <c r="EIT80" s="573"/>
      <c r="EIU80" s="573"/>
      <c r="EIV80" s="573"/>
      <c r="EIW80" s="573"/>
      <c r="EIX80" s="573"/>
      <c r="EIY80" s="573"/>
      <c r="EIZ80" s="573"/>
      <c r="EJA80" s="573"/>
      <c r="EJB80" s="573"/>
      <c r="EJC80" s="573"/>
      <c r="EJD80" s="573"/>
      <c r="EJE80" s="573"/>
      <c r="EJF80" s="573"/>
      <c r="EJG80" s="573"/>
      <c r="EJH80" s="573"/>
      <c r="EJI80" s="573"/>
      <c r="EJJ80" s="573"/>
      <c r="EJK80" s="573"/>
      <c r="EJL80" s="573"/>
      <c r="EJM80" s="573"/>
      <c r="EJN80" s="573"/>
      <c r="EJO80" s="573"/>
      <c r="EJP80" s="573"/>
      <c r="EJQ80" s="573"/>
      <c r="EJR80" s="573"/>
      <c r="EJS80" s="573"/>
      <c r="EJT80" s="573"/>
      <c r="EJU80" s="573"/>
      <c r="EJV80" s="573"/>
      <c r="EJW80" s="573"/>
      <c r="EJX80" s="573"/>
      <c r="EJY80" s="573"/>
      <c r="EJZ80" s="573"/>
      <c r="EKA80" s="573"/>
      <c r="EKB80" s="573"/>
      <c r="EKC80" s="573"/>
      <c r="EKD80" s="573"/>
      <c r="EKE80" s="573"/>
      <c r="EKF80" s="573"/>
      <c r="EKG80" s="573"/>
      <c r="EKH80" s="573"/>
      <c r="EKI80" s="573"/>
      <c r="EKJ80" s="573"/>
      <c r="EKK80" s="573"/>
      <c r="EKL80" s="573"/>
      <c r="EKM80" s="573"/>
      <c r="EKN80" s="573"/>
      <c r="EKO80" s="573"/>
      <c r="EKP80" s="573"/>
      <c r="EKQ80" s="573"/>
      <c r="EKR80" s="573"/>
      <c r="EKS80" s="573"/>
      <c r="EKT80" s="573"/>
      <c r="EKU80" s="573"/>
      <c r="EKV80" s="573"/>
      <c r="EKW80" s="573"/>
      <c r="EKX80" s="573"/>
      <c r="EKY80" s="573"/>
      <c r="EKZ80" s="573"/>
      <c r="ELA80" s="573"/>
      <c r="ELB80" s="573"/>
      <c r="ELC80" s="573"/>
      <c r="ELD80" s="573"/>
      <c r="ELE80" s="573"/>
      <c r="ELF80" s="573"/>
      <c r="ELG80" s="573"/>
      <c r="ELH80" s="573"/>
      <c r="ELI80" s="573"/>
      <c r="ELJ80" s="573"/>
      <c r="ELK80" s="573"/>
      <c r="ELL80" s="573"/>
      <c r="ELM80" s="573"/>
      <c r="ELN80" s="573"/>
      <c r="ELO80" s="573"/>
      <c r="ELP80" s="573"/>
      <c r="ELQ80" s="573"/>
      <c r="ELR80" s="573"/>
      <c r="ELS80" s="573"/>
      <c r="ELT80" s="573"/>
      <c r="ELU80" s="573"/>
      <c r="ELV80" s="573"/>
      <c r="ELW80" s="573"/>
      <c r="ELX80" s="573"/>
      <c r="ELY80" s="573"/>
      <c r="ELZ80" s="573"/>
      <c r="EMA80" s="573"/>
      <c r="EMB80" s="573"/>
      <c r="EMC80" s="573"/>
      <c r="EMD80" s="573"/>
      <c r="EME80" s="573"/>
      <c r="EMF80" s="573"/>
      <c r="EMG80" s="573"/>
      <c r="EMH80" s="573"/>
      <c r="EMI80" s="573"/>
      <c r="EMJ80" s="573"/>
      <c r="EMK80" s="573"/>
      <c r="EML80" s="573"/>
      <c r="EMM80" s="573"/>
      <c r="EMN80" s="573"/>
      <c r="EMO80" s="573"/>
      <c r="EMP80" s="573"/>
      <c r="EMQ80" s="573"/>
      <c r="EMR80" s="573"/>
      <c r="EMS80" s="573"/>
      <c r="EMT80" s="573"/>
      <c r="EMU80" s="573"/>
      <c r="EMV80" s="573"/>
      <c r="EMW80" s="573"/>
      <c r="EMX80" s="573"/>
      <c r="EMY80" s="573"/>
      <c r="EMZ80" s="573"/>
      <c r="ENA80" s="573"/>
      <c r="ENB80" s="573"/>
      <c r="ENC80" s="573"/>
      <c r="END80" s="573"/>
      <c r="ENE80" s="573"/>
      <c r="ENF80" s="573"/>
      <c r="ENG80" s="573"/>
      <c r="ENH80" s="573"/>
      <c r="ENI80" s="573"/>
      <c r="ENJ80" s="573"/>
      <c r="ENK80" s="573"/>
      <c r="ENL80" s="573"/>
      <c r="ENM80" s="573"/>
      <c r="ENN80" s="573"/>
      <c r="ENO80" s="573"/>
      <c r="ENP80" s="573"/>
      <c r="ENQ80" s="573"/>
      <c r="ENR80" s="573"/>
      <c r="ENS80" s="573"/>
      <c r="ENT80" s="573"/>
      <c r="ENU80" s="573"/>
      <c r="ENV80" s="573"/>
      <c r="ENW80" s="573"/>
      <c r="ENX80" s="573"/>
      <c r="ENY80" s="573"/>
      <c r="ENZ80" s="573"/>
      <c r="EOA80" s="573"/>
      <c r="EOB80" s="573"/>
      <c r="EOC80" s="573"/>
      <c r="EOD80" s="573"/>
      <c r="EOE80" s="573"/>
      <c r="EOF80" s="573"/>
      <c r="EOG80" s="573"/>
      <c r="EOH80" s="573"/>
      <c r="EOI80" s="573"/>
      <c r="EOJ80" s="573"/>
      <c r="EOK80" s="573"/>
      <c r="EOL80" s="573"/>
      <c r="EOM80" s="573"/>
      <c r="EON80" s="573"/>
      <c r="EOO80" s="573"/>
      <c r="EOP80" s="573"/>
      <c r="EOQ80" s="573"/>
      <c r="EOR80" s="573"/>
      <c r="EOS80" s="573"/>
      <c r="EOT80" s="573"/>
      <c r="EOU80" s="573"/>
      <c r="EOV80" s="573"/>
      <c r="EOW80" s="573"/>
      <c r="EOX80" s="573"/>
      <c r="EOY80" s="573"/>
      <c r="EOZ80" s="573"/>
      <c r="EPA80" s="573"/>
      <c r="EPB80" s="573"/>
      <c r="EPC80" s="573"/>
      <c r="EPD80" s="573"/>
      <c r="EPE80" s="573"/>
      <c r="EPF80" s="573"/>
      <c r="EPG80" s="573"/>
      <c r="EPH80" s="573"/>
      <c r="EPI80" s="573"/>
      <c r="EPJ80" s="573"/>
      <c r="EPK80" s="573"/>
      <c r="EPL80" s="573"/>
      <c r="EPM80" s="573"/>
      <c r="EPN80" s="573"/>
      <c r="EPO80" s="573"/>
      <c r="EPP80" s="573"/>
      <c r="EPQ80" s="573"/>
      <c r="EPR80" s="573"/>
      <c r="EPS80" s="573"/>
      <c r="EPT80" s="573"/>
      <c r="EPU80" s="573"/>
      <c r="EPV80" s="573"/>
      <c r="EPW80" s="573"/>
      <c r="EPX80" s="573"/>
      <c r="EPY80" s="573"/>
      <c r="EPZ80" s="573"/>
      <c r="EQA80" s="573"/>
      <c r="EQB80" s="573"/>
      <c r="EQC80" s="573"/>
      <c r="EQD80" s="573"/>
      <c r="EQE80" s="573"/>
      <c r="EQF80" s="573"/>
      <c r="EQG80" s="573"/>
      <c r="EQH80" s="573"/>
      <c r="EQI80" s="573"/>
      <c r="EQJ80" s="573"/>
      <c r="EQK80" s="573"/>
      <c r="EQL80" s="573"/>
      <c r="EQM80" s="573"/>
      <c r="EQN80" s="573"/>
      <c r="EQO80" s="573"/>
      <c r="EQP80" s="573"/>
      <c r="EQQ80" s="573"/>
      <c r="EQR80" s="573"/>
      <c r="EQS80" s="573"/>
      <c r="EQT80" s="573"/>
      <c r="EQU80" s="573"/>
      <c r="EQV80" s="573"/>
      <c r="EQW80" s="573"/>
      <c r="EQX80" s="573"/>
      <c r="EQY80" s="573"/>
      <c r="EQZ80" s="573"/>
      <c r="ERA80" s="573"/>
      <c r="ERB80" s="573"/>
      <c r="ERC80" s="573"/>
      <c r="ERD80" s="573"/>
      <c r="ERE80" s="573"/>
      <c r="ERF80" s="573"/>
      <c r="ERG80" s="573"/>
      <c r="ERH80" s="573"/>
      <c r="ERI80" s="573"/>
      <c r="ERJ80" s="573"/>
      <c r="ERK80" s="573"/>
      <c r="ERL80" s="573"/>
      <c r="ERM80" s="573"/>
      <c r="ERN80" s="573"/>
      <c r="ERO80" s="573"/>
      <c r="ERP80" s="573"/>
      <c r="ERQ80" s="573"/>
      <c r="ERR80" s="573"/>
      <c r="ERS80" s="573"/>
      <c r="ERT80" s="573"/>
      <c r="ERU80" s="573"/>
      <c r="ERV80" s="573"/>
      <c r="ERW80" s="573"/>
      <c r="ERX80" s="573"/>
      <c r="ERY80" s="573"/>
      <c r="ERZ80" s="573"/>
      <c r="ESA80" s="573"/>
      <c r="ESB80" s="573"/>
      <c r="ESC80" s="573"/>
      <c r="ESD80" s="573"/>
      <c r="ESE80" s="573"/>
      <c r="ESF80" s="573"/>
      <c r="ESG80" s="573"/>
      <c r="ESH80" s="573"/>
      <c r="ESI80" s="573"/>
      <c r="ESJ80" s="573"/>
      <c r="ESK80" s="573"/>
      <c r="ESL80" s="573"/>
      <c r="ESM80" s="573"/>
      <c r="ESN80" s="573"/>
      <c r="ESO80" s="573"/>
      <c r="ESP80" s="573"/>
      <c r="ESQ80" s="573"/>
      <c r="ESR80" s="573"/>
      <c r="ESS80" s="573"/>
      <c r="EST80" s="573"/>
      <c r="ESU80" s="573"/>
      <c r="ESV80" s="573"/>
      <c r="ESW80" s="573"/>
      <c r="ESX80" s="573"/>
      <c r="ESY80" s="573"/>
      <c r="ESZ80" s="573"/>
      <c r="ETA80" s="573"/>
      <c r="ETB80" s="573"/>
      <c r="ETC80" s="573"/>
      <c r="ETD80" s="573"/>
      <c r="ETE80" s="573"/>
      <c r="ETF80" s="573"/>
      <c r="ETG80" s="573"/>
      <c r="ETH80" s="573"/>
      <c r="ETI80" s="573"/>
      <c r="ETJ80" s="573"/>
      <c r="ETK80" s="573"/>
      <c r="ETL80" s="573"/>
      <c r="ETM80" s="573"/>
      <c r="ETN80" s="573"/>
      <c r="ETO80" s="573"/>
      <c r="ETP80" s="573"/>
      <c r="ETQ80" s="573"/>
      <c r="ETR80" s="573"/>
      <c r="ETS80" s="573"/>
      <c r="ETT80" s="573"/>
      <c r="ETU80" s="573"/>
      <c r="ETV80" s="573"/>
      <c r="ETW80" s="573"/>
      <c r="ETX80" s="573"/>
      <c r="ETY80" s="573"/>
      <c r="ETZ80" s="573"/>
      <c r="EUA80" s="573"/>
      <c r="EUB80" s="573"/>
      <c r="EUC80" s="573"/>
      <c r="EUD80" s="573"/>
      <c r="EUE80" s="573"/>
      <c r="EUF80" s="573"/>
      <c r="EUG80" s="573"/>
      <c r="EUH80" s="573"/>
      <c r="EUI80" s="573"/>
      <c r="EUJ80" s="573"/>
      <c r="EUK80" s="573"/>
      <c r="EUL80" s="573"/>
      <c r="EUM80" s="573"/>
      <c r="EUN80" s="573"/>
      <c r="EUO80" s="573"/>
      <c r="EUP80" s="573"/>
      <c r="EUQ80" s="573"/>
      <c r="EUR80" s="573"/>
      <c r="EUS80" s="573"/>
      <c r="EUT80" s="573"/>
      <c r="EUU80" s="573"/>
      <c r="EUV80" s="573"/>
      <c r="EUW80" s="573"/>
      <c r="EUX80" s="573"/>
      <c r="EUY80" s="573"/>
      <c r="EUZ80" s="573"/>
      <c r="EVA80" s="573"/>
      <c r="EVB80" s="573"/>
      <c r="EVC80" s="573"/>
      <c r="EVD80" s="573"/>
      <c r="EVE80" s="573"/>
      <c r="EVF80" s="573"/>
      <c r="EVG80" s="573"/>
      <c r="EVH80" s="573"/>
      <c r="EVI80" s="573"/>
      <c r="EVJ80" s="573"/>
      <c r="EVK80" s="573"/>
      <c r="EVL80" s="573"/>
      <c r="EVM80" s="573"/>
      <c r="EVN80" s="573"/>
      <c r="EVO80" s="573"/>
      <c r="EVP80" s="573"/>
      <c r="EVQ80" s="573"/>
      <c r="EVR80" s="573"/>
      <c r="EVS80" s="573"/>
      <c r="EVT80" s="573"/>
      <c r="EVU80" s="573"/>
      <c r="EVV80" s="573"/>
      <c r="EVW80" s="573"/>
      <c r="EVX80" s="573"/>
      <c r="EVY80" s="573"/>
      <c r="EVZ80" s="573"/>
      <c r="EWA80" s="573"/>
      <c r="EWB80" s="573"/>
      <c r="EWC80" s="573"/>
      <c r="EWD80" s="573"/>
      <c r="EWE80" s="573"/>
      <c r="EWF80" s="573"/>
      <c r="EWG80" s="573"/>
      <c r="EWH80" s="573"/>
      <c r="EWI80" s="573"/>
      <c r="EWJ80" s="573"/>
      <c r="EWK80" s="573"/>
      <c r="EWL80" s="573"/>
      <c r="EWM80" s="573"/>
      <c r="EWN80" s="573"/>
      <c r="EWO80" s="573"/>
      <c r="EWP80" s="573"/>
      <c r="EWQ80" s="573"/>
      <c r="EWR80" s="573"/>
      <c r="EWS80" s="573"/>
      <c r="EWT80" s="573"/>
      <c r="EWU80" s="573"/>
      <c r="EWV80" s="573"/>
      <c r="EWW80" s="573"/>
      <c r="EWX80" s="573"/>
      <c r="EWY80" s="573"/>
      <c r="EWZ80" s="573"/>
      <c r="EXA80" s="573"/>
      <c r="EXB80" s="573"/>
      <c r="EXC80" s="573"/>
      <c r="EXD80" s="573"/>
      <c r="EXE80" s="573"/>
      <c r="EXF80" s="573"/>
      <c r="EXG80" s="573"/>
      <c r="EXH80" s="573"/>
      <c r="EXI80" s="573"/>
      <c r="EXJ80" s="573"/>
      <c r="EXK80" s="573"/>
      <c r="EXL80" s="573"/>
      <c r="EXM80" s="573"/>
      <c r="EXN80" s="573"/>
      <c r="EXO80" s="573"/>
      <c r="EXP80" s="573"/>
      <c r="EXQ80" s="573"/>
      <c r="EXR80" s="573"/>
      <c r="EXS80" s="573"/>
      <c r="EXT80" s="573"/>
      <c r="EXU80" s="573"/>
      <c r="EXV80" s="573"/>
      <c r="EXW80" s="573"/>
      <c r="EXX80" s="573"/>
      <c r="EXY80" s="573"/>
      <c r="EXZ80" s="573"/>
      <c r="EYA80" s="573"/>
      <c r="EYB80" s="573"/>
      <c r="EYC80" s="573"/>
      <c r="EYD80" s="573"/>
      <c r="EYE80" s="573"/>
      <c r="EYF80" s="573"/>
      <c r="EYG80" s="573"/>
      <c r="EYH80" s="573"/>
      <c r="EYI80" s="573"/>
      <c r="EYJ80" s="573"/>
      <c r="EYK80" s="573"/>
      <c r="EYL80" s="573"/>
      <c r="EYM80" s="573"/>
      <c r="EYN80" s="573"/>
      <c r="EYO80" s="573"/>
      <c r="EYP80" s="573"/>
      <c r="EYQ80" s="573"/>
      <c r="EYR80" s="573"/>
      <c r="EYS80" s="573"/>
      <c r="EYT80" s="573"/>
      <c r="EYU80" s="573"/>
      <c r="EYV80" s="573"/>
      <c r="EYW80" s="573"/>
      <c r="EYX80" s="573"/>
      <c r="EYY80" s="573"/>
      <c r="EYZ80" s="573"/>
      <c r="EZA80" s="573"/>
      <c r="EZB80" s="573"/>
      <c r="EZC80" s="573"/>
      <c r="EZD80" s="573"/>
      <c r="EZE80" s="573"/>
      <c r="EZF80" s="573"/>
      <c r="EZG80" s="573"/>
      <c r="EZH80" s="573"/>
      <c r="EZI80" s="573"/>
      <c r="EZJ80" s="573"/>
      <c r="EZK80" s="573"/>
      <c r="EZL80" s="573"/>
      <c r="EZM80" s="573"/>
      <c r="EZN80" s="573"/>
      <c r="EZO80" s="573"/>
      <c r="EZP80" s="573"/>
      <c r="EZQ80" s="573"/>
      <c r="EZR80" s="573"/>
      <c r="EZS80" s="573"/>
      <c r="EZT80" s="573"/>
      <c r="EZU80" s="573"/>
      <c r="EZV80" s="573"/>
      <c r="EZW80" s="573"/>
      <c r="EZX80" s="573"/>
      <c r="EZY80" s="573"/>
      <c r="EZZ80" s="573"/>
      <c r="FAA80" s="573"/>
      <c r="FAB80" s="573"/>
      <c r="FAC80" s="573"/>
      <c r="FAD80" s="573"/>
      <c r="FAE80" s="573"/>
      <c r="FAF80" s="573"/>
      <c r="FAG80" s="573"/>
      <c r="FAH80" s="573"/>
      <c r="FAI80" s="573"/>
      <c r="FAJ80" s="573"/>
      <c r="FAK80" s="573"/>
      <c r="FAL80" s="573"/>
      <c r="FAM80" s="573"/>
      <c r="FAN80" s="573"/>
      <c r="FAO80" s="573"/>
      <c r="FAP80" s="573"/>
      <c r="FAQ80" s="573"/>
      <c r="FAR80" s="573"/>
      <c r="FAS80" s="573"/>
      <c r="FAT80" s="573"/>
      <c r="FAU80" s="573"/>
      <c r="FAV80" s="573"/>
      <c r="FAW80" s="573"/>
      <c r="FAX80" s="573"/>
      <c r="FAY80" s="573"/>
      <c r="FAZ80" s="573"/>
      <c r="FBA80" s="573"/>
      <c r="FBB80" s="573"/>
      <c r="FBC80" s="573"/>
      <c r="FBD80" s="573"/>
      <c r="FBE80" s="573"/>
      <c r="FBF80" s="573"/>
      <c r="FBG80" s="573"/>
      <c r="FBH80" s="573"/>
      <c r="FBI80" s="573"/>
      <c r="FBJ80" s="573"/>
      <c r="FBK80" s="573"/>
      <c r="FBL80" s="573"/>
      <c r="FBM80" s="573"/>
      <c r="FBN80" s="573"/>
      <c r="FBO80" s="573"/>
      <c r="FBP80" s="573"/>
      <c r="FBQ80" s="573"/>
      <c r="FBR80" s="573"/>
      <c r="FBS80" s="573"/>
      <c r="FBT80" s="573"/>
      <c r="FBU80" s="573"/>
      <c r="FBV80" s="573"/>
      <c r="FBW80" s="573"/>
      <c r="FBX80" s="573"/>
      <c r="FBY80" s="573"/>
      <c r="FBZ80" s="573"/>
      <c r="FCA80" s="573"/>
      <c r="FCB80" s="573"/>
      <c r="FCC80" s="573"/>
      <c r="FCD80" s="573"/>
      <c r="FCE80" s="573"/>
      <c r="FCF80" s="573"/>
      <c r="FCG80" s="573"/>
      <c r="FCH80" s="573"/>
      <c r="FCI80" s="573"/>
      <c r="FCJ80" s="573"/>
      <c r="FCK80" s="573"/>
      <c r="FCL80" s="573"/>
      <c r="FCM80" s="573"/>
      <c r="FCN80" s="573"/>
      <c r="FCO80" s="573"/>
      <c r="FCP80" s="573"/>
      <c r="FCQ80" s="573"/>
      <c r="FCR80" s="573"/>
      <c r="FCS80" s="573"/>
      <c r="FCT80" s="573"/>
      <c r="FCU80" s="573"/>
      <c r="FCV80" s="573"/>
      <c r="FCW80" s="573"/>
      <c r="FCX80" s="573"/>
      <c r="FCY80" s="573"/>
      <c r="FCZ80" s="573"/>
      <c r="FDA80" s="573"/>
      <c r="FDB80" s="573"/>
      <c r="FDC80" s="573"/>
      <c r="FDD80" s="573"/>
      <c r="FDE80" s="573"/>
      <c r="FDF80" s="573"/>
      <c r="FDG80" s="573"/>
      <c r="FDH80" s="573"/>
      <c r="FDI80" s="573"/>
      <c r="FDJ80" s="573"/>
      <c r="FDK80" s="573"/>
      <c r="FDL80" s="573"/>
      <c r="FDM80" s="573"/>
      <c r="FDN80" s="573"/>
      <c r="FDO80" s="573"/>
      <c r="FDP80" s="573"/>
      <c r="FDQ80" s="573"/>
      <c r="FDR80" s="573"/>
      <c r="FDS80" s="573"/>
      <c r="FDT80" s="573"/>
      <c r="FDU80" s="573"/>
      <c r="FDV80" s="573"/>
      <c r="FDW80" s="573"/>
      <c r="FDX80" s="573"/>
      <c r="FDY80" s="573"/>
      <c r="FDZ80" s="573"/>
      <c r="FEA80" s="573"/>
      <c r="FEB80" s="573"/>
      <c r="FEC80" s="573"/>
      <c r="FED80" s="573"/>
      <c r="FEE80" s="573"/>
      <c r="FEF80" s="573"/>
      <c r="FEG80" s="573"/>
      <c r="FEH80" s="573"/>
      <c r="FEI80" s="573"/>
      <c r="FEJ80" s="573"/>
      <c r="FEK80" s="573"/>
      <c r="FEL80" s="573"/>
      <c r="FEM80" s="573"/>
      <c r="FEN80" s="573"/>
      <c r="FEO80" s="573"/>
      <c r="FEP80" s="573"/>
      <c r="FEQ80" s="573"/>
      <c r="FER80" s="573"/>
      <c r="FES80" s="573"/>
      <c r="FET80" s="573"/>
      <c r="FEU80" s="573"/>
      <c r="FEV80" s="573"/>
      <c r="FEW80" s="573"/>
      <c r="FEX80" s="573"/>
      <c r="FEY80" s="573"/>
      <c r="FEZ80" s="573"/>
      <c r="FFA80" s="573"/>
      <c r="FFB80" s="573"/>
      <c r="FFC80" s="573"/>
      <c r="FFD80" s="573"/>
      <c r="FFE80" s="573"/>
      <c r="FFF80" s="573"/>
      <c r="FFG80" s="573"/>
      <c r="FFH80" s="573"/>
      <c r="FFI80" s="573"/>
      <c r="FFJ80" s="573"/>
      <c r="FFK80" s="573"/>
      <c r="FFL80" s="573"/>
      <c r="FFM80" s="573"/>
      <c r="FFN80" s="573"/>
      <c r="FFO80" s="573"/>
      <c r="FFP80" s="573"/>
      <c r="FFQ80" s="573"/>
      <c r="FFR80" s="573"/>
      <c r="FFS80" s="573"/>
      <c r="FFT80" s="573"/>
      <c r="FFU80" s="573"/>
      <c r="FFV80" s="573"/>
      <c r="FFW80" s="573"/>
      <c r="FFX80" s="573"/>
      <c r="FFY80" s="573"/>
      <c r="FFZ80" s="573"/>
      <c r="FGA80" s="573"/>
      <c r="FGB80" s="573"/>
      <c r="FGC80" s="573"/>
      <c r="FGD80" s="573"/>
      <c r="FGE80" s="573"/>
      <c r="FGF80" s="573"/>
      <c r="FGG80" s="573"/>
      <c r="FGH80" s="573"/>
      <c r="FGI80" s="573"/>
      <c r="FGJ80" s="573"/>
      <c r="FGK80" s="573"/>
      <c r="FGL80" s="573"/>
      <c r="FGM80" s="573"/>
      <c r="FGN80" s="573"/>
      <c r="FGO80" s="573"/>
      <c r="FGP80" s="573"/>
      <c r="FGQ80" s="573"/>
      <c r="FGR80" s="573"/>
      <c r="FGS80" s="573"/>
      <c r="FGT80" s="573"/>
      <c r="FGU80" s="573"/>
      <c r="FGV80" s="573"/>
      <c r="FGW80" s="573"/>
      <c r="FGX80" s="573"/>
      <c r="FGY80" s="573"/>
      <c r="FGZ80" s="573"/>
      <c r="FHA80" s="573"/>
      <c r="FHB80" s="573"/>
      <c r="FHC80" s="573"/>
      <c r="FHD80" s="573"/>
      <c r="FHE80" s="573"/>
      <c r="FHF80" s="573"/>
      <c r="FHG80" s="573"/>
      <c r="FHH80" s="573"/>
      <c r="FHI80" s="573"/>
      <c r="FHJ80" s="573"/>
      <c r="FHK80" s="573"/>
      <c r="FHL80" s="573"/>
      <c r="FHM80" s="573"/>
      <c r="FHN80" s="573"/>
      <c r="FHO80" s="573"/>
      <c r="FHP80" s="573"/>
      <c r="FHQ80" s="573"/>
      <c r="FHR80" s="573"/>
      <c r="FHS80" s="573"/>
      <c r="FHT80" s="573"/>
      <c r="FHU80" s="573"/>
      <c r="FHV80" s="573"/>
      <c r="FHW80" s="573"/>
      <c r="FHX80" s="573"/>
      <c r="FHY80" s="573"/>
      <c r="FHZ80" s="573"/>
      <c r="FIA80" s="573"/>
      <c r="FIB80" s="573"/>
      <c r="FIC80" s="573"/>
      <c r="FID80" s="573"/>
      <c r="FIE80" s="573"/>
      <c r="FIF80" s="573"/>
      <c r="FIG80" s="573"/>
      <c r="FIH80" s="573"/>
      <c r="FII80" s="573"/>
      <c r="FIJ80" s="573"/>
      <c r="FIK80" s="573"/>
      <c r="FIL80" s="573"/>
      <c r="FIM80" s="573"/>
      <c r="FIN80" s="573"/>
      <c r="FIO80" s="573"/>
      <c r="FIP80" s="573"/>
      <c r="FIQ80" s="573"/>
      <c r="FIR80" s="573"/>
      <c r="FIS80" s="573"/>
      <c r="FIT80" s="573"/>
      <c r="FIU80" s="573"/>
      <c r="FIV80" s="573"/>
      <c r="FIW80" s="573"/>
      <c r="FIX80" s="573"/>
      <c r="FIY80" s="573"/>
      <c r="FIZ80" s="573"/>
      <c r="FJA80" s="573"/>
      <c r="FJB80" s="573"/>
      <c r="FJC80" s="573"/>
      <c r="FJD80" s="573"/>
      <c r="FJE80" s="573"/>
      <c r="FJF80" s="573"/>
      <c r="FJG80" s="573"/>
      <c r="FJH80" s="573"/>
      <c r="FJI80" s="573"/>
      <c r="FJJ80" s="573"/>
      <c r="FJK80" s="573"/>
      <c r="FJL80" s="573"/>
      <c r="FJM80" s="573"/>
      <c r="FJN80" s="573"/>
      <c r="FJO80" s="573"/>
      <c r="FJP80" s="573"/>
      <c r="FJQ80" s="573"/>
      <c r="FJR80" s="573"/>
      <c r="FJS80" s="573"/>
      <c r="FJT80" s="573"/>
      <c r="FJU80" s="573"/>
      <c r="FJV80" s="573"/>
      <c r="FJW80" s="573"/>
      <c r="FJX80" s="573"/>
      <c r="FJY80" s="573"/>
      <c r="FJZ80" s="573"/>
      <c r="FKA80" s="573"/>
      <c r="FKB80" s="573"/>
      <c r="FKC80" s="573"/>
      <c r="FKD80" s="573"/>
      <c r="FKE80" s="573"/>
      <c r="FKF80" s="573"/>
      <c r="FKG80" s="573"/>
      <c r="FKH80" s="573"/>
      <c r="FKI80" s="573"/>
      <c r="FKJ80" s="573"/>
      <c r="FKK80" s="573"/>
      <c r="FKL80" s="573"/>
      <c r="FKM80" s="573"/>
      <c r="FKN80" s="573"/>
      <c r="FKO80" s="573"/>
      <c r="FKP80" s="573"/>
      <c r="FKQ80" s="573"/>
      <c r="FKR80" s="573"/>
      <c r="FKS80" s="573"/>
      <c r="FKT80" s="573"/>
      <c r="FKU80" s="573"/>
      <c r="FKV80" s="573"/>
      <c r="FKW80" s="573"/>
      <c r="FKX80" s="573"/>
      <c r="FKY80" s="573"/>
      <c r="FKZ80" s="573"/>
      <c r="FLA80" s="573"/>
      <c r="FLB80" s="573"/>
      <c r="FLC80" s="573"/>
      <c r="FLD80" s="573"/>
      <c r="FLE80" s="573"/>
      <c r="FLF80" s="573"/>
      <c r="FLG80" s="573"/>
      <c r="FLH80" s="573"/>
      <c r="FLI80" s="573"/>
      <c r="FLJ80" s="573"/>
      <c r="FLK80" s="573"/>
      <c r="FLL80" s="573"/>
      <c r="FLM80" s="573"/>
      <c r="FLN80" s="573"/>
      <c r="FLO80" s="573"/>
      <c r="FLP80" s="573"/>
      <c r="FLQ80" s="573"/>
      <c r="FLR80" s="573"/>
      <c r="FLS80" s="573"/>
      <c r="FLT80" s="573"/>
      <c r="FLU80" s="573"/>
      <c r="FLV80" s="573"/>
      <c r="FLW80" s="573"/>
      <c r="FLX80" s="573"/>
      <c r="FLY80" s="573"/>
      <c r="FLZ80" s="573"/>
      <c r="FMA80" s="573"/>
      <c r="FMB80" s="573"/>
      <c r="FMC80" s="573"/>
      <c r="FMD80" s="573"/>
      <c r="FME80" s="573"/>
      <c r="FMF80" s="573"/>
      <c r="FMG80" s="573"/>
      <c r="FMH80" s="573"/>
      <c r="FMI80" s="573"/>
      <c r="FMJ80" s="573"/>
      <c r="FMK80" s="573"/>
      <c r="FML80" s="573"/>
      <c r="FMM80" s="573"/>
      <c r="FMN80" s="573"/>
      <c r="FMO80" s="573"/>
      <c r="FMP80" s="573"/>
      <c r="FMQ80" s="573"/>
      <c r="FMR80" s="573"/>
      <c r="FMS80" s="573"/>
      <c r="FMT80" s="573"/>
      <c r="FMU80" s="573"/>
      <c r="FMV80" s="573"/>
      <c r="FMW80" s="573"/>
      <c r="FMX80" s="573"/>
      <c r="FMY80" s="573"/>
      <c r="FMZ80" s="573"/>
      <c r="FNA80" s="573"/>
      <c r="FNB80" s="573"/>
      <c r="FNC80" s="573"/>
      <c r="FND80" s="573"/>
      <c r="FNE80" s="573"/>
      <c r="FNF80" s="573"/>
      <c r="FNG80" s="573"/>
      <c r="FNH80" s="573"/>
      <c r="FNI80" s="573"/>
      <c r="FNJ80" s="573"/>
      <c r="FNK80" s="573"/>
      <c r="FNL80" s="573"/>
      <c r="FNM80" s="573"/>
      <c r="FNN80" s="573"/>
      <c r="FNO80" s="573"/>
      <c r="FNP80" s="573"/>
      <c r="FNQ80" s="573"/>
      <c r="FNR80" s="573"/>
      <c r="FNS80" s="573"/>
      <c r="FNT80" s="573"/>
      <c r="FNU80" s="573"/>
      <c r="FNV80" s="573"/>
      <c r="FNW80" s="573"/>
      <c r="FNX80" s="573"/>
      <c r="FNY80" s="573"/>
      <c r="FNZ80" s="573"/>
      <c r="FOA80" s="573"/>
      <c r="FOB80" s="573"/>
      <c r="FOC80" s="573"/>
      <c r="FOD80" s="573"/>
      <c r="FOE80" s="573"/>
      <c r="FOF80" s="573"/>
      <c r="FOG80" s="573"/>
      <c r="FOH80" s="573"/>
      <c r="FOI80" s="573"/>
      <c r="FOJ80" s="573"/>
      <c r="FOK80" s="573"/>
      <c r="FOL80" s="573"/>
      <c r="FOM80" s="573"/>
      <c r="FON80" s="573"/>
      <c r="FOO80" s="573"/>
      <c r="FOP80" s="573"/>
      <c r="FOQ80" s="573"/>
      <c r="FOR80" s="573"/>
      <c r="FOS80" s="573"/>
      <c r="FOT80" s="573"/>
      <c r="FOU80" s="573"/>
      <c r="FOV80" s="573"/>
      <c r="FOW80" s="573"/>
      <c r="FOX80" s="573"/>
      <c r="FOY80" s="573"/>
      <c r="FOZ80" s="573"/>
      <c r="FPA80" s="573"/>
      <c r="FPB80" s="573"/>
      <c r="FPC80" s="573"/>
      <c r="FPD80" s="573"/>
      <c r="FPE80" s="573"/>
      <c r="FPF80" s="573"/>
      <c r="FPG80" s="573"/>
      <c r="FPH80" s="573"/>
      <c r="FPI80" s="573"/>
      <c r="FPJ80" s="573"/>
      <c r="FPK80" s="573"/>
      <c r="FPL80" s="573"/>
      <c r="FPM80" s="573"/>
      <c r="FPN80" s="573"/>
      <c r="FPO80" s="573"/>
      <c r="FPP80" s="573"/>
      <c r="FPQ80" s="573"/>
      <c r="FPR80" s="573"/>
      <c r="FPS80" s="573"/>
      <c r="FPT80" s="573"/>
      <c r="FPU80" s="573"/>
      <c r="FPV80" s="573"/>
      <c r="FPW80" s="573"/>
      <c r="FPX80" s="573"/>
      <c r="FPY80" s="573"/>
      <c r="FPZ80" s="573"/>
      <c r="FQA80" s="573"/>
      <c r="FQB80" s="573"/>
      <c r="FQC80" s="573"/>
      <c r="FQD80" s="573"/>
      <c r="FQE80" s="573"/>
      <c r="FQF80" s="573"/>
      <c r="FQG80" s="573"/>
      <c r="FQH80" s="573"/>
      <c r="FQI80" s="573"/>
      <c r="FQJ80" s="573"/>
      <c r="FQK80" s="573"/>
      <c r="FQL80" s="573"/>
      <c r="FQM80" s="573"/>
      <c r="FQN80" s="573"/>
      <c r="FQO80" s="573"/>
      <c r="FQP80" s="573"/>
      <c r="FQQ80" s="573"/>
      <c r="FQR80" s="573"/>
      <c r="FQS80" s="573"/>
      <c r="FQT80" s="573"/>
      <c r="FQU80" s="573"/>
      <c r="FQV80" s="573"/>
      <c r="FQW80" s="573"/>
      <c r="FQX80" s="573"/>
      <c r="FQY80" s="573"/>
      <c r="FQZ80" s="573"/>
      <c r="FRA80" s="573"/>
      <c r="FRB80" s="573"/>
      <c r="FRC80" s="573"/>
      <c r="FRD80" s="573"/>
      <c r="FRE80" s="573"/>
      <c r="FRF80" s="573"/>
      <c r="FRG80" s="573"/>
      <c r="FRH80" s="573"/>
      <c r="FRI80" s="573"/>
      <c r="FRJ80" s="573"/>
      <c r="FRK80" s="573"/>
      <c r="FRL80" s="573"/>
      <c r="FRM80" s="573"/>
      <c r="FRN80" s="573"/>
      <c r="FRO80" s="573"/>
      <c r="FRP80" s="573"/>
      <c r="FRQ80" s="573"/>
      <c r="FRR80" s="573"/>
      <c r="FRS80" s="573"/>
      <c r="FRT80" s="573"/>
      <c r="FRU80" s="573"/>
      <c r="FRV80" s="573"/>
      <c r="FRW80" s="573"/>
      <c r="FRX80" s="573"/>
      <c r="FRY80" s="573"/>
      <c r="FRZ80" s="573"/>
      <c r="FSA80" s="573"/>
      <c r="FSB80" s="573"/>
      <c r="FSC80" s="573"/>
      <c r="FSD80" s="573"/>
      <c r="FSE80" s="573"/>
      <c r="FSF80" s="573"/>
      <c r="FSG80" s="573"/>
      <c r="FSH80" s="573"/>
      <c r="FSI80" s="573"/>
      <c r="FSJ80" s="573"/>
      <c r="FSK80" s="573"/>
      <c r="FSL80" s="573"/>
      <c r="FSM80" s="573"/>
      <c r="FSN80" s="573"/>
      <c r="FSO80" s="573"/>
      <c r="FSP80" s="573"/>
      <c r="FSQ80" s="573"/>
      <c r="FSR80" s="573"/>
      <c r="FSS80" s="573"/>
      <c r="FST80" s="573"/>
      <c r="FSU80" s="573"/>
      <c r="FSV80" s="573"/>
      <c r="FSW80" s="573"/>
      <c r="FSX80" s="573"/>
      <c r="FSY80" s="573"/>
      <c r="FSZ80" s="573"/>
      <c r="FTA80" s="573"/>
      <c r="FTB80" s="573"/>
      <c r="FTC80" s="573"/>
      <c r="FTD80" s="573"/>
      <c r="FTE80" s="573"/>
      <c r="FTF80" s="573"/>
      <c r="FTG80" s="573"/>
      <c r="FTH80" s="573"/>
      <c r="FTI80" s="573"/>
      <c r="FTJ80" s="573"/>
      <c r="FTK80" s="573"/>
      <c r="FTL80" s="573"/>
      <c r="FTM80" s="573"/>
      <c r="FTN80" s="573"/>
      <c r="FTO80" s="573"/>
      <c r="FTP80" s="573"/>
      <c r="FTQ80" s="573"/>
      <c r="FTR80" s="573"/>
      <c r="FTS80" s="573"/>
      <c r="FTT80" s="573"/>
      <c r="FTU80" s="573"/>
      <c r="FTV80" s="573"/>
      <c r="FTW80" s="573"/>
      <c r="FTX80" s="573"/>
      <c r="FTY80" s="573"/>
      <c r="FTZ80" s="573"/>
      <c r="FUA80" s="573"/>
      <c r="FUB80" s="573"/>
      <c r="FUC80" s="573"/>
      <c r="FUD80" s="573"/>
      <c r="FUE80" s="573"/>
      <c r="FUF80" s="573"/>
      <c r="FUG80" s="573"/>
      <c r="FUH80" s="573"/>
      <c r="FUI80" s="573"/>
      <c r="FUJ80" s="573"/>
      <c r="FUK80" s="573"/>
      <c r="FUL80" s="573"/>
      <c r="FUM80" s="573"/>
      <c r="FUN80" s="573"/>
      <c r="FUO80" s="573"/>
      <c r="FUP80" s="573"/>
      <c r="FUQ80" s="573"/>
      <c r="FUR80" s="573"/>
      <c r="FUS80" s="573"/>
      <c r="FUT80" s="573"/>
      <c r="FUU80" s="573"/>
      <c r="FUV80" s="573"/>
      <c r="FUW80" s="573"/>
      <c r="FUX80" s="573"/>
      <c r="FUY80" s="573"/>
      <c r="FUZ80" s="573"/>
      <c r="FVA80" s="573"/>
      <c r="FVB80" s="573"/>
      <c r="FVC80" s="573"/>
      <c r="FVD80" s="573"/>
      <c r="FVE80" s="573"/>
      <c r="FVF80" s="573"/>
      <c r="FVG80" s="573"/>
      <c r="FVH80" s="573"/>
      <c r="FVI80" s="573"/>
      <c r="FVJ80" s="573"/>
      <c r="FVK80" s="573"/>
      <c r="FVL80" s="573"/>
      <c r="FVM80" s="573"/>
      <c r="FVN80" s="573"/>
      <c r="FVO80" s="573"/>
      <c r="FVP80" s="573"/>
      <c r="FVQ80" s="573"/>
      <c r="FVR80" s="573"/>
      <c r="FVS80" s="573"/>
      <c r="FVT80" s="573"/>
      <c r="FVU80" s="573"/>
      <c r="FVV80" s="573"/>
      <c r="FVW80" s="573"/>
      <c r="FVX80" s="573"/>
      <c r="FVY80" s="573"/>
      <c r="FVZ80" s="573"/>
      <c r="FWA80" s="573"/>
      <c r="FWB80" s="573"/>
      <c r="FWC80" s="573"/>
      <c r="FWD80" s="573"/>
      <c r="FWE80" s="573"/>
      <c r="FWF80" s="573"/>
      <c r="FWG80" s="573"/>
      <c r="FWH80" s="573"/>
      <c r="FWI80" s="573"/>
      <c r="FWJ80" s="573"/>
      <c r="FWK80" s="573"/>
      <c r="FWL80" s="573"/>
      <c r="FWM80" s="573"/>
      <c r="FWN80" s="573"/>
      <c r="FWO80" s="573"/>
      <c r="FWP80" s="573"/>
      <c r="FWQ80" s="573"/>
      <c r="FWR80" s="573"/>
      <c r="FWS80" s="573"/>
      <c r="FWT80" s="573"/>
      <c r="FWU80" s="573"/>
      <c r="FWV80" s="573"/>
      <c r="FWW80" s="573"/>
      <c r="FWX80" s="573"/>
      <c r="FWY80" s="573"/>
      <c r="FWZ80" s="573"/>
      <c r="FXA80" s="573"/>
      <c r="FXB80" s="573"/>
      <c r="FXC80" s="573"/>
      <c r="FXD80" s="573"/>
      <c r="FXE80" s="573"/>
      <c r="FXF80" s="573"/>
      <c r="FXG80" s="573"/>
      <c r="FXH80" s="573"/>
      <c r="FXI80" s="573"/>
      <c r="FXJ80" s="573"/>
      <c r="FXK80" s="573"/>
      <c r="FXL80" s="573"/>
      <c r="FXM80" s="573"/>
      <c r="FXN80" s="573"/>
      <c r="FXO80" s="573"/>
      <c r="FXP80" s="573"/>
      <c r="FXQ80" s="573"/>
      <c r="FXR80" s="573"/>
      <c r="FXS80" s="573"/>
      <c r="FXT80" s="573"/>
      <c r="FXU80" s="573"/>
      <c r="FXV80" s="573"/>
      <c r="FXW80" s="573"/>
      <c r="FXX80" s="573"/>
      <c r="FXY80" s="573"/>
      <c r="FXZ80" s="573"/>
      <c r="FYA80" s="573"/>
      <c r="FYB80" s="573"/>
      <c r="FYC80" s="573"/>
      <c r="FYD80" s="573"/>
      <c r="FYE80" s="573"/>
      <c r="FYF80" s="573"/>
      <c r="FYG80" s="573"/>
      <c r="FYH80" s="573"/>
      <c r="FYI80" s="573"/>
      <c r="FYJ80" s="573"/>
      <c r="FYK80" s="573"/>
      <c r="FYL80" s="573"/>
      <c r="FYM80" s="573"/>
      <c r="FYN80" s="573"/>
      <c r="FYO80" s="573"/>
      <c r="FYP80" s="573"/>
      <c r="FYQ80" s="573"/>
      <c r="FYR80" s="573"/>
      <c r="FYS80" s="573"/>
      <c r="FYT80" s="573"/>
      <c r="FYU80" s="573"/>
      <c r="FYV80" s="573"/>
      <c r="FYW80" s="573"/>
      <c r="FYX80" s="573"/>
      <c r="FYY80" s="573"/>
      <c r="FYZ80" s="573"/>
      <c r="FZA80" s="573"/>
      <c r="FZB80" s="573"/>
      <c r="FZC80" s="573"/>
      <c r="FZD80" s="573"/>
      <c r="FZE80" s="573"/>
      <c r="FZF80" s="573"/>
      <c r="FZG80" s="573"/>
      <c r="FZH80" s="573"/>
      <c r="FZI80" s="573"/>
      <c r="FZJ80" s="573"/>
      <c r="FZK80" s="573"/>
      <c r="FZL80" s="573"/>
      <c r="FZM80" s="573"/>
      <c r="FZN80" s="573"/>
      <c r="FZO80" s="573"/>
      <c r="FZP80" s="573"/>
      <c r="FZQ80" s="573"/>
      <c r="FZR80" s="573"/>
      <c r="FZS80" s="573"/>
      <c r="FZT80" s="573"/>
      <c r="FZU80" s="573"/>
      <c r="FZV80" s="573"/>
      <c r="FZW80" s="573"/>
      <c r="FZX80" s="573"/>
      <c r="FZY80" s="573"/>
      <c r="FZZ80" s="573"/>
      <c r="GAA80" s="573"/>
      <c r="GAB80" s="573"/>
      <c r="GAC80" s="573"/>
      <c r="GAD80" s="573"/>
      <c r="GAE80" s="573"/>
      <c r="GAF80" s="573"/>
      <c r="GAG80" s="573"/>
      <c r="GAH80" s="573"/>
      <c r="GAI80" s="573"/>
      <c r="GAJ80" s="573"/>
      <c r="GAK80" s="573"/>
      <c r="GAL80" s="573"/>
      <c r="GAM80" s="573"/>
      <c r="GAN80" s="573"/>
      <c r="GAO80" s="573"/>
      <c r="GAP80" s="573"/>
      <c r="GAQ80" s="573"/>
      <c r="GAR80" s="573"/>
      <c r="GAS80" s="573"/>
      <c r="GAT80" s="573"/>
      <c r="GAU80" s="573"/>
      <c r="GAV80" s="573"/>
      <c r="GAW80" s="573"/>
      <c r="GAX80" s="573"/>
      <c r="GAY80" s="573"/>
      <c r="GAZ80" s="573"/>
      <c r="GBA80" s="573"/>
      <c r="GBB80" s="573"/>
      <c r="GBC80" s="573"/>
      <c r="GBD80" s="573"/>
      <c r="GBE80" s="573"/>
      <c r="GBF80" s="573"/>
      <c r="GBG80" s="573"/>
      <c r="GBH80" s="573"/>
      <c r="GBI80" s="573"/>
      <c r="GBJ80" s="573"/>
      <c r="GBK80" s="573"/>
      <c r="GBL80" s="573"/>
      <c r="GBM80" s="573"/>
      <c r="GBN80" s="573"/>
      <c r="GBO80" s="573"/>
      <c r="GBP80" s="573"/>
      <c r="GBQ80" s="573"/>
      <c r="GBR80" s="573"/>
      <c r="GBS80" s="573"/>
      <c r="GBT80" s="573"/>
      <c r="GBU80" s="573"/>
      <c r="GBV80" s="573"/>
      <c r="GBW80" s="573"/>
      <c r="GBX80" s="573"/>
      <c r="GBY80" s="573"/>
      <c r="GBZ80" s="573"/>
      <c r="GCA80" s="573"/>
      <c r="GCB80" s="573"/>
      <c r="GCC80" s="573"/>
      <c r="GCD80" s="573"/>
      <c r="GCE80" s="573"/>
      <c r="GCF80" s="573"/>
      <c r="GCG80" s="573"/>
      <c r="GCH80" s="573"/>
      <c r="GCI80" s="573"/>
      <c r="GCJ80" s="573"/>
      <c r="GCK80" s="573"/>
      <c r="GCL80" s="573"/>
      <c r="GCM80" s="573"/>
      <c r="GCN80" s="573"/>
      <c r="GCO80" s="573"/>
      <c r="GCP80" s="573"/>
      <c r="GCQ80" s="573"/>
      <c r="GCR80" s="573"/>
      <c r="GCS80" s="573"/>
      <c r="GCT80" s="573"/>
      <c r="GCU80" s="573"/>
      <c r="GCV80" s="573"/>
      <c r="GCW80" s="573"/>
      <c r="GCX80" s="573"/>
      <c r="GCY80" s="573"/>
      <c r="GCZ80" s="573"/>
      <c r="GDA80" s="573"/>
      <c r="GDB80" s="573"/>
      <c r="GDC80" s="573"/>
      <c r="GDD80" s="573"/>
      <c r="GDE80" s="573"/>
      <c r="GDF80" s="573"/>
      <c r="GDG80" s="573"/>
      <c r="GDH80" s="573"/>
      <c r="GDI80" s="573"/>
      <c r="GDJ80" s="573"/>
      <c r="GDK80" s="573"/>
      <c r="GDL80" s="573"/>
      <c r="GDM80" s="573"/>
      <c r="GDN80" s="573"/>
      <c r="GDO80" s="573"/>
      <c r="GDP80" s="573"/>
      <c r="GDQ80" s="573"/>
      <c r="GDR80" s="573"/>
      <c r="GDS80" s="573"/>
      <c r="GDT80" s="573"/>
      <c r="GDU80" s="573"/>
      <c r="GDV80" s="573"/>
      <c r="GDW80" s="573"/>
      <c r="GDX80" s="573"/>
      <c r="GDY80" s="573"/>
      <c r="GDZ80" s="573"/>
      <c r="GEA80" s="573"/>
      <c r="GEB80" s="573"/>
      <c r="GEC80" s="573"/>
      <c r="GED80" s="573"/>
      <c r="GEE80" s="573"/>
      <c r="GEF80" s="573"/>
      <c r="GEG80" s="573"/>
      <c r="GEH80" s="573"/>
      <c r="GEI80" s="573"/>
      <c r="GEJ80" s="573"/>
      <c r="GEK80" s="573"/>
      <c r="GEL80" s="573"/>
      <c r="GEM80" s="573"/>
      <c r="GEN80" s="573"/>
      <c r="GEO80" s="573"/>
      <c r="GEP80" s="573"/>
      <c r="GEQ80" s="573"/>
      <c r="GER80" s="573"/>
      <c r="GES80" s="573"/>
      <c r="GET80" s="573"/>
      <c r="GEU80" s="573"/>
      <c r="GEV80" s="573"/>
      <c r="GEW80" s="573"/>
      <c r="GEX80" s="573"/>
      <c r="GEY80" s="573"/>
      <c r="GEZ80" s="573"/>
      <c r="GFA80" s="573"/>
      <c r="GFB80" s="573"/>
      <c r="GFC80" s="573"/>
      <c r="GFD80" s="573"/>
      <c r="GFE80" s="573"/>
      <c r="GFF80" s="573"/>
      <c r="GFG80" s="573"/>
      <c r="GFH80" s="573"/>
      <c r="GFI80" s="573"/>
      <c r="GFJ80" s="573"/>
      <c r="GFK80" s="573"/>
      <c r="GFL80" s="573"/>
      <c r="GFM80" s="573"/>
      <c r="GFN80" s="573"/>
      <c r="GFO80" s="573"/>
      <c r="GFP80" s="573"/>
      <c r="GFQ80" s="573"/>
      <c r="GFR80" s="573"/>
      <c r="GFS80" s="573"/>
      <c r="GFT80" s="573"/>
      <c r="GFU80" s="573"/>
      <c r="GFV80" s="573"/>
      <c r="GFW80" s="573"/>
      <c r="GFX80" s="573"/>
      <c r="GFY80" s="573"/>
      <c r="GFZ80" s="573"/>
      <c r="GGA80" s="573"/>
      <c r="GGB80" s="573"/>
      <c r="GGC80" s="573"/>
      <c r="GGD80" s="573"/>
      <c r="GGE80" s="573"/>
      <c r="GGF80" s="573"/>
      <c r="GGG80" s="573"/>
      <c r="GGH80" s="573"/>
      <c r="GGI80" s="573"/>
      <c r="GGJ80" s="573"/>
      <c r="GGK80" s="573"/>
      <c r="GGL80" s="573"/>
      <c r="GGM80" s="573"/>
      <c r="GGN80" s="573"/>
      <c r="GGO80" s="573"/>
      <c r="GGP80" s="573"/>
      <c r="GGQ80" s="573"/>
      <c r="GGR80" s="573"/>
      <c r="GGS80" s="573"/>
      <c r="GGT80" s="573"/>
      <c r="GGU80" s="573"/>
      <c r="GGV80" s="573"/>
      <c r="GGW80" s="573"/>
      <c r="GGX80" s="573"/>
      <c r="GGY80" s="573"/>
      <c r="GGZ80" s="573"/>
      <c r="GHA80" s="573"/>
      <c r="GHB80" s="573"/>
      <c r="GHC80" s="573"/>
      <c r="GHD80" s="573"/>
      <c r="GHE80" s="573"/>
      <c r="GHF80" s="573"/>
      <c r="GHG80" s="573"/>
      <c r="GHH80" s="573"/>
      <c r="GHI80" s="573"/>
      <c r="GHJ80" s="573"/>
      <c r="GHK80" s="573"/>
      <c r="GHL80" s="573"/>
      <c r="GHM80" s="573"/>
      <c r="GHN80" s="573"/>
      <c r="GHO80" s="573"/>
      <c r="GHP80" s="573"/>
      <c r="GHQ80" s="573"/>
      <c r="GHR80" s="573"/>
      <c r="GHS80" s="573"/>
      <c r="GHT80" s="573"/>
      <c r="GHU80" s="573"/>
      <c r="GHV80" s="573"/>
      <c r="GHW80" s="573"/>
      <c r="GHX80" s="573"/>
      <c r="GHY80" s="573"/>
      <c r="GHZ80" s="573"/>
      <c r="GIA80" s="573"/>
      <c r="GIB80" s="573"/>
      <c r="GIC80" s="573"/>
      <c r="GID80" s="573"/>
      <c r="GIE80" s="573"/>
      <c r="GIF80" s="573"/>
      <c r="GIG80" s="573"/>
      <c r="GIH80" s="573"/>
      <c r="GII80" s="573"/>
      <c r="GIJ80" s="573"/>
      <c r="GIK80" s="573"/>
      <c r="GIL80" s="573"/>
      <c r="GIM80" s="573"/>
      <c r="GIN80" s="573"/>
      <c r="GIO80" s="573"/>
      <c r="GIP80" s="573"/>
      <c r="GIQ80" s="573"/>
      <c r="GIR80" s="573"/>
      <c r="GIS80" s="573"/>
      <c r="GIT80" s="573"/>
      <c r="GIU80" s="573"/>
      <c r="GIV80" s="573"/>
      <c r="GIW80" s="573"/>
      <c r="GIX80" s="573"/>
      <c r="GIY80" s="573"/>
      <c r="GIZ80" s="573"/>
      <c r="GJA80" s="573"/>
      <c r="GJB80" s="573"/>
      <c r="GJC80" s="573"/>
      <c r="GJD80" s="573"/>
      <c r="GJE80" s="573"/>
      <c r="GJF80" s="573"/>
      <c r="GJG80" s="573"/>
      <c r="GJH80" s="573"/>
      <c r="GJI80" s="573"/>
      <c r="GJJ80" s="573"/>
      <c r="GJK80" s="573"/>
      <c r="GJL80" s="573"/>
      <c r="GJM80" s="573"/>
      <c r="GJN80" s="573"/>
      <c r="GJO80" s="573"/>
      <c r="GJP80" s="573"/>
      <c r="GJQ80" s="573"/>
      <c r="GJR80" s="573"/>
      <c r="GJS80" s="573"/>
      <c r="GJT80" s="573"/>
      <c r="GJU80" s="573"/>
      <c r="GJV80" s="573"/>
      <c r="GJW80" s="573"/>
      <c r="GJX80" s="573"/>
      <c r="GJY80" s="573"/>
      <c r="GJZ80" s="573"/>
      <c r="GKA80" s="573"/>
      <c r="GKB80" s="573"/>
      <c r="GKC80" s="573"/>
      <c r="GKD80" s="573"/>
      <c r="GKE80" s="573"/>
      <c r="GKF80" s="573"/>
      <c r="GKG80" s="573"/>
      <c r="GKH80" s="573"/>
      <c r="GKI80" s="573"/>
      <c r="GKJ80" s="573"/>
      <c r="GKK80" s="573"/>
      <c r="GKL80" s="573"/>
      <c r="GKM80" s="573"/>
      <c r="GKN80" s="573"/>
      <c r="GKO80" s="573"/>
      <c r="GKP80" s="573"/>
      <c r="GKQ80" s="573"/>
      <c r="GKR80" s="573"/>
      <c r="GKS80" s="573"/>
      <c r="GKT80" s="573"/>
      <c r="GKU80" s="573"/>
      <c r="GKV80" s="573"/>
      <c r="GKW80" s="573"/>
      <c r="GKX80" s="573"/>
      <c r="GKY80" s="573"/>
      <c r="GKZ80" s="573"/>
      <c r="GLA80" s="573"/>
      <c r="GLB80" s="573"/>
      <c r="GLC80" s="573"/>
      <c r="GLD80" s="573"/>
      <c r="GLE80" s="573"/>
      <c r="GLF80" s="573"/>
      <c r="GLG80" s="573"/>
      <c r="GLH80" s="573"/>
      <c r="GLI80" s="573"/>
      <c r="GLJ80" s="573"/>
      <c r="GLK80" s="573"/>
      <c r="GLL80" s="573"/>
      <c r="GLM80" s="573"/>
      <c r="GLN80" s="573"/>
      <c r="GLO80" s="573"/>
      <c r="GLP80" s="573"/>
      <c r="GLQ80" s="573"/>
      <c r="GLR80" s="573"/>
      <c r="GLS80" s="573"/>
      <c r="GLT80" s="573"/>
      <c r="GLU80" s="573"/>
      <c r="GLV80" s="573"/>
      <c r="GLW80" s="573"/>
      <c r="GLX80" s="573"/>
      <c r="GLY80" s="573"/>
      <c r="GLZ80" s="573"/>
      <c r="GMA80" s="573"/>
      <c r="GMB80" s="573"/>
      <c r="GMC80" s="573"/>
      <c r="GMD80" s="573"/>
      <c r="GME80" s="573"/>
      <c r="GMF80" s="573"/>
      <c r="GMG80" s="573"/>
      <c r="GMH80" s="573"/>
      <c r="GMI80" s="573"/>
      <c r="GMJ80" s="573"/>
      <c r="GMK80" s="573"/>
      <c r="GML80" s="573"/>
      <c r="GMM80" s="573"/>
      <c r="GMN80" s="573"/>
      <c r="GMO80" s="573"/>
      <c r="GMP80" s="573"/>
      <c r="GMQ80" s="573"/>
      <c r="GMR80" s="573"/>
      <c r="GMS80" s="573"/>
      <c r="GMT80" s="573"/>
      <c r="GMU80" s="573"/>
      <c r="GMV80" s="573"/>
      <c r="GMW80" s="573"/>
      <c r="GMX80" s="573"/>
      <c r="GMY80" s="573"/>
      <c r="GMZ80" s="573"/>
      <c r="GNA80" s="573"/>
      <c r="GNB80" s="573"/>
      <c r="GNC80" s="573"/>
      <c r="GND80" s="573"/>
      <c r="GNE80" s="573"/>
      <c r="GNF80" s="573"/>
      <c r="GNG80" s="573"/>
      <c r="GNH80" s="573"/>
      <c r="GNI80" s="573"/>
      <c r="GNJ80" s="573"/>
      <c r="GNK80" s="573"/>
      <c r="GNL80" s="573"/>
      <c r="GNM80" s="573"/>
      <c r="GNN80" s="573"/>
      <c r="GNO80" s="573"/>
      <c r="GNP80" s="573"/>
      <c r="GNQ80" s="573"/>
      <c r="GNR80" s="573"/>
      <c r="GNS80" s="573"/>
      <c r="GNT80" s="573"/>
      <c r="GNU80" s="573"/>
      <c r="GNV80" s="573"/>
      <c r="GNW80" s="573"/>
      <c r="GNX80" s="573"/>
      <c r="GNY80" s="573"/>
      <c r="GNZ80" s="573"/>
      <c r="GOA80" s="573"/>
      <c r="GOB80" s="573"/>
      <c r="GOC80" s="573"/>
      <c r="GOD80" s="573"/>
      <c r="GOE80" s="573"/>
      <c r="GOF80" s="573"/>
      <c r="GOG80" s="573"/>
      <c r="GOH80" s="573"/>
      <c r="GOI80" s="573"/>
      <c r="GOJ80" s="573"/>
      <c r="GOK80" s="573"/>
      <c r="GOL80" s="573"/>
      <c r="GOM80" s="573"/>
      <c r="GON80" s="573"/>
      <c r="GOO80" s="573"/>
      <c r="GOP80" s="573"/>
      <c r="GOQ80" s="573"/>
      <c r="GOR80" s="573"/>
      <c r="GOS80" s="573"/>
      <c r="GOT80" s="573"/>
      <c r="GOU80" s="573"/>
      <c r="GOV80" s="573"/>
      <c r="GOW80" s="573"/>
      <c r="GOX80" s="573"/>
      <c r="GOY80" s="573"/>
      <c r="GOZ80" s="573"/>
      <c r="GPA80" s="573"/>
      <c r="GPB80" s="573"/>
      <c r="GPC80" s="573"/>
      <c r="GPD80" s="573"/>
      <c r="GPE80" s="573"/>
      <c r="GPF80" s="573"/>
      <c r="GPG80" s="573"/>
      <c r="GPH80" s="573"/>
      <c r="GPI80" s="573"/>
      <c r="GPJ80" s="573"/>
      <c r="GPK80" s="573"/>
      <c r="GPL80" s="573"/>
      <c r="GPM80" s="573"/>
      <c r="GPN80" s="573"/>
      <c r="GPO80" s="573"/>
      <c r="GPP80" s="573"/>
      <c r="GPQ80" s="573"/>
      <c r="GPR80" s="573"/>
      <c r="GPS80" s="573"/>
      <c r="GPT80" s="573"/>
      <c r="GPU80" s="573"/>
      <c r="GPV80" s="573"/>
      <c r="GPW80" s="573"/>
      <c r="GPX80" s="573"/>
      <c r="GPY80" s="573"/>
      <c r="GPZ80" s="573"/>
      <c r="GQA80" s="573"/>
      <c r="GQB80" s="573"/>
      <c r="GQC80" s="573"/>
      <c r="GQD80" s="573"/>
      <c r="GQE80" s="573"/>
      <c r="GQF80" s="573"/>
      <c r="GQG80" s="573"/>
      <c r="GQH80" s="573"/>
      <c r="GQI80" s="573"/>
      <c r="GQJ80" s="573"/>
      <c r="GQK80" s="573"/>
      <c r="GQL80" s="573"/>
      <c r="GQM80" s="573"/>
      <c r="GQN80" s="573"/>
      <c r="GQO80" s="573"/>
      <c r="GQP80" s="573"/>
      <c r="GQQ80" s="573"/>
      <c r="GQR80" s="573"/>
      <c r="GQS80" s="573"/>
      <c r="GQT80" s="573"/>
      <c r="GQU80" s="573"/>
      <c r="GQV80" s="573"/>
      <c r="GQW80" s="573"/>
      <c r="GQX80" s="573"/>
      <c r="GQY80" s="573"/>
      <c r="GQZ80" s="573"/>
      <c r="GRA80" s="573"/>
      <c r="GRB80" s="573"/>
      <c r="GRC80" s="573"/>
      <c r="GRD80" s="573"/>
      <c r="GRE80" s="573"/>
      <c r="GRF80" s="573"/>
      <c r="GRG80" s="573"/>
      <c r="GRH80" s="573"/>
      <c r="GRI80" s="573"/>
      <c r="GRJ80" s="573"/>
      <c r="GRK80" s="573"/>
      <c r="GRL80" s="573"/>
      <c r="GRM80" s="573"/>
      <c r="GRN80" s="573"/>
      <c r="GRO80" s="573"/>
      <c r="GRP80" s="573"/>
      <c r="GRQ80" s="573"/>
      <c r="GRR80" s="573"/>
      <c r="GRS80" s="573"/>
      <c r="GRT80" s="573"/>
      <c r="GRU80" s="573"/>
      <c r="GRV80" s="573"/>
      <c r="GRW80" s="573"/>
      <c r="GRX80" s="573"/>
      <c r="GRY80" s="573"/>
      <c r="GRZ80" s="573"/>
      <c r="GSA80" s="573"/>
      <c r="GSB80" s="573"/>
      <c r="GSC80" s="573"/>
      <c r="GSD80" s="573"/>
      <c r="GSE80" s="573"/>
      <c r="GSF80" s="573"/>
      <c r="GSG80" s="573"/>
      <c r="GSH80" s="573"/>
      <c r="GSI80" s="573"/>
      <c r="GSJ80" s="573"/>
      <c r="GSK80" s="573"/>
      <c r="GSL80" s="573"/>
      <c r="GSM80" s="573"/>
      <c r="GSN80" s="573"/>
      <c r="GSO80" s="573"/>
      <c r="GSP80" s="573"/>
      <c r="GSQ80" s="573"/>
      <c r="GSR80" s="573"/>
      <c r="GSS80" s="573"/>
      <c r="GST80" s="573"/>
      <c r="GSU80" s="573"/>
      <c r="GSV80" s="573"/>
      <c r="GSW80" s="573"/>
      <c r="GSX80" s="573"/>
      <c r="GSY80" s="573"/>
      <c r="GSZ80" s="573"/>
      <c r="GTA80" s="573"/>
      <c r="GTB80" s="573"/>
      <c r="GTC80" s="573"/>
      <c r="GTD80" s="573"/>
      <c r="GTE80" s="573"/>
      <c r="GTF80" s="573"/>
      <c r="GTG80" s="573"/>
      <c r="GTH80" s="573"/>
      <c r="GTI80" s="573"/>
      <c r="GTJ80" s="573"/>
      <c r="GTK80" s="573"/>
      <c r="GTL80" s="573"/>
      <c r="GTM80" s="573"/>
      <c r="GTN80" s="573"/>
      <c r="GTO80" s="573"/>
      <c r="GTP80" s="573"/>
      <c r="GTQ80" s="573"/>
      <c r="GTR80" s="573"/>
      <c r="GTS80" s="573"/>
      <c r="GTT80" s="573"/>
      <c r="GTU80" s="573"/>
      <c r="GTV80" s="573"/>
      <c r="GTW80" s="573"/>
      <c r="GTX80" s="573"/>
      <c r="GTY80" s="573"/>
      <c r="GTZ80" s="573"/>
      <c r="GUA80" s="573"/>
      <c r="GUB80" s="573"/>
      <c r="GUC80" s="573"/>
      <c r="GUD80" s="573"/>
      <c r="GUE80" s="573"/>
      <c r="GUF80" s="573"/>
      <c r="GUG80" s="573"/>
      <c r="GUH80" s="573"/>
      <c r="GUI80" s="573"/>
      <c r="GUJ80" s="573"/>
      <c r="GUK80" s="573"/>
      <c r="GUL80" s="573"/>
      <c r="GUM80" s="573"/>
      <c r="GUN80" s="573"/>
      <c r="GUO80" s="573"/>
      <c r="GUP80" s="573"/>
      <c r="GUQ80" s="573"/>
      <c r="GUR80" s="573"/>
      <c r="GUS80" s="573"/>
      <c r="GUT80" s="573"/>
      <c r="GUU80" s="573"/>
      <c r="GUV80" s="573"/>
      <c r="GUW80" s="573"/>
      <c r="GUX80" s="573"/>
      <c r="GUY80" s="573"/>
      <c r="GUZ80" s="573"/>
      <c r="GVA80" s="573"/>
      <c r="GVB80" s="573"/>
      <c r="GVC80" s="573"/>
      <c r="GVD80" s="573"/>
      <c r="GVE80" s="573"/>
      <c r="GVF80" s="573"/>
      <c r="GVG80" s="573"/>
      <c r="GVH80" s="573"/>
      <c r="GVI80" s="573"/>
      <c r="GVJ80" s="573"/>
      <c r="GVK80" s="573"/>
      <c r="GVL80" s="573"/>
      <c r="GVM80" s="573"/>
      <c r="GVN80" s="573"/>
      <c r="GVO80" s="573"/>
      <c r="GVP80" s="573"/>
      <c r="GVQ80" s="573"/>
      <c r="GVR80" s="573"/>
      <c r="GVS80" s="573"/>
      <c r="GVT80" s="573"/>
      <c r="GVU80" s="573"/>
      <c r="GVV80" s="573"/>
      <c r="GVW80" s="573"/>
      <c r="GVX80" s="573"/>
      <c r="GVY80" s="573"/>
      <c r="GVZ80" s="573"/>
      <c r="GWA80" s="573"/>
      <c r="GWB80" s="573"/>
      <c r="GWC80" s="573"/>
      <c r="GWD80" s="573"/>
      <c r="GWE80" s="573"/>
      <c r="GWF80" s="573"/>
      <c r="GWG80" s="573"/>
      <c r="GWH80" s="573"/>
      <c r="GWI80" s="573"/>
      <c r="GWJ80" s="573"/>
      <c r="GWK80" s="573"/>
      <c r="GWL80" s="573"/>
      <c r="GWM80" s="573"/>
      <c r="GWN80" s="573"/>
      <c r="GWO80" s="573"/>
      <c r="GWP80" s="573"/>
      <c r="GWQ80" s="573"/>
      <c r="GWR80" s="573"/>
      <c r="GWS80" s="573"/>
      <c r="GWT80" s="573"/>
      <c r="GWU80" s="573"/>
      <c r="GWV80" s="573"/>
      <c r="GWW80" s="573"/>
      <c r="GWX80" s="573"/>
      <c r="GWY80" s="573"/>
      <c r="GWZ80" s="573"/>
      <c r="GXA80" s="573"/>
      <c r="GXB80" s="573"/>
      <c r="GXC80" s="573"/>
      <c r="GXD80" s="573"/>
      <c r="GXE80" s="573"/>
      <c r="GXF80" s="573"/>
      <c r="GXG80" s="573"/>
      <c r="GXH80" s="573"/>
      <c r="GXI80" s="573"/>
      <c r="GXJ80" s="573"/>
      <c r="GXK80" s="573"/>
      <c r="GXL80" s="573"/>
      <c r="GXM80" s="573"/>
      <c r="GXN80" s="573"/>
      <c r="GXO80" s="573"/>
      <c r="GXP80" s="573"/>
      <c r="GXQ80" s="573"/>
      <c r="GXR80" s="573"/>
      <c r="GXS80" s="573"/>
      <c r="GXT80" s="573"/>
      <c r="GXU80" s="573"/>
      <c r="GXV80" s="573"/>
      <c r="GXW80" s="573"/>
      <c r="GXX80" s="573"/>
      <c r="GXY80" s="573"/>
      <c r="GXZ80" s="573"/>
      <c r="GYA80" s="573"/>
      <c r="GYB80" s="573"/>
      <c r="GYC80" s="573"/>
      <c r="GYD80" s="573"/>
      <c r="GYE80" s="573"/>
      <c r="GYF80" s="573"/>
      <c r="GYG80" s="573"/>
      <c r="GYH80" s="573"/>
      <c r="GYI80" s="573"/>
      <c r="GYJ80" s="573"/>
      <c r="GYK80" s="573"/>
      <c r="GYL80" s="573"/>
      <c r="GYM80" s="573"/>
      <c r="GYN80" s="573"/>
      <c r="GYO80" s="573"/>
      <c r="GYP80" s="573"/>
      <c r="GYQ80" s="573"/>
      <c r="GYR80" s="573"/>
      <c r="GYS80" s="573"/>
      <c r="GYT80" s="573"/>
      <c r="GYU80" s="573"/>
      <c r="GYV80" s="573"/>
      <c r="GYW80" s="573"/>
      <c r="GYX80" s="573"/>
      <c r="GYY80" s="573"/>
      <c r="GYZ80" s="573"/>
      <c r="GZA80" s="573"/>
      <c r="GZB80" s="573"/>
      <c r="GZC80" s="573"/>
      <c r="GZD80" s="573"/>
      <c r="GZE80" s="573"/>
      <c r="GZF80" s="573"/>
      <c r="GZG80" s="573"/>
      <c r="GZH80" s="573"/>
      <c r="GZI80" s="573"/>
      <c r="GZJ80" s="573"/>
      <c r="GZK80" s="573"/>
      <c r="GZL80" s="573"/>
      <c r="GZM80" s="573"/>
      <c r="GZN80" s="573"/>
      <c r="GZO80" s="573"/>
      <c r="GZP80" s="573"/>
      <c r="GZQ80" s="573"/>
      <c r="GZR80" s="573"/>
      <c r="GZS80" s="573"/>
      <c r="GZT80" s="573"/>
      <c r="GZU80" s="573"/>
      <c r="GZV80" s="573"/>
      <c r="GZW80" s="573"/>
      <c r="GZX80" s="573"/>
      <c r="GZY80" s="573"/>
      <c r="GZZ80" s="573"/>
      <c r="HAA80" s="573"/>
      <c r="HAB80" s="573"/>
      <c r="HAC80" s="573"/>
      <c r="HAD80" s="573"/>
      <c r="HAE80" s="573"/>
      <c r="HAF80" s="573"/>
      <c r="HAG80" s="573"/>
      <c r="HAH80" s="573"/>
      <c r="HAI80" s="573"/>
      <c r="HAJ80" s="573"/>
      <c r="HAK80" s="573"/>
      <c r="HAL80" s="573"/>
      <c r="HAM80" s="573"/>
      <c r="HAN80" s="573"/>
      <c r="HAO80" s="573"/>
      <c r="HAP80" s="573"/>
      <c r="HAQ80" s="573"/>
      <c r="HAR80" s="573"/>
      <c r="HAS80" s="573"/>
      <c r="HAT80" s="573"/>
      <c r="HAU80" s="573"/>
      <c r="HAV80" s="573"/>
      <c r="HAW80" s="573"/>
      <c r="HAX80" s="573"/>
      <c r="HAY80" s="573"/>
      <c r="HAZ80" s="573"/>
      <c r="HBA80" s="573"/>
      <c r="HBB80" s="573"/>
      <c r="HBC80" s="573"/>
      <c r="HBD80" s="573"/>
      <c r="HBE80" s="573"/>
      <c r="HBF80" s="573"/>
      <c r="HBG80" s="573"/>
      <c r="HBH80" s="573"/>
      <c r="HBI80" s="573"/>
      <c r="HBJ80" s="573"/>
      <c r="HBK80" s="573"/>
      <c r="HBL80" s="573"/>
      <c r="HBM80" s="573"/>
      <c r="HBN80" s="573"/>
      <c r="HBO80" s="573"/>
      <c r="HBP80" s="573"/>
      <c r="HBQ80" s="573"/>
      <c r="HBR80" s="573"/>
      <c r="HBS80" s="573"/>
      <c r="HBT80" s="573"/>
      <c r="HBU80" s="573"/>
      <c r="HBV80" s="573"/>
      <c r="HBW80" s="573"/>
      <c r="HBX80" s="573"/>
      <c r="HBY80" s="573"/>
      <c r="HBZ80" s="573"/>
      <c r="HCA80" s="573"/>
      <c r="HCB80" s="573"/>
      <c r="HCC80" s="573"/>
      <c r="HCD80" s="573"/>
      <c r="HCE80" s="573"/>
      <c r="HCF80" s="573"/>
      <c r="HCG80" s="573"/>
      <c r="HCH80" s="573"/>
      <c r="HCI80" s="573"/>
      <c r="HCJ80" s="573"/>
      <c r="HCK80" s="573"/>
      <c r="HCL80" s="573"/>
      <c r="HCM80" s="573"/>
      <c r="HCN80" s="573"/>
      <c r="HCO80" s="573"/>
      <c r="HCP80" s="573"/>
      <c r="HCQ80" s="573"/>
      <c r="HCR80" s="573"/>
      <c r="HCS80" s="573"/>
      <c r="HCT80" s="573"/>
      <c r="HCU80" s="573"/>
      <c r="HCV80" s="573"/>
      <c r="HCW80" s="573"/>
      <c r="HCX80" s="573"/>
      <c r="HCY80" s="573"/>
      <c r="HCZ80" s="573"/>
      <c r="HDA80" s="573"/>
      <c r="HDB80" s="573"/>
      <c r="HDC80" s="573"/>
      <c r="HDD80" s="573"/>
      <c r="HDE80" s="573"/>
      <c r="HDF80" s="573"/>
      <c r="HDG80" s="573"/>
      <c r="HDH80" s="573"/>
      <c r="HDI80" s="573"/>
      <c r="HDJ80" s="573"/>
      <c r="HDK80" s="573"/>
      <c r="HDL80" s="573"/>
      <c r="HDM80" s="573"/>
      <c r="HDN80" s="573"/>
      <c r="HDO80" s="573"/>
      <c r="HDP80" s="573"/>
      <c r="HDQ80" s="573"/>
      <c r="HDR80" s="573"/>
      <c r="HDS80" s="573"/>
      <c r="HDT80" s="573"/>
      <c r="HDU80" s="573"/>
      <c r="HDV80" s="573"/>
      <c r="HDW80" s="573"/>
      <c r="HDX80" s="573"/>
      <c r="HDY80" s="573"/>
      <c r="HDZ80" s="573"/>
      <c r="HEA80" s="573"/>
      <c r="HEB80" s="573"/>
      <c r="HEC80" s="573"/>
      <c r="HED80" s="573"/>
      <c r="HEE80" s="573"/>
      <c r="HEF80" s="573"/>
      <c r="HEG80" s="573"/>
      <c r="HEH80" s="573"/>
      <c r="HEI80" s="573"/>
      <c r="HEJ80" s="573"/>
      <c r="HEK80" s="573"/>
      <c r="HEL80" s="573"/>
      <c r="HEM80" s="573"/>
      <c r="HEN80" s="573"/>
      <c r="HEO80" s="573"/>
      <c r="HEP80" s="573"/>
      <c r="HEQ80" s="573"/>
      <c r="HER80" s="573"/>
      <c r="HES80" s="573"/>
      <c r="HET80" s="573"/>
      <c r="HEU80" s="573"/>
      <c r="HEV80" s="573"/>
      <c r="HEW80" s="573"/>
      <c r="HEX80" s="573"/>
      <c r="HEY80" s="573"/>
      <c r="HEZ80" s="573"/>
      <c r="HFA80" s="573"/>
      <c r="HFB80" s="573"/>
      <c r="HFC80" s="573"/>
      <c r="HFD80" s="573"/>
      <c r="HFE80" s="573"/>
      <c r="HFF80" s="573"/>
      <c r="HFG80" s="573"/>
      <c r="HFH80" s="573"/>
      <c r="HFI80" s="573"/>
      <c r="HFJ80" s="573"/>
      <c r="HFK80" s="573"/>
      <c r="HFL80" s="573"/>
      <c r="HFM80" s="573"/>
      <c r="HFN80" s="573"/>
      <c r="HFO80" s="573"/>
      <c r="HFP80" s="573"/>
      <c r="HFQ80" s="573"/>
      <c r="HFR80" s="573"/>
      <c r="HFS80" s="573"/>
      <c r="HFT80" s="573"/>
      <c r="HFU80" s="573"/>
      <c r="HFV80" s="573"/>
      <c r="HFW80" s="573"/>
      <c r="HFX80" s="573"/>
      <c r="HFY80" s="573"/>
      <c r="HFZ80" s="573"/>
      <c r="HGA80" s="573"/>
      <c r="HGB80" s="573"/>
      <c r="HGC80" s="573"/>
      <c r="HGD80" s="573"/>
      <c r="HGE80" s="573"/>
      <c r="HGF80" s="573"/>
      <c r="HGG80" s="573"/>
      <c r="HGH80" s="573"/>
      <c r="HGI80" s="573"/>
      <c r="HGJ80" s="573"/>
      <c r="HGK80" s="573"/>
      <c r="HGL80" s="573"/>
      <c r="HGM80" s="573"/>
      <c r="HGN80" s="573"/>
      <c r="HGO80" s="573"/>
      <c r="HGP80" s="573"/>
      <c r="HGQ80" s="573"/>
      <c r="HGR80" s="573"/>
      <c r="HGS80" s="573"/>
      <c r="HGT80" s="573"/>
      <c r="HGU80" s="573"/>
      <c r="HGV80" s="573"/>
      <c r="HGW80" s="573"/>
      <c r="HGX80" s="573"/>
      <c r="HGY80" s="573"/>
      <c r="HGZ80" s="573"/>
      <c r="HHA80" s="573"/>
      <c r="HHB80" s="573"/>
      <c r="HHC80" s="573"/>
      <c r="HHD80" s="573"/>
      <c r="HHE80" s="573"/>
      <c r="HHF80" s="573"/>
      <c r="HHG80" s="573"/>
      <c r="HHH80" s="573"/>
      <c r="HHI80" s="573"/>
      <c r="HHJ80" s="573"/>
      <c r="HHK80" s="573"/>
      <c r="HHL80" s="573"/>
      <c r="HHM80" s="573"/>
      <c r="HHN80" s="573"/>
      <c r="HHO80" s="573"/>
      <c r="HHP80" s="573"/>
      <c r="HHQ80" s="573"/>
      <c r="HHR80" s="573"/>
      <c r="HHS80" s="573"/>
      <c r="HHT80" s="573"/>
      <c r="HHU80" s="573"/>
      <c r="HHV80" s="573"/>
      <c r="HHW80" s="573"/>
      <c r="HHX80" s="573"/>
      <c r="HHY80" s="573"/>
      <c r="HHZ80" s="573"/>
      <c r="HIA80" s="573"/>
      <c r="HIB80" s="573"/>
      <c r="HIC80" s="573"/>
      <c r="HID80" s="573"/>
      <c r="HIE80" s="573"/>
      <c r="HIF80" s="573"/>
      <c r="HIG80" s="573"/>
      <c r="HIH80" s="573"/>
      <c r="HII80" s="573"/>
      <c r="HIJ80" s="573"/>
      <c r="HIK80" s="573"/>
      <c r="HIL80" s="573"/>
      <c r="HIM80" s="573"/>
      <c r="HIN80" s="573"/>
      <c r="HIO80" s="573"/>
      <c r="HIP80" s="573"/>
      <c r="HIQ80" s="573"/>
      <c r="HIR80" s="573"/>
      <c r="HIS80" s="573"/>
      <c r="HIT80" s="573"/>
      <c r="HIU80" s="573"/>
      <c r="HIV80" s="573"/>
      <c r="HIW80" s="573"/>
      <c r="HIX80" s="573"/>
      <c r="HIY80" s="573"/>
      <c r="HIZ80" s="573"/>
      <c r="HJA80" s="573"/>
      <c r="HJB80" s="573"/>
      <c r="HJC80" s="573"/>
      <c r="HJD80" s="573"/>
      <c r="HJE80" s="573"/>
      <c r="HJF80" s="573"/>
      <c r="HJG80" s="573"/>
      <c r="HJH80" s="573"/>
      <c r="HJI80" s="573"/>
      <c r="HJJ80" s="573"/>
      <c r="HJK80" s="573"/>
      <c r="HJL80" s="573"/>
      <c r="HJM80" s="573"/>
      <c r="HJN80" s="573"/>
      <c r="HJO80" s="573"/>
      <c r="HJP80" s="573"/>
      <c r="HJQ80" s="573"/>
      <c r="HJR80" s="573"/>
      <c r="HJS80" s="573"/>
      <c r="HJT80" s="573"/>
      <c r="HJU80" s="573"/>
      <c r="HJV80" s="573"/>
      <c r="HJW80" s="573"/>
      <c r="HJX80" s="573"/>
      <c r="HJY80" s="573"/>
      <c r="HJZ80" s="573"/>
      <c r="HKA80" s="573"/>
      <c r="HKB80" s="573"/>
      <c r="HKC80" s="573"/>
      <c r="HKD80" s="573"/>
      <c r="HKE80" s="573"/>
      <c r="HKF80" s="573"/>
      <c r="HKG80" s="573"/>
      <c r="HKH80" s="573"/>
      <c r="HKI80" s="573"/>
      <c r="HKJ80" s="573"/>
      <c r="HKK80" s="573"/>
      <c r="HKL80" s="573"/>
      <c r="HKM80" s="573"/>
      <c r="HKN80" s="573"/>
      <c r="HKO80" s="573"/>
      <c r="HKP80" s="573"/>
      <c r="HKQ80" s="573"/>
      <c r="HKR80" s="573"/>
      <c r="HKS80" s="573"/>
      <c r="HKT80" s="573"/>
      <c r="HKU80" s="573"/>
      <c r="HKV80" s="573"/>
      <c r="HKW80" s="573"/>
      <c r="HKX80" s="573"/>
      <c r="HKY80" s="573"/>
      <c r="HKZ80" s="573"/>
      <c r="HLA80" s="573"/>
      <c r="HLB80" s="573"/>
      <c r="HLC80" s="573"/>
      <c r="HLD80" s="573"/>
      <c r="HLE80" s="573"/>
      <c r="HLF80" s="573"/>
      <c r="HLG80" s="573"/>
      <c r="HLH80" s="573"/>
      <c r="HLI80" s="573"/>
      <c r="HLJ80" s="573"/>
      <c r="HLK80" s="573"/>
      <c r="HLL80" s="573"/>
      <c r="HLM80" s="573"/>
      <c r="HLN80" s="573"/>
      <c r="HLO80" s="573"/>
      <c r="HLP80" s="573"/>
      <c r="HLQ80" s="573"/>
      <c r="HLR80" s="573"/>
      <c r="HLS80" s="573"/>
      <c r="HLT80" s="573"/>
      <c r="HLU80" s="573"/>
      <c r="HLV80" s="573"/>
      <c r="HLW80" s="573"/>
      <c r="HLX80" s="573"/>
      <c r="HLY80" s="573"/>
      <c r="HLZ80" s="573"/>
      <c r="HMA80" s="573"/>
      <c r="HMB80" s="573"/>
      <c r="HMC80" s="573"/>
      <c r="HMD80" s="573"/>
      <c r="HME80" s="573"/>
      <c r="HMF80" s="573"/>
      <c r="HMG80" s="573"/>
      <c r="HMH80" s="573"/>
      <c r="HMI80" s="573"/>
      <c r="HMJ80" s="573"/>
      <c r="HMK80" s="573"/>
      <c r="HML80" s="573"/>
      <c r="HMM80" s="573"/>
      <c r="HMN80" s="573"/>
      <c r="HMO80" s="573"/>
      <c r="HMP80" s="573"/>
      <c r="HMQ80" s="573"/>
      <c r="HMR80" s="573"/>
      <c r="HMS80" s="573"/>
      <c r="HMT80" s="573"/>
      <c r="HMU80" s="573"/>
      <c r="HMV80" s="573"/>
      <c r="HMW80" s="573"/>
      <c r="HMX80" s="573"/>
      <c r="HMY80" s="573"/>
      <c r="HMZ80" s="573"/>
      <c r="HNA80" s="573"/>
      <c r="HNB80" s="573"/>
      <c r="HNC80" s="573"/>
      <c r="HND80" s="573"/>
      <c r="HNE80" s="573"/>
      <c r="HNF80" s="573"/>
      <c r="HNG80" s="573"/>
      <c r="HNH80" s="573"/>
      <c r="HNI80" s="573"/>
      <c r="HNJ80" s="573"/>
      <c r="HNK80" s="573"/>
      <c r="HNL80" s="573"/>
      <c r="HNM80" s="573"/>
      <c r="HNN80" s="573"/>
      <c r="HNO80" s="573"/>
      <c r="HNP80" s="573"/>
      <c r="HNQ80" s="573"/>
      <c r="HNR80" s="573"/>
      <c r="HNS80" s="573"/>
      <c r="HNT80" s="573"/>
      <c r="HNU80" s="573"/>
      <c r="HNV80" s="573"/>
      <c r="HNW80" s="573"/>
      <c r="HNX80" s="573"/>
      <c r="HNY80" s="573"/>
      <c r="HNZ80" s="573"/>
      <c r="HOA80" s="573"/>
      <c r="HOB80" s="573"/>
      <c r="HOC80" s="573"/>
      <c r="HOD80" s="573"/>
      <c r="HOE80" s="573"/>
      <c r="HOF80" s="573"/>
      <c r="HOG80" s="573"/>
      <c r="HOH80" s="573"/>
      <c r="HOI80" s="573"/>
      <c r="HOJ80" s="573"/>
      <c r="HOK80" s="573"/>
      <c r="HOL80" s="573"/>
      <c r="HOM80" s="573"/>
      <c r="HON80" s="573"/>
      <c r="HOO80" s="573"/>
      <c r="HOP80" s="573"/>
      <c r="HOQ80" s="573"/>
      <c r="HOR80" s="573"/>
      <c r="HOS80" s="573"/>
      <c r="HOT80" s="573"/>
      <c r="HOU80" s="573"/>
      <c r="HOV80" s="573"/>
      <c r="HOW80" s="573"/>
      <c r="HOX80" s="573"/>
      <c r="HOY80" s="573"/>
      <c r="HOZ80" s="573"/>
      <c r="HPA80" s="573"/>
      <c r="HPB80" s="573"/>
      <c r="HPC80" s="573"/>
      <c r="HPD80" s="573"/>
      <c r="HPE80" s="573"/>
      <c r="HPF80" s="573"/>
      <c r="HPG80" s="573"/>
      <c r="HPH80" s="573"/>
      <c r="HPI80" s="573"/>
      <c r="HPJ80" s="573"/>
      <c r="HPK80" s="573"/>
      <c r="HPL80" s="573"/>
      <c r="HPM80" s="573"/>
      <c r="HPN80" s="573"/>
      <c r="HPO80" s="573"/>
      <c r="HPP80" s="573"/>
      <c r="HPQ80" s="573"/>
      <c r="HPR80" s="573"/>
      <c r="HPS80" s="573"/>
      <c r="HPT80" s="573"/>
      <c r="HPU80" s="573"/>
      <c r="HPV80" s="573"/>
      <c r="HPW80" s="573"/>
      <c r="HPX80" s="573"/>
      <c r="HPY80" s="573"/>
      <c r="HPZ80" s="573"/>
      <c r="HQA80" s="573"/>
      <c r="HQB80" s="573"/>
      <c r="HQC80" s="573"/>
      <c r="HQD80" s="573"/>
      <c r="HQE80" s="573"/>
      <c r="HQF80" s="573"/>
      <c r="HQG80" s="573"/>
      <c r="HQH80" s="573"/>
      <c r="HQI80" s="573"/>
      <c r="HQJ80" s="573"/>
      <c r="HQK80" s="573"/>
      <c r="HQL80" s="573"/>
      <c r="HQM80" s="573"/>
      <c r="HQN80" s="573"/>
      <c r="HQO80" s="573"/>
      <c r="HQP80" s="573"/>
      <c r="HQQ80" s="573"/>
      <c r="HQR80" s="573"/>
      <c r="HQS80" s="573"/>
      <c r="HQT80" s="573"/>
      <c r="HQU80" s="573"/>
      <c r="HQV80" s="573"/>
      <c r="HQW80" s="573"/>
      <c r="HQX80" s="573"/>
      <c r="HQY80" s="573"/>
      <c r="HQZ80" s="573"/>
      <c r="HRA80" s="573"/>
      <c r="HRB80" s="573"/>
      <c r="HRC80" s="573"/>
      <c r="HRD80" s="573"/>
      <c r="HRE80" s="573"/>
      <c r="HRF80" s="573"/>
      <c r="HRG80" s="573"/>
      <c r="HRH80" s="573"/>
      <c r="HRI80" s="573"/>
      <c r="HRJ80" s="573"/>
      <c r="HRK80" s="573"/>
      <c r="HRL80" s="573"/>
      <c r="HRM80" s="573"/>
      <c r="HRN80" s="573"/>
      <c r="HRO80" s="573"/>
      <c r="HRP80" s="573"/>
      <c r="HRQ80" s="573"/>
      <c r="HRR80" s="573"/>
      <c r="HRS80" s="573"/>
      <c r="HRT80" s="573"/>
      <c r="HRU80" s="573"/>
      <c r="HRV80" s="573"/>
      <c r="HRW80" s="573"/>
      <c r="HRX80" s="573"/>
      <c r="HRY80" s="573"/>
      <c r="HRZ80" s="573"/>
      <c r="HSA80" s="573"/>
      <c r="HSB80" s="573"/>
      <c r="HSC80" s="573"/>
      <c r="HSD80" s="573"/>
      <c r="HSE80" s="573"/>
      <c r="HSF80" s="573"/>
      <c r="HSG80" s="573"/>
      <c r="HSH80" s="573"/>
      <c r="HSI80" s="573"/>
      <c r="HSJ80" s="573"/>
      <c r="HSK80" s="573"/>
      <c r="HSL80" s="573"/>
      <c r="HSM80" s="573"/>
      <c r="HSN80" s="573"/>
      <c r="HSO80" s="573"/>
      <c r="HSP80" s="573"/>
      <c r="HSQ80" s="573"/>
      <c r="HSR80" s="573"/>
      <c r="HSS80" s="573"/>
      <c r="HST80" s="573"/>
      <c r="HSU80" s="573"/>
      <c r="HSV80" s="573"/>
      <c r="HSW80" s="573"/>
      <c r="HSX80" s="573"/>
      <c r="HSY80" s="573"/>
      <c r="HSZ80" s="573"/>
      <c r="HTA80" s="573"/>
      <c r="HTB80" s="573"/>
      <c r="HTC80" s="573"/>
      <c r="HTD80" s="573"/>
      <c r="HTE80" s="573"/>
      <c r="HTF80" s="573"/>
      <c r="HTG80" s="573"/>
      <c r="HTH80" s="573"/>
      <c r="HTI80" s="573"/>
      <c r="HTJ80" s="573"/>
      <c r="HTK80" s="573"/>
      <c r="HTL80" s="573"/>
      <c r="HTM80" s="573"/>
      <c r="HTN80" s="573"/>
      <c r="HTO80" s="573"/>
      <c r="HTP80" s="573"/>
      <c r="HTQ80" s="573"/>
      <c r="HTR80" s="573"/>
      <c r="HTS80" s="573"/>
      <c r="HTT80" s="573"/>
      <c r="HTU80" s="573"/>
      <c r="HTV80" s="573"/>
      <c r="HTW80" s="573"/>
      <c r="HTX80" s="573"/>
      <c r="HTY80" s="573"/>
      <c r="HTZ80" s="573"/>
      <c r="HUA80" s="573"/>
      <c r="HUB80" s="573"/>
      <c r="HUC80" s="573"/>
      <c r="HUD80" s="573"/>
      <c r="HUE80" s="573"/>
      <c r="HUF80" s="573"/>
      <c r="HUG80" s="573"/>
      <c r="HUH80" s="573"/>
      <c r="HUI80" s="573"/>
      <c r="HUJ80" s="573"/>
      <c r="HUK80" s="573"/>
      <c r="HUL80" s="573"/>
      <c r="HUM80" s="573"/>
      <c r="HUN80" s="573"/>
      <c r="HUO80" s="573"/>
      <c r="HUP80" s="573"/>
      <c r="HUQ80" s="573"/>
      <c r="HUR80" s="573"/>
      <c r="HUS80" s="573"/>
      <c r="HUT80" s="573"/>
      <c r="HUU80" s="573"/>
      <c r="HUV80" s="573"/>
      <c r="HUW80" s="573"/>
      <c r="HUX80" s="573"/>
      <c r="HUY80" s="573"/>
      <c r="HUZ80" s="573"/>
      <c r="HVA80" s="573"/>
      <c r="HVB80" s="573"/>
      <c r="HVC80" s="573"/>
      <c r="HVD80" s="573"/>
      <c r="HVE80" s="573"/>
      <c r="HVF80" s="573"/>
      <c r="HVG80" s="573"/>
      <c r="HVH80" s="573"/>
      <c r="HVI80" s="573"/>
      <c r="HVJ80" s="573"/>
      <c r="HVK80" s="573"/>
      <c r="HVL80" s="573"/>
      <c r="HVM80" s="573"/>
      <c r="HVN80" s="573"/>
      <c r="HVO80" s="573"/>
      <c r="HVP80" s="573"/>
      <c r="HVQ80" s="573"/>
      <c r="HVR80" s="573"/>
      <c r="HVS80" s="573"/>
      <c r="HVT80" s="573"/>
      <c r="HVU80" s="573"/>
      <c r="HVV80" s="573"/>
      <c r="HVW80" s="573"/>
      <c r="HVX80" s="573"/>
      <c r="HVY80" s="573"/>
      <c r="HVZ80" s="573"/>
      <c r="HWA80" s="573"/>
      <c r="HWB80" s="573"/>
      <c r="HWC80" s="573"/>
      <c r="HWD80" s="573"/>
      <c r="HWE80" s="573"/>
      <c r="HWF80" s="573"/>
      <c r="HWG80" s="573"/>
      <c r="HWH80" s="573"/>
      <c r="HWI80" s="573"/>
      <c r="HWJ80" s="573"/>
      <c r="HWK80" s="573"/>
      <c r="HWL80" s="573"/>
      <c r="HWM80" s="573"/>
      <c r="HWN80" s="573"/>
      <c r="HWO80" s="573"/>
      <c r="HWP80" s="573"/>
      <c r="HWQ80" s="573"/>
      <c r="HWR80" s="573"/>
      <c r="HWS80" s="573"/>
      <c r="HWT80" s="573"/>
      <c r="HWU80" s="573"/>
      <c r="HWV80" s="573"/>
      <c r="HWW80" s="573"/>
      <c r="HWX80" s="573"/>
      <c r="HWY80" s="573"/>
      <c r="HWZ80" s="573"/>
      <c r="HXA80" s="573"/>
      <c r="HXB80" s="573"/>
      <c r="HXC80" s="573"/>
      <c r="HXD80" s="573"/>
      <c r="HXE80" s="573"/>
      <c r="HXF80" s="573"/>
      <c r="HXG80" s="573"/>
      <c r="HXH80" s="573"/>
      <c r="HXI80" s="573"/>
      <c r="HXJ80" s="573"/>
      <c r="HXK80" s="573"/>
      <c r="HXL80" s="573"/>
      <c r="HXM80" s="573"/>
      <c r="HXN80" s="573"/>
      <c r="HXO80" s="573"/>
      <c r="HXP80" s="573"/>
      <c r="HXQ80" s="573"/>
      <c r="HXR80" s="573"/>
      <c r="HXS80" s="573"/>
      <c r="HXT80" s="573"/>
      <c r="HXU80" s="573"/>
      <c r="HXV80" s="573"/>
      <c r="HXW80" s="573"/>
      <c r="HXX80" s="573"/>
      <c r="HXY80" s="573"/>
      <c r="HXZ80" s="573"/>
      <c r="HYA80" s="573"/>
      <c r="HYB80" s="573"/>
      <c r="HYC80" s="573"/>
      <c r="HYD80" s="573"/>
      <c r="HYE80" s="573"/>
      <c r="HYF80" s="573"/>
      <c r="HYG80" s="573"/>
      <c r="HYH80" s="573"/>
      <c r="HYI80" s="573"/>
      <c r="HYJ80" s="573"/>
      <c r="HYK80" s="573"/>
      <c r="HYL80" s="573"/>
      <c r="HYM80" s="573"/>
      <c r="HYN80" s="573"/>
      <c r="HYO80" s="573"/>
      <c r="HYP80" s="573"/>
      <c r="HYQ80" s="573"/>
      <c r="HYR80" s="573"/>
      <c r="HYS80" s="573"/>
      <c r="HYT80" s="573"/>
      <c r="HYU80" s="573"/>
      <c r="HYV80" s="573"/>
      <c r="HYW80" s="573"/>
      <c r="HYX80" s="573"/>
      <c r="HYY80" s="573"/>
      <c r="HYZ80" s="573"/>
      <c r="HZA80" s="573"/>
      <c r="HZB80" s="573"/>
      <c r="HZC80" s="573"/>
      <c r="HZD80" s="573"/>
      <c r="HZE80" s="573"/>
      <c r="HZF80" s="573"/>
      <c r="HZG80" s="573"/>
      <c r="HZH80" s="573"/>
      <c r="HZI80" s="573"/>
      <c r="HZJ80" s="573"/>
      <c r="HZK80" s="573"/>
      <c r="HZL80" s="573"/>
      <c r="HZM80" s="573"/>
      <c r="HZN80" s="573"/>
      <c r="HZO80" s="573"/>
      <c r="HZP80" s="573"/>
      <c r="HZQ80" s="573"/>
      <c r="HZR80" s="573"/>
      <c r="HZS80" s="573"/>
      <c r="HZT80" s="573"/>
      <c r="HZU80" s="573"/>
      <c r="HZV80" s="573"/>
      <c r="HZW80" s="573"/>
      <c r="HZX80" s="573"/>
      <c r="HZY80" s="573"/>
      <c r="HZZ80" s="573"/>
      <c r="IAA80" s="573"/>
      <c r="IAB80" s="573"/>
      <c r="IAC80" s="573"/>
      <c r="IAD80" s="573"/>
      <c r="IAE80" s="573"/>
      <c r="IAF80" s="573"/>
      <c r="IAG80" s="573"/>
      <c r="IAH80" s="573"/>
      <c r="IAI80" s="573"/>
      <c r="IAJ80" s="573"/>
      <c r="IAK80" s="573"/>
      <c r="IAL80" s="573"/>
      <c r="IAM80" s="573"/>
      <c r="IAN80" s="573"/>
      <c r="IAO80" s="573"/>
      <c r="IAP80" s="573"/>
      <c r="IAQ80" s="573"/>
      <c r="IAR80" s="573"/>
      <c r="IAS80" s="573"/>
      <c r="IAT80" s="573"/>
      <c r="IAU80" s="573"/>
      <c r="IAV80" s="573"/>
      <c r="IAW80" s="573"/>
      <c r="IAX80" s="573"/>
      <c r="IAY80" s="573"/>
      <c r="IAZ80" s="573"/>
      <c r="IBA80" s="573"/>
      <c r="IBB80" s="573"/>
      <c r="IBC80" s="573"/>
      <c r="IBD80" s="573"/>
      <c r="IBE80" s="573"/>
      <c r="IBF80" s="573"/>
      <c r="IBG80" s="573"/>
      <c r="IBH80" s="573"/>
      <c r="IBI80" s="573"/>
      <c r="IBJ80" s="573"/>
      <c r="IBK80" s="573"/>
      <c r="IBL80" s="573"/>
      <c r="IBM80" s="573"/>
      <c r="IBN80" s="573"/>
      <c r="IBO80" s="573"/>
      <c r="IBP80" s="573"/>
      <c r="IBQ80" s="573"/>
      <c r="IBR80" s="573"/>
      <c r="IBS80" s="573"/>
      <c r="IBT80" s="573"/>
      <c r="IBU80" s="573"/>
      <c r="IBV80" s="573"/>
      <c r="IBW80" s="573"/>
      <c r="IBX80" s="573"/>
      <c r="IBY80" s="573"/>
      <c r="IBZ80" s="573"/>
      <c r="ICA80" s="573"/>
      <c r="ICB80" s="573"/>
      <c r="ICC80" s="573"/>
      <c r="ICD80" s="573"/>
      <c r="ICE80" s="573"/>
      <c r="ICF80" s="573"/>
      <c r="ICG80" s="573"/>
      <c r="ICH80" s="573"/>
      <c r="ICI80" s="573"/>
      <c r="ICJ80" s="573"/>
      <c r="ICK80" s="573"/>
      <c r="ICL80" s="573"/>
      <c r="ICM80" s="573"/>
      <c r="ICN80" s="573"/>
      <c r="ICO80" s="573"/>
      <c r="ICP80" s="573"/>
      <c r="ICQ80" s="573"/>
      <c r="ICR80" s="573"/>
      <c r="ICS80" s="573"/>
      <c r="ICT80" s="573"/>
      <c r="ICU80" s="573"/>
      <c r="ICV80" s="573"/>
      <c r="ICW80" s="573"/>
      <c r="ICX80" s="573"/>
      <c r="ICY80" s="573"/>
      <c r="ICZ80" s="573"/>
      <c r="IDA80" s="573"/>
      <c r="IDB80" s="573"/>
      <c r="IDC80" s="573"/>
      <c r="IDD80" s="573"/>
      <c r="IDE80" s="573"/>
      <c r="IDF80" s="573"/>
      <c r="IDG80" s="573"/>
      <c r="IDH80" s="573"/>
      <c r="IDI80" s="573"/>
      <c r="IDJ80" s="573"/>
      <c r="IDK80" s="573"/>
      <c r="IDL80" s="573"/>
      <c r="IDM80" s="573"/>
      <c r="IDN80" s="573"/>
      <c r="IDO80" s="573"/>
      <c r="IDP80" s="573"/>
      <c r="IDQ80" s="573"/>
      <c r="IDR80" s="573"/>
      <c r="IDS80" s="573"/>
      <c r="IDT80" s="573"/>
      <c r="IDU80" s="573"/>
      <c r="IDV80" s="573"/>
      <c r="IDW80" s="573"/>
      <c r="IDX80" s="573"/>
      <c r="IDY80" s="573"/>
      <c r="IDZ80" s="573"/>
      <c r="IEA80" s="573"/>
      <c r="IEB80" s="573"/>
      <c r="IEC80" s="573"/>
      <c r="IED80" s="573"/>
      <c r="IEE80" s="573"/>
      <c r="IEF80" s="573"/>
      <c r="IEG80" s="573"/>
      <c r="IEH80" s="573"/>
      <c r="IEI80" s="573"/>
      <c r="IEJ80" s="573"/>
      <c r="IEK80" s="573"/>
      <c r="IEL80" s="573"/>
      <c r="IEM80" s="573"/>
      <c r="IEN80" s="573"/>
      <c r="IEO80" s="573"/>
      <c r="IEP80" s="573"/>
      <c r="IEQ80" s="573"/>
      <c r="IER80" s="573"/>
      <c r="IES80" s="573"/>
      <c r="IET80" s="573"/>
      <c r="IEU80" s="573"/>
      <c r="IEV80" s="573"/>
      <c r="IEW80" s="573"/>
      <c r="IEX80" s="573"/>
      <c r="IEY80" s="573"/>
      <c r="IEZ80" s="573"/>
      <c r="IFA80" s="573"/>
      <c r="IFB80" s="573"/>
      <c r="IFC80" s="573"/>
      <c r="IFD80" s="573"/>
      <c r="IFE80" s="573"/>
      <c r="IFF80" s="573"/>
      <c r="IFG80" s="573"/>
      <c r="IFH80" s="573"/>
      <c r="IFI80" s="573"/>
      <c r="IFJ80" s="573"/>
      <c r="IFK80" s="573"/>
      <c r="IFL80" s="573"/>
      <c r="IFM80" s="573"/>
      <c r="IFN80" s="573"/>
      <c r="IFO80" s="573"/>
      <c r="IFP80" s="573"/>
      <c r="IFQ80" s="573"/>
      <c r="IFR80" s="573"/>
      <c r="IFS80" s="573"/>
      <c r="IFT80" s="573"/>
      <c r="IFU80" s="573"/>
      <c r="IFV80" s="573"/>
      <c r="IFW80" s="573"/>
      <c r="IFX80" s="573"/>
      <c r="IFY80" s="573"/>
      <c r="IFZ80" s="573"/>
      <c r="IGA80" s="573"/>
      <c r="IGB80" s="573"/>
      <c r="IGC80" s="573"/>
      <c r="IGD80" s="573"/>
      <c r="IGE80" s="573"/>
      <c r="IGF80" s="573"/>
      <c r="IGG80" s="573"/>
      <c r="IGH80" s="573"/>
      <c r="IGI80" s="573"/>
      <c r="IGJ80" s="573"/>
      <c r="IGK80" s="573"/>
      <c r="IGL80" s="573"/>
      <c r="IGM80" s="573"/>
      <c r="IGN80" s="573"/>
      <c r="IGO80" s="573"/>
      <c r="IGP80" s="573"/>
      <c r="IGQ80" s="573"/>
      <c r="IGR80" s="573"/>
      <c r="IGS80" s="573"/>
      <c r="IGT80" s="573"/>
      <c r="IGU80" s="573"/>
      <c r="IGV80" s="573"/>
      <c r="IGW80" s="573"/>
      <c r="IGX80" s="573"/>
      <c r="IGY80" s="573"/>
      <c r="IGZ80" s="573"/>
      <c r="IHA80" s="573"/>
      <c r="IHB80" s="573"/>
      <c r="IHC80" s="573"/>
      <c r="IHD80" s="573"/>
      <c r="IHE80" s="573"/>
      <c r="IHF80" s="573"/>
      <c r="IHG80" s="573"/>
      <c r="IHH80" s="573"/>
      <c r="IHI80" s="573"/>
      <c r="IHJ80" s="573"/>
      <c r="IHK80" s="573"/>
      <c r="IHL80" s="573"/>
      <c r="IHM80" s="573"/>
      <c r="IHN80" s="573"/>
      <c r="IHO80" s="573"/>
      <c r="IHP80" s="573"/>
      <c r="IHQ80" s="573"/>
      <c r="IHR80" s="573"/>
      <c r="IHS80" s="573"/>
      <c r="IHT80" s="573"/>
      <c r="IHU80" s="573"/>
      <c r="IHV80" s="573"/>
      <c r="IHW80" s="573"/>
      <c r="IHX80" s="573"/>
      <c r="IHY80" s="573"/>
      <c r="IHZ80" s="573"/>
      <c r="IIA80" s="573"/>
      <c r="IIB80" s="573"/>
      <c r="IIC80" s="573"/>
      <c r="IID80" s="573"/>
      <c r="IIE80" s="573"/>
      <c r="IIF80" s="573"/>
      <c r="IIG80" s="573"/>
      <c r="IIH80" s="573"/>
      <c r="III80" s="573"/>
      <c r="IIJ80" s="573"/>
      <c r="IIK80" s="573"/>
      <c r="IIL80" s="573"/>
      <c r="IIM80" s="573"/>
      <c r="IIN80" s="573"/>
      <c r="IIO80" s="573"/>
      <c r="IIP80" s="573"/>
      <c r="IIQ80" s="573"/>
      <c r="IIR80" s="573"/>
      <c r="IIS80" s="573"/>
      <c r="IIT80" s="573"/>
      <c r="IIU80" s="573"/>
      <c r="IIV80" s="573"/>
      <c r="IIW80" s="573"/>
      <c r="IIX80" s="573"/>
      <c r="IIY80" s="573"/>
      <c r="IIZ80" s="573"/>
      <c r="IJA80" s="573"/>
      <c r="IJB80" s="573"/>
      <c r="IJC80" s="573"/>
      <c r="IJD80" s="573"/>
      <c r="IJE80" s="573"/>
      <c r="IJF80" s="573"/>
      <c r="IJG80" s="573"/>
      <c r="IJH80" s="573"/>
      <c r="IJI80" s="573"/>
      <c r="IJJ80" s="573"/>
      <c r="IJK80" s="573"/>
      <c r="IJL80" s="573"/>
      <c r="IJM80" s="573"/>
      <c r="IJN80" s="573"/>
      <c r="IJO80" s="573"/>
      <c r="IJP80" s="573"/>
      <c r="IJQ80" s="573"/>
      <c r="IJR80" s="573"/>
      <c r="IJS80" s="573"/>
      <c r="IJT80" s="573"/>
      <c r="IJU80" s="573"/>
      <c r="IJV80" s="573"/>
      <c r="IJW80" s="573"/>
      <c r="IJX80" s="573"/>
      <c r="IJY80" s="573"/>
      <c r="IJZ80" s="573"/>
      <c r="IKA80" s="573"/>
      <c r="IKB80" s="573"/>
      <c r="IKC80" s="573"/>
      <c r="IKD80" s="573"/>
      <c r="IKE80" s="573"/>
      <c r="IKF80" s="573"/>
      <c r="IKG80" s="573"/>
      <c r="IKH80" s="573"/>
      <c r="IKI80" s="573"/>
      <c r="IKJ80" s="573"/>
      <c r="IKK80" s="573"/>
      <c r="IKL80" s="573"/>
      <c r="IKM80" s="573"/>
      <c r="IKN80" s="573"/>
      <c r="IKO80" s="573"/>
      <c r="IKP80" s="573"/>
      <c r="IKQ80" s="573"/>
      <c r="IKR80" s="573"/>
      <c r="IKS80" s="573"/>
      <c r="IKT80" s="573"/>
      <c r="IKU80" s="573"/>
      <c r="IKV80" s="573"/>
      <c r="IKW80" s="573"/>
      <c r="IKX80" s="573"/>
      <c r="IKY80" s="573"/>
      <c r="IKZ80" s="573"/>
      <c r="ILA80" s="573"/>
      <c r="ILB80" s="573"/>
      <c r="ILC80" s="573"/>
      <c r="ILD80" s="573"/>
      <c r="ILE80" s="573"/>
      <c r="ILF80" s="573"/>
      <c r="ILG80" s="573"/>
      <c r="ILH80" s="573"/>
      <c r="ILI80" s="573"/>
      <c r="ILJ80" s="573"/>
      <c r="ILK80" s="573"/>
      <c r="ILL80" s="573"/>
      <c r="ILM80" s="573"/>
      <c r="ILN80" s="573"/>
      <c r="ILO80" s="573"/>
      <c r="ILP80" s="573"/>
      <c r="ILQ80" s="573"/>
      <c r="ILR80" s="573"/>
      <c r="ILS80" s="573"/>
      <c r="ILT80" s="573"/>
      <c r="ILU80" s="573"/>
      <c r="ILV80" s="573"/>
      <c r="ILW80" s="573"/>
      <c r="ILX80" s="573"/>
      <c r="ILY80" s="573"/>
      <c r="ILZ80" s="573"/>
      <c r="IMA80" s="573"/>
      <c r="IMB80" s="573"/>
      <c r="IMC80" s="573"/>
      <c r="IMD80" s="573"/>
      <c r="IME80" s="573"/>
      <c r="IMF80" s="573"/>
      <c r="IMG80" s="573"/>
      <c r="IMH80" s="573"/>
      <c r="IMI80" s="573"/>
      <c r="IMJ80" s="573"/>
      <c r="IMK80" s="573"/>
      <c r="IML80" s="573"/>
      <c r="IMM80" s="573"/>
      <c r="IMN80" s="573"/>
      <c r="IMO80" s="573"/>
      <c r="IMP80" s="573"/>
      <c r="IMQ80" s="573"/>
      <c r="IMR80" s="573"/>
      <c r="IMS80" s="573"/>
      <c r="IMT80" s="573"/>
      <c r="IMU80" s="573"/>
      <c r="IMV80" s="573"/>
      <c r="IMW80" s="573"/>
      <c r="IMX80" s="573"/>
      <c r="IMY80" s="573"/>
      <c r="IMZ80" s="573"/>
      <c r="INA80" s="573"/>
      <c r="INB80" s="573"/>
      <c r="INC80" s="573"/>
      <c r="IND80" s="573"/>
      <c r="INE80" s="573"/>
      <c r="INF80" s="573"/>
      <c r="ING80" s="573"/>
      <c r="INH80" s="573"/>
      <c r="INI80" s="573"/>
      <c r="INJ80" s="573"/>
      <c r="INK80" s="573"/>
      <c r="INL80" s="573"/>
      <c r="INM80" s="573"/>
      <c r="INN80" s="573"/>
      <c r="INO80" s="573"/>
      <c r="INP80" s="573"/>
      <c r="INQ80" s="573"/>
      <c r="INR80" s="573"/>
      <c r="INS80" s="573"/>
      <c r="INT80" s="573"/>
      <c r="INU80" s="573"/>
      <c r="INV80" s="573"/>
      <c r="INW80" s="573"/>
      <c r="INX80" s="573"/>
      <c r="INY80" s="573"/>
      <c r="INZ80" s="573"/>
      <c r="IOA80" s="573"/>
      <c r="IOB80" s="573"/>
      <c r="IOC80" s="573"/>
      <c r="IOD80" s="573"/>
      <c r="IOE80" s="573"/>
      <c r="IOF80" s="573"/>
      <c r="IOG80" s="573"/>
      <c r="IOH80" s="573"/>
      <c r="IOI80" s="573"/>
      <c r="IOJ80" s="573"/>
      <c r="IOK80" s="573"/>
      <c r="IOL80" s="573"/>
      <c r="IOM80" s="573"/>
      <c r="ION80" s="573"/>
      <c r="IOO80" s="573"/>
      <c r="IOP80" s="573"/>
      <c r="IOQ80" s="573"/>
      <c r="IOR80" s="573"/>
      <c r="IOS80" s="573"/>
      <c r="IOT80" s="573"/>
      <c r="IOU80" s="573"/>
      <c r="IOV80" s="573"/>
      <c r="IOW80" s="573"/>
      <c r="IOX80" s="573"/>
      <c r="IOY80" s="573"/>
      <c r="IOZ80" s="573"/>
      <c r="IPA80" s="573"/>
      <c r="IPB80" s="573"/>
      <c r="IPC80" s="573"/>
      <c r="IPD80" s="573"/>
      <c r="IPE80" s="573"/>
      <c r="IPF80" s="573"/>
      <c r="IPG80" s="573"/>
      <c r="IPH80" s="573"/>
      <c r="IPI80" s="573"/>
      <c r="IPJ80" s="573"/>
      <c r="IPK80" s="573"/>
      <c r="IPL80" s="573"/>
      <c r="IPM80" s="573"/>
      <c r="IPN80" s="573"/>
      <c r="IPO80" s="573"/>
      <c r="IPP80" s="573"/>
      <c r="IPQ80" s="573"/>
      <c r="IPR80" s="573"/>
      <c r="IPS80" s="573"/>
      <c r="IPT80" s="573"/>
      <c r="IPU80" s="573"/>
      <c r="IPV80" s="573"/>
      <c r="IPW80" s="573"/>
      <c r="IPX80" s="573"/>
      <c r="IPY80" s="573"/>
      <c r="IPZ80" s="573"/>
      <c r="IQA80" s="573"/>
      <c r="IQB80" s="573"/>
      <c r="IQC80" s="573"/>
      <c r="IQD80" s="573"/>
      <c r="IQE80" s="573"/>
      <c r="IQF80" s="573"/>
      <c r="IQG80" s="573"/>
      <c r="IQH80" s="573"/>
      <c r="IQI80" s="573"/>
      <c r="IQJ80" s="573"/>
      <c r="IQK80" s="573"/>
      <c r="IQL80" s="573"/>
      <c r="IQM80" s="573"/>
      <c r="IQN80" s="573"/>
      <c r="IQO80" s="573"/>
      <c r="IQP80" s="573"/>
      <c r="IQQ80" s="573"/>
      <c r="IQR80" s="573"/>
      <c r="IQS80" s="573"/>
      <c r="IQT80" s="573"/>
      <c r="IQU80" s="573"/>
      <c r="IQV80" s="573"/>
      <c r="IQW80" s="573"/>
      <c r="IQX80" s="573"/>
      <c r="IQY80" s="573"/>
      <c r="IQZ80" s="573"/>
      <c r="IRA80" s="573"/>
      <c r="IRB80" s="573"/>
      <c r="IRC80" s="573"/>
      <c r="IRD80" s="573"/>
      <c r="IRE80" s="573"/>
      <c r="IRF80" s="573"/>
      <c r="IRG80" s="573"/>
      <c r="IRH80" s="573"/>
      <c r="IRI80" s="573"/>
      <c r="IRJ80" s="573"/>
      <c r="IRK80" s="573"/>
      <c r="IRL80" s="573"/>
      <c r="IRM80" s="573"/>
      <c r="IRN80" s="573"/>
      <c r="IRO80" s="573"/>
      <c r="IRP80" s="573"/>
      <c r="IRQ80" s="573"/>
      <c r="IRR80" s="573"/>
      <c r="IRS80" s="573"/>
      <c r="IRT80" s="573"/>
      <c r="IRU80" s="573"/>
      <c r="IRV80" s="573"/>
      <c r="IRW80" s="573"/>
      <c r="IRX80" s="573"/>
      <c r="IRY80" s="573"/>
      <c r="IRZ80" s="573"/>
      <c r="ISA80" s="573"/>
      <c r="ISB80" s="573"/>
      <c r="ISC80" s="573"/>
      <c r="ISD80" s="573"/>
      <c r="ISE80" s="573"/>
      <c r="ISF80" s="573"/>
      <c r="ISG80" s="573"/>
      <c r="ISH80" s="573"/>
      <c r="ISI80" s="573"/>
      <c r="ISJ80" s="573"/>
      <c r="ISK80" s="573"/>
      <c r="ISL80" s="573"/>
      <c r="ISM80" s="573"/>
      <c r="ISN80" s="573"/>
      <c r="ISO80" s="573"/>
      <c r="ISP80" s="573"/>
      <c r="ISQ80" s="573"/>
      <c r="ISR80" s="573"/>
      <c r="ISS80" s="573"/>
      <c r="IST80" s="573"/>
      <c r="ISU80" s="573"/>
      <c r="ISV80" s="573"/>
      <c r="ISW80" s="573"/>
      <c r="ISX80" s="573"/>
      <c r="ISY80" s="573"/>
      <c r="ISZ80" s="573"/>
      <c r="ITA80" s="573"/>
      <c r="ITB80" s="573"/>
      <c r="ITC80" s="573"/>
      <c r="ITD80" s="573"/>
      <c r="ITE80" s="573"/>
      <c r="ITF80" s="573"/>
      <c r="ITG80" s="573"/>
      <c r="ITH80" s="573"/>
      <c r="ITI80" s="573"/>
      <c r="ITJ80" s="573"/>
      <c r="ITK80" s="573"/>
      <c r="ITL80" s="573"/>
      <c r="ITM80" s="573"/>
      <c r="ITN80" s="573"/>
      <c r="ITO80" s="573"/>
      <c r="ITP80" s="573"/>
      <c r="ITQ80" s="573"/>
      <c r="ITR80" s="573"/>
      <c r="ITS80" s="573"/>
      <c r="ITT80" s="573"/>
      <c r="ITU80" s="573"/>
      <c r="ITV80" s="573"/>
      <c r="ITW80" s="573"/>
      <c r="ITX80" s="573"/>
      <c r="ITY80" s="573"/>
      <c r="ITZ80" s="573"/>
      <c r="IUA80" s="573"/>
      <c r="IUB80" s="573"/>
      <c r="IUC80" s="573"/>
      <c r="IUD80" s="573"/>
      <c r="IUE80" s="573"/>
      <c r="IUF80" s="573"/>
      <c r="IUG80" s="573"/>
      <c r="IUH80" s="573"/>
      <c r="IUI80" s="573"/>
      <c r="IUJ80" s="573"/>
      <c r="IUK80" s="573"/>
      <c r="IUL80" s="573"/>
      <c r="IUM80" s="573"/>
      <c r="IUN80" s="573"/>
      <c r="IUO80" s="573"/>
      <c r="IUP80" s="573"/>
      <c r="IUQ80" s="573"/>
      <c r="IUR80" s="573"/>
      <c r="IUS80" s="573"/>
      <c r="IUT80" s="573"/>
      <c r="IUU80" s="573"/>
      <c r="IUV80" s="573"/>
      <c r="IUW80" s="573"/>
      <c r="IUX80" s="573"/>
      <c r="IUY80" s="573"/>
      <c r="IUZ80" s="573"/>
      <c r="IVA80" s="573"/>
      <c r="IVB80" s="573"/>
      <c r="IVC80" s="573"/>
      <c r="IVD80" s="573"/>
      <c r="IVE80" s="573"/>
      <c r="IVF80" s="573"/>
      <c r="IVG80" s="573"/>
      <c r="IVH80" s="573"/>
      <c r="IVI80" s="573"/>
      <c r="IVJ80" s="573"/>
      <c r="IVK80" s="573"/>
      <c r="IVL80" s="573"/>
      <c r="IVM80" s="573"/>
      <c r="IVN80" s="573"/>
      <c r="IVO80" s="573"/>
      <c r="IVP80" s="573"/>
      <c r="IVQ80" s="573"/>
      <c r="IVR80" s="573"/>
      <c r="IVS80" s="573"/>
      <c r="IVT80" s="573"/>
      <c r="IVU80" s="573"/>
      <c r="IVV80" s="573"/>
      <c r="IVW80" s="573"/>
      <c r="IVX80" s="573"/>
      <c r="IVY80" s="573"/>
      <c r="IVZ80" s="573"/>
      <c r="IWA80" s="573"/>
      <c r="IWB80" s="573"/>
      <c r="IWC80" s="573"/>
      <c r="IWD80" s="573"/>
      <c r="IWE80" s="573"/>
      <c r="IWF80" s="573"/>
      <c r="IWG80" s="573"/>
      <c r="IWH80" s="573"/>
      <c r="IWI80" s="573"/>
      <c r="IWJ80" s="573"/>
      <c r="IWK80" s="573"/>
      <c r="IWL80" s="573"/>
      <c r="IWM80" s="573"/>
      <c r="IWN80" s="573"/>
      <c r="IWO80" s="573"/>
      <c r="IWP80" s="573"/>
      <c r="IWQ80" s="573"/>
      <c r="IWR80" s="573"/>
      <c r="IWS80" s="573"/>
      <c r="IWT80" s="573"/>
      <c r="IWU80" s="573"/>
      <c r="IWV80" s="573"/>
      <c r="IWW80" s="573"/>
      <c r="IWX80" s="573"/>
      <c r="IWY80" s="573"/>
      <c r="IWZ80" s="573"/>
      <c r="IXA80" s="573"/>
      <c r="IXB80" s="573"/>
      <c r="IXC80" s="573"/>
      <c r="IXD80" s="573"/>
      <c r="IXE80" s="573"/>
      <c r="IXF80" s="573"/>
      <c r="IXG80" s="573"/>
      <c r="IXH80" s="573"/>
      <c r="IXI80" s="573"/>
      <c r="IXJ80" s="573"/>
      <c r="IXK80" s="573"/>
      <c r="IXL80" s="573"/>
      <c r="IXM80" s="573"/>
      <c r="IXN80" s="573"/>
      <c r="IXO80" s="573"/>
      <c r="IXP80" s="573"/>
      <c r="IXQ80" s="573"/>
      <c r="IXR80" s="573"/>
      <c r="IXS80" s="573"/>
      <c r="IXT80" s="573"/>
      <c r="IXU80" s="573"/>
      <c r="IXV80" s="573"/>
      <c r="IXW80" s="573"/>
      <c r="IXX80" s="573"/>
      <c r="IXY80" s="573"/>
      <c r="IXZ80" s="573"/>
      <c r="IYA80" s="573"/>
      <c r="IYB80" s="573"/>
      <c r="IYC80" s="573"/>
      <c r="IYD80" s="573"/>
      <c r="IYE80" s="573"/>
      <c r="IYF80" s="573"/>
      <c r="IYG80" s="573"/>
      <c r="IYH80" s="573"/>
      <c r="IYI80" s="573"/>
      <c r="IYJ80" s="573"/>
      <c r="IYK80" s="573"/>
      <c r="IYL80" s="573"/>
      <c r="IYM80" s="573"/>
      <c r="IYN80" s="573"/>
      <c r="IYO80" s="573"/>
      <c r="IYP80" s="573"/>
      <c r="IYQ80" s="573"/>
      <c r="IYR80" s="573"/>
      <c r="IYS80" s="573"/>
      <c r="IYT80" s="573"/>
      <c r="IYU80" s="573"/>
      <c r="IYV80" s="573"/>
      <c r="IYW80" s="573"/>
      <c r="IYX80" s="573"/>
      <c r="IYY80" s="573"/>
      <c r="IYZ80" s="573"/>
      <c r="IZA80" s="573"/>
      <c r="IZB80" s="573"/>
      <c r="IZC80" s="573"/>
      <c r="IZD80" s="573"/>
      <c r="IZE80" s="573"/>
      <c r="IZF80" s="573"/>
      <c r="IZG80" s="573"/>
      <c r="IZH80" s="573"/>
      <c r="IZI80" s="573"/>
      <c r="IZJ80" s="573"/>
      <c r="IZK80" s="573"/>
      <c r="IZL80" s="573"/>
      <c r="IZM80" s="573"/>
      <c r="IZN80" s="573"/>
      <c r="IZO80" s="573"/>
      <c r="IZP80" s="573"/>
      <c r="IZQ80" s="573"/>
      <c r="IZR80" s="573"/>
      <c r="IZS80" s="573"/>
      <c r="IZT80" s="573"/>
      <c r="IZU80" s="573"/>
      <c r="IZV80" s="573"/>
      <c r="IZW80" s="573"/>
      <c r="IZX80" s="573"/>
      <c r="IZY80" s="573"/>
      <c r="IZZ80" s="573"/>
      <c r="JAA80" s="573"/>
      <c r="JAB80" s="573"/>
      <c r="JAC80" s="573"/>
      <c r="JAD80" s="573"/>
      <c r="JAE80" s="573"/>
      <c r="JAF80" s="573"/>
      <c r="JAG80" s="573"/>
      <c r="JAH80" s="573"/>
      <c r="JAI80" s="573"/>
      <c r="JAJ80" s="573"/>
      <c r="JAK80" s="573"/>
      <c r="JAL80" s="573"/>
      <c r="JAM80" s="573"/>
      <c r="JAN80" s="573"/>
      <c r="JAO80" s="573"/>
      <c r="JAP80" s="573"/>
      <c r="JAQ80" s="573"/>
      <c r="JAR80" s="573"/>
      <c r="JAS80" s="573"/>
      <c r="JAT80" s="573"/>
      <c r="JAU80" s="573"/>
      <c r="JAV80" s="573"/>
      <c r="JAW80" s="573"/>
      <c r="JAX80" s="573"/>
      <c r="JAY80" s="573"/>
      <c r="JAZ80" s="573"/>
      <c r="JBA80" s="573"/>
      <c r="JBB80" s="573"/>
      <c r="JBC80" s="573"/>
      <c r="JBD80" s="573"/>
      <c r="JBE80" s="573"/>
      <c r="JBF80" s="573"/>
      <c r="JBG80" s="573"/>
      <c r="JBH80" s="573"/>
      <c r="JBI80" s="573"/>
      <c r="JBJ80" s="573"/>
      <c r="JBK80" s="573"/>
      <c r="JBL80" s="573"/>
      <c r="JBM80" s="573"/>
      <c r="JBN80" s="573"/>
      <c r="JBO80" s="573"/>
      <c r="JBP80" s="573"/>
      <c r="JBQ80" s="573"/>
      <c r="JBR80" s="573"/>
      <c r="JBS80" s="573"/>
      <c r="JBT80" s="573"/>
      <c r="JBU80" s="573"/>
      <c r="JBV80" s="573"/>
      <c r="JBW80" s="573"/>
      <c r="JBX80" s="573"/>
      <c r="JBY80" s="573"/>
      <c r="JBZ80" s="573"/>
      <c r="JCA80" s="573"/>
      <c r="JCB80" s="573"/>
      <c r="JCC80" s="573"/>
      <c r="JCD80" s="573"/>
      <c r="JCE80" s="573"/>
      <c r="JCF80" s="573"/>
      <c r="JCG80" s="573"/>
      <c r="JCH80" s="573"/>
      <c r="JCI80" s="573"/>
      <c r="JCJ80" s="573"/>
      <c r="JCK80" s="573"/>
      <c r="JCL80" s="573"/>
      <c r="JCM80" s="573"/>
      <c r="JCN80" s="573"/>
      <c r="JCO80" s="573"/>
      <c r="JCP80" s="573"/>
      <c r="JCQ80" s="573"/>
      <c r="JCR80" s="573"/>
      <c r="JCS80" s="573"/>
      <c r="JCT80" s="573"/>
      <c r="JCU80" s="573"/>
      <c r="JCV80" s="573"/>
      <c r="JCW80" s="573"/>
      <c r="JCX80" s="573"/>
      <c r="JCY80" s="573"/>
      <c r="JCZ80" s="573"/>
      <c r="JDA80" s="573"/>
      <c r="JDB80" s="573"/>
      <c r="JDC80" s="573"/>
      <c r="JDD80" s="573"/>
      <c r="JDE80" s="573"/>
      <c r="JDF80" s="573"/>
      <c r="JDG80" s="573"/>
      <c r="JDH80" s="573"/>
      <c r="JDI80" s="573"/>
      <c r="JDJ80" s="573"/>
      <c r="JDK80" s="573"/>
      <c r="JDL80" s="573"/>
      <c r="JDM80" s="573"/>
      <c r="JDN80" s="573"/>
      <c r="JDO80" s="573"/>
      <c r="JDP80" s="573"/>
      <c r="JDQ80" s="573"/>
      <c r="JDR80" s="573"/>
      <c r="JDS80" s="573"/>
      <c r="JDT80" s="573"/>
      <c r="JDU80" s="573"/>
      <c r="JDV80" s="573"/>
      <c r="JDW80" s="573"/>
      <c r="JDX80" s="573"/>
      <c r="JDY80" s="573"/>
      <c r="JDZ80" s="573"/>
      <c r="JEA80" s="573"/>
      <c r="JEB80" s="573"/>
      <c r="JEC80" s="573"/>
      <c r="JED80" s="573"/>
      <c r="JEE80" s="573"/>
      <c r="JEF80" s="573"/>
      <c r="JEG80" s="573"/>
      <c r="JEH80" s="573"/>
      <c r="JEI80" s="573"/>
      <c r="JEJ80" s="573"/>
      <c r="JEK80" s="573"/>
      <c r="JEL80" s="573"/>
      <c r="JEM80" s="573"/>
      <c r="JEN80" s="573"/>
      <c r="JEO80" s="573"/>
      <c r="JEP80" s="573"/>
      <c r="JEQ80" s="573"/>
      <c r="JER80" s="573"/>
      <c r="JES80" s="573"/>
      <c r="JET80" s="573"/>
      <c r="JEU80" s="573"/>
      <c r="JEV80" s="573"/>
      <c r="JEW80" s="573"/>
      <c r="JEX80" s="573"/>
      <c r="JEY80" s="573"/>
      <c r="JEZ80" s="573"/>
      <c r="JFA80" s="573"/>
      <c r="JFB80" s="573"/>
      <c r="JFC80" s="573"/>
      <c r="JFD80" s="573"/>
      <c r="JFE80" s="573"/>
      <c r="JFF80" s="573"/>
      <c r="JFG80" s="573"/>
      <c r="JFH80" s="573"/>
      <c r="JFI80" s="573"/>
      <c r="JFJ80" s="573"/>
      <c r="JFK80" s="573"/>
      <c r="JFL80" s="573"/>
      <c r="JFM80" s="573"/>
      <c r="JFN80" s="573"/>
      <c r="JFO80" s="573"/>
      <c r="JFP80" s="573"/>
      <c r="JFQ80" s="573"/>
      <c r="JFR80" s="573"/>
      <c r="JFS80" s="573"/>
      <c r="JFT80" s="573"/>
      <c r="JFU80" s="573"/>
      <c r="JFV80" s="573"/>
      <c r="JFW80" s="573"/>
      <c r="JFX80" s="573"/>
      <c r="JFY80" s="573"/>
      <c r="JFZ80" s="573"/>
      <c r="JGA80" s="573"/>
      <c r="JGB80" s="573"/>
      <c r="JGC80" s="573"/>
      <c r="JGD80" s="573"/>
      <c r="JGE80" s="573"/>
      <c r="JGF80" s="573"/>
      <c r="JGG80" s="573"/>
      <c r="JGH80" s="573"/>
      <c r="JGI80" s="573"/>
      <c r="JGJ80" s="573"/>
      <c r="JGK80" s="573"/>
      <c r="JGL80" s="573"/>
      <c r="JGM80" s="573"/>
      <c r="JGN80" s="573"/>
      <c r="JGO80" s="573"/>
      <c r="JGP80" s="573"/>
      <c r="JGQ80" s="573"/>
      <c r="JGR80" s="573"/>
      <c r="JGS80" s="573"/>
      <c r="JGT80" s="573"/>
      <c r="JGU80" s="573"/>
      <c r="JGV80" s="573"/>
      <c r="JGW80" s="573"/>
      <c r="JGX80" s="573"/>
      <c r="JGY80" s="573"/>
      <c r="JGZ80" s="573"/>
      <c r="JHA80" s="573"/>
      <c r="JHB80" s="573"/>
      <c r="JHC80" s="573"/>
      <c r="JHD80" s="573"/>
      <c r="JHE80" s="573"/>
      <c r="JHF80" s="573"/>
      <c r="JHG80" s="573"/>
      <c r="JHH80" s="573"/>
      <c r="JHI80" s="573"/>
      <c r="JHJ80" s="573"/>
      <c r="JHK80" s="573"/>
      <c r="JHL80" s="573"/>
      <c r="JHM80" s="573"/>
      <c r="JHN80" s="573"/>
      <c r="JHO80" s="573"/>
      <c r="JHP80" s="573"/>
      <c r="JHQ80" s="573"/>
      <c r="JHR80" s="573"/>
      <c r="JHS80" s="573"/>
      <c r="JHT80" s="573"/>
      <c r="JHU80" s="573"/>
      <c r="JHV80" s="573"/>
      <c r="JHW80" s="573"/>
      <c r="JHX80" s="573"/>
      <c r="JHY80" s="573"/>
      <c r="JHZ80" s="573"/>
      <c r="JIA80" s="573"/>
      <c r="JIB80" s="573"/>
      <c r="JIC80" s="573"/>
      <c r="JID80" s="573"/>
      <c r="JIE80" s="573"/>
      <c r="JIF80" s="573"/>
      <c r="JIG80" s="573"/>
      <c r="JIH80" s="573"/>
      <c r="JII80" s="573"/>
      <c r="JIJ80" s="573"/>
      <c r="JIK80" s="573"/>
      <c r="JIL80" s="573"/>
      <c r="JIM80" s="573"/>
      <c r="JIN80" s="573"/>
      <c r="JIO80" s="573"/>
      <c r="JIP80" s="573"/>
      <c r="JIQ80" s="573"/>
      <c r="JIR80" s="573"/>
      <c r="JIS80" s="573"/>
      <c r="JIT80" s="573"/>
      <c r="JIU80" s="573"/>
      <c r="JIV80" s="573"/>
      <c r="JIW80" s="573"/>
      <c r="JIX80" s="573"/>
      <c r="JIY80" s="573"/>
      <c r="JIZ80" s="573"/>
      <c r="JJA80" s="573"/>
      <c r="JJB80" s="573"/>
      <c r="JJC80" s="573"/>
      <c r="JJD80" s="573"/>
      <c r="JJE80" s="573"/>
      <c r="JJF80" s="573"/>
      <c r="JJG80" s="573"/>
      <c r="JJH80" s="573"/>
      <c r="JJI80" s="573"/>
      <c r="JJJ80" s="573"/>
      <c r="JJK80" s="573"/>
      <c r="JJL80" s="573"/>
      <c r="JJM80" s="573"/>
      <c r="JJN80" s="573"/>
      <c r="JJO80" s="573"/>
      <c r="JJP80" s="573"/>
      <c r="JJQ80" s="573"/>
      <c r="JJR80" s="573"/>
      <c r="JJS80" s="573"/>
      <c r="JJT80" s="573"/>
      <c r="JJU80" s="573"/>
      <c r="JJV80" s="573"/>
      <c r="JJW80" s="573"/>
      <c r="JJX80" s="573"/>
      <c r="JJY80" s="573"/>
      <c r="JJZ80" s="573"/>
      <c r="JKA80" s="573"/>
      <c r="JKB80" s="573"/>
      <c r="JKC80" s="573"/>
      <c r="JKD80" s="573"/>
      <c r="JKE80" s="573"/>
      <c r="JKF80" s="573"/>
      <c r="JKG80" s="573"/>
      <c r="JKH80" s="573"/>
      <c r="JKI80" s="573"/>
      <c r="JKJ80" s="573"/>
      <c r="JKK80" s="573"/>
      <c r="JKL80" s="573"/>
      <c r="JKM80" s="573"/>
      <c r="JKN80" s="573"/>
      <c r="JKO80" s="573"/>
      <c r="JKP80" s="573"/>
      <c r="JKQ80" s="573"/>
      <c r="JKR80" s="573"/>
      <c r="JKS80" s="573"/>
      <c r="JKT80" s="573"/>
      <c r="JKU80" s="573"/>
      <c r="JKV80" s="573"/>
      <c r="JKW80" s="573"/>
      <c r="JKX80" s="573"/>
      <c r="JKY80" s="573"/>
      <c r="JKZ80" s="573"/>
      <c r="JLA80" s="573"/>
      <c r="JLB80" s="573"/>
      <c r="JLC80" s="573"/>
      <c r="JLD80" s="573"/>
      <c r="JLE80" s="573"/>
      <c r="JLF80" s="573"/>
      <c r="JLG80" s="573"/>
      <c r="JLH80" s="573"/>
      <c r="JLI80" s="573"/>
      <c r="JLJ80" s="573"/>
      <c r="JLK80" s="573"/>
      <c r="JLL80" s="573"/>
      <c r="JLM80" s="573"/>
      <c r="JLN80" s="573"/>
      <c r="JLO80" s="573"/>
      <c r="JLP80" s="573"/>
      <c r="JLQ80" s="573"/>
      <c r="JLR80" s="573"/>
      <c r="JLS80" s="573"/>
      <c r="JLT80" s="573"/>
      <c r="JLU80" s="573"/>
      <c r="JLV80" s="573"/>
      <c r="JLW80" s="573"/>
      <c r="JLX80" s="573"/>
      <c r="JLY80" s="573"/>
      <c r="JLZ80" s="573"/>
      <c r="JMA80" s="573"/>
      <c r="JMB80" s="573"/>
      <c r="JMC80" s="573"/>
      <c r="JMD80" s="573"/>
      <c r="JME80" s="573"/>
      <c r="JMF80" s="573"/>
      <c r="JMG80" s="573"/>
      <c r="JMH80" s="573"/>
      <c r="JMI80" s="573"/>
      <c r="JMJ80" s="573"/>
      <c r="JMK80" s="573"/>
      <c r="JML80" s="573"/>
      <c r="JMM80" s="573"/>
      <c r="JMN80" s="573"/>
      <c r="JMO80" s="573"/>
      <c r="JMP80" s="573"/>
      <c r="JMQ80" s="573"/>
      <c r="JMR80" s="573"/>
      <c r="JMS80" s="573"/>
      <c r="JMT80" s="573"/>
      <c r="JMU80" s="573"/>
      <c r="JMV80" s="573"/>
      <c r="JMW80" s="573"/>
      <c r="JMX80" s="573"/>
      <c r="JMY80" s="573"/>
      <c r="JMZ80" s="573"/>
      <c r="JNA80" s="573"/>
      <c r="JNB80" s="573"/>
      <c r="JNC80" s="573"/>
      <c r="JND80" s="573"/>
      <c r="JNE80" s="573"/>
      <c r="JNF80" s="573"/>
      <c r="JNG80" s="573"/>
      <c r="JNH80" s="573"/>
      <c r="JNI80" s="573"/>
      <c r="JNJ80" s="573"/>
      <c r="JNK80" s="573"/>
      <c r="JNL80" s="573"/>
      <c r="JNM80" s="573"/>
      <c r="JNN80" s="573"/>
      <c r="JNO80" s="573"/>
      <c r="JNP80" s="573"/>
      <c r="JNQ80" s="573"/>
      <c r="JNR80" s="573"/>
      <c r="JNS80" s="573"/>
      <c r="JNT80" s="573"/>
      <c r="JNU80" s="573"/>
      <c r="JNV80" s="573"/>
      <c r="JNW80" s="573"/>
      <c r="JNX80" s="573"/>
      <c r="JNY80" s="573"/>
      <c r="JNZ80" s="573"/>
      <c r="JOA80" s="573"/>
      <c r="JOB80" s="573"/>
      <c r="JOC80" s="573"/>
      <c r="JOD80" s="573"/>
      <c r="JOE80" s="573"/>
      <c r="JOF80" s="573"/>
      <c r="JOG80" s="573"/>
      <c r="JOH80" s="573"/>
      <c r="JOI80" s="573"/>
      <c r="JOJ80" s="573"/>
      <c r="JOK80" s="573"/>
      <c r="JOL80" s="573"/>
      <c r="JOM80" s="573"/>
      <c r="JON80" s="573"/>
      <c r="JOO80" s="573"/>
      <c r="JOP80" s="573"/>
      <c r="JOQ80" s="573"/>
      <c r="JOR80" s="573"/>
      <c r="JOS80" s="573"/>
      <c r="JOT80" s="573"/>
      <c r="JOU80" s="573"/>
      <c r="JOV80" s="573"/>
      <c r="JOW80" s="573"/>
      <c r="JOX80" s="573"/>
      <c r="JOY80" s="573"/>
      <c r="JOZ80" s="573"/>
      <c r="JPA80" s="573"/>
      <c r="JPB80" s="573"/>
      <c r="JPC80" s="573"/>
      <c r="JPD80" s="573"/>
      <c r="JPE80" s="573"/>
      <c r="JPF80" s="573"/>
      <c r="JPG80" s="573"/>
      <c r="JPH80" s="573"/>
      <c r="JPI80" s="573"/>
      <c r="JPJ80" s="573"/>
      <c r="JPK80" s="573"/>
      <c r="JPL80" s="573"/>
      <c r="JPM80" s="573"/>
      <c r="JPN80" s="573"/>
      <c r="JPO80" s="573"/>
      <c r="JPP80" s="573"/>
      <c r="JPQ80" s="573"/>
      <c r="JPR80" s="573"/>
      <c r="JPS80" s="573"/>
      <c r="JPT80" s="573"/>
      <c r="JPU80" s="573"/>
      <c r="JPV80" s="573"/>
      <c r="JPW80" s="573"/>
      <c r="JPX80" s="573"/>
      <c r="JPY80" s="573"/>
      <c r="JPZ80" s="573"/>
      <c r="JQA80" s="573"/>
      <c r="JQB80" s="573"/>
      <c r="JQC80" s="573"/>
      <c r="JQD80" s="573"/>
      <c r="JQE80" s="573"/>
      <c r="JQF80" s="573"/>
      <c r="JQG80" s="573"/>
      <c r="JQH80" s="573"/>
      <c r="JQI80" s="573"/>
      <c r="JQJ80" s="573"/>
      <c r="JQK80" s="573"/>
      <c r="JQL80" s="573"/>
      <c r="JQM80" s="573"/>
      <c r="JQN80" s="573"/>
      <c r="JQO80" s="573"/>
      <c r="JQP80" s="573"/>
      <c r="JQQ80" s="573"/>
      <c r="JQR80" s="573"/>
      <c r="JQS80" s="573"/>
      <c r="JQT80" s="573"/>
      <c r="JQU80" s="573"/>
      <c r="JQV80" s="573"/>
      <c r="JQW80" s="573"/>
      <c r="JQX80" s="573"/>
      <c r="JQY80" s="573"/>
      <c r="JQZ80" s="573"/>
      <c r="JRA80" s="573"/>
      <c r="JRB80" s="573"/>
      <c r="JRC80" s="573"/>
      <c r="JRD80" s="573"/>
      <c r="JRE80" s="573"/>
      <c r="JRF80" s="573"/>
      <c r="JRG80" s="573"/>
      <c r="JRH80" s="573"/>
      <c r="JRI80" s="573"/>
      <c r="JRJ80" s="573"/>
      <c r="JRK80" s="573"/>
      <c r="JRL80" s="573"/>
      <c r="JRM80" s="573"/>
      <c r="JRN80" s="573"/>
      <c r="JRO80" s="573"/>
      <c r="JRP80" s="573"/>
      <c r="JRQ80" s="573"/>
      <c r="JRR80" s="573"/>
      <c r="JRS80" s="573"/>
      <c r="JRT80" s="573"/>
      <c r="JRU80" s="573"/>
      <c r="JRV80" s="573"/>
      <c r="JRW80" s="573"/>
      <c r="JRX80" s="573"/>
      <c r="JRY80" s="573"/>
      <c r="JRZ80" s="573"/>
      <c r="JSA80" s="573"/>
      <c r="JSB80" s="573"/>
      <c r="JSC80" s="573"/>
      <c r="JSD80" s="573"/>
      <c r="JSE80" s="573"/>
      <c r="JSF80" s="573"/>
      <c r="JSG80" s="573"/>
      <c r="JSH80" s="573"/>
      <c r="JSI80" s="573"/>
      <c r="JSJ80" s="573"/>
      <c r="JSK80" s="573"/>
      <c r="JSL80" s="573"/>
      <c r="JSM80" s="573"/>
      <c r="JSN80" s="573"/>
      <c r="JSO80" s="573"/>
      <c r="JSP80" s="573"/>
      <c r="JSQ80" s="573"/>
      <c r="JSR80" s="573"/>
      <c r="JSS80" s="573"/>
      <c r="JST80" s="573"/>
      <c r="JSU80" s="573"/>
      <c r="JSV80" s="573"/>
      <c r="JSW80" s="573"/>
      <c r="JSX80" s="573"/>
      <c r="JSY80" s="573"/>
      <c r="JSZ80" s="573"/>
      <c r="JTA80" s="573"/>
      <c r="JTB80" s="573"/>
      <c r="JTC80" s="573"/>
      <c r="JTD80" s="573"/>
      <c r="JTE80" s="573"/>
      <c r="JTF80" s="573"/>
      <c r="JTG80" s="573"/>
      <c r="JTH80" s="573"/>
      <c r="JTI80" s="573"/>
      <c r="JTJ80" s="573"/>
      <c r="JTK80" s="573"/>
      <c r="JTL80" s="573"/>
      <c r="JTM80" s="573"/>
      <c r="JTN80" s="573"/>
      <c r="JTO80" s="573"/>
      <c r="JTP80" s="573"/>
      <c r="JTQ80" s="573"/>
      <c r="JTR80" s="573"/>
      <c r="JTS80" s="573"/>
      <c r="JTT80" s="573"/>
      <c r="JTU80" s="573"/>
      <c r="JTV80" s="573"/>
      <c r="JTW80" s="573"/>
      <c r="JTX80" s="573"/>
      <c r="JTY80" s="573"/>
      <c r="JTZ80" s="573"/>
      <c r="JUA80" s="573"/>
      <c r="JUB80" s="573"/>
      <c r="JUC80" s="573"/>
      <c r="JUD80" s="573"/>
      <c r="JUE80" s="573"/>
      <c r="JUF80" s="573"/>
      <c r="JUG80" s="573"/>
      <c r="JUH80" s="573"/>
      <c r="JUI80" s="573"/>
      <c r="JUJ80" s="573"/>
      <c r="JUK80" s="573"/>
      <c r="JUL80" s="573"/>
      <c r="JUM80" s="573"/>
      <c r="JUN80" s="573"/>
      <c r="JUO80" s="573"/>
      <c r="JUP80" s="573"/>
      <c r="JUQ80" s="573"/>
      <c r="JUR80" s="573"/>
      <c r="JUS80" s="573"/>
      <c r="JUT80" s="573"/>
      <c r="JUU80" s="573"/>
      <c r="JUV80" s="573"/>
      <c r="JUW80" s="573"/>
      <c r="JUX80" s="573"/>
      <c r="JUY80" s="573"/>
      <c r="JUZ80" s="573"/>
      <c r="JVA80" s="573"/>
      <c r="JVB80" s="573"/>
      <c r="JVC80" s="573"/>
      <c r="JVD80" s="573"/>
      <c r="JVE80" s="573"/>
      <c r="JVF80" s="573"/>
      <c r="JVG80" s="573"/>
      <c r="JVH80" s="573"/>
      <c r="JVI80" s="573"/>
      <c r="JVJ80" s="573"/>
      <c r="JVK80" s="573"/>
      <c r="JVL80" s="573"/>
      <c r="JVM80" s="573"/>
      <c r="JVN80" s="573"/>
      <c r="JVO80" s="573"/>
      <c r="JVP80" s="573"/>
      <c r="JVQ80" s="573"/>
      <c r="JVR80" s="573"/>
      <c r="JVS80" s="573"/>
      <c r="JVT80" s="573"/>
      <c r="JVU80" s="573"/>
      <c r="JVV80" s="573"/>
      <c r="JVW80" s="573"/>
      <c r="JVX80" s="573"/>
      <c r="JVY80" s="573"/>
      <c r="JVZ80" s="573"/>
      <c r="JWA80" s="573"/>
      <c r="JWB80" s="573"/>
      <c r="JWC80" s="573"/>
      <c r="JWD80" s="573"/>
      <c r="JWE80" s="573"/>
      <c r="JWF80" s="573"/>
      <c r="JWG80" s="573"/>
      <c r="JWH80" s="573"/>
      <c r="JWI80" s="573"/>
      <c r="JWJ80" s="573"/>
      <c r="JWK80" s="573"/>
      <c r="JWL80" s="573"/>
      <c r="JWM80" s="573"/>
      <c r="JWN80" s="573"/>
      <c r="JWO80" s="573"/>
      <c r="JWP80" s="573"/>
      <c r="JWQ80" s="573"/>
      <c r="JWR80" s="573"/>
      <c r="JWS80" s="573"/>
      <c r="JWT80" s="573"/>
      <c r="JWU80" s="573"/>
      <c r="JWV80" s="573"/>
      <c r="JWW80" s="573"/>
      <c r="JWX80" s="573"/>
      <c r="JWY80" s="573"/>
      <c r="JWZ80" s="573"/>
      <c r="JXA80" s="573"/>
      <c r="JXB80" s="573"/>
      <c r="JXC80" s="573"/>
      <c r="JXD80" s="573"/>
      <c r="JXE80" s="573"/>
      <c r="JXF80" s="573"/>
      <c r="JXG80" s="573"/>
      <c r="JXH80" s="573"/>
      <c r="JXI80" s="573"/>
      <c r="JXJ80" s="573"/>
      <c r="JXK80" s="573"/>
      <c r="JXL80" s="573"/>
      <c r="JXM80" s="573"/>
      <c r="JXN80" s="573"/>
      <c r="JXO80" s="573"/>
      <c r="JXP80" s="573"/>
      <c r="JXQ80" s="573"/>
      <c r="JXR80" s="573"/>
      <c r="JXS80" s="573"/>
      <c r="JXT80" s="573"/>
      <c r="JXU80" s="573"/>
      <c r="JXV80" s="573"/>
      <c r="JXW80" s="573"/>
      <c r="JXX80" s="573"/>
      <c r="JXY80" s="573"/>
      <c r="JXZ80" s="573"/>
      <c r="JYA80" s="573"/>
      <c r="JYB80" s="573"/>
      <c r="JYC80" s="573"/>
      <c r="JYD80" s="573"/>
      <c r="JYE80" s="573"/>
      <c r="JYF80" s="573"/>
      <c r="JYG80" s="573"/>
      <c r="JYH80" s="573"/>
      <c r="JYI80" s="573"/>
      <c r="JYJ80" s="573"/>
      <c r="JYK80" s="573"/>
      <c r="JYL80" s="573"/>
      <c r="JYM80" s="573"/>
      <c r="JYN80" s="573"/>
      <c r="JYO80" s="573"/>
      <c r="JYP80" s="573"/>
      <c r="JYQ80" s="573"/>
      <c r="JYR80" s="573"/>
      <c r="JYS80" s="573"/>
      <c r="JYT80" s="573"/>
      <c r="JYU80" s="573"/>
      <c r="JYV80" s="573"/>
      <c r="JYW80" s="573"/>
      <c r="JYX80" s="573"/>
      <c r="JYY80" s="573"/>
      <c r="JYZ80" s="573"/>
      <c r="JZA80" s="573"/>
      <c r="JZB80" s="573"/>
      <c r="JZC80" s="573"/>
      <c r="JZD80" s="573"/>
      <c r="JZE80" s="573"/>
      <c r="JZF80" s="573"/>
      <c r="JZG80" s="573"/>
      <c r="JZH80" s="573"/>
      <c r="JZI80" s="573"/>
      <c r="JZJ80" s="573"/>
      <c r="JZK80" s="573"/>
      <c r="JZL80" s="573"/>
      <c r="JZM80" s="573"/>
      <c r="JZN80" s="573"/>
      <c r="JZO80" s="573"/>
      <c r="JZP80" s="573"/>
      <c r="JZQ80" s="573"/>
      <c r="JZR80" s="573"/>
      <c r="JZS80" s="573"/>
      <c r="JZT80" s="573"/>
      <c r="JZU80" s="573"/>
      <c r="JZV80" s="573"/>
      <c r="JZW80" s="573"/>
      <c r="JZX80" s="573"/>
      <c r="JZY80" s="573"/>
      <c r="JZZ80" s="573"/>
      <c r="KAA80" s="573"/>
      <c r="KAB80" s="573"/>
      <c r="KAC80" s="573"/>
      <c r="KAD80" s="573"/>
      <c r="KAE80" s="573"/>
      <c r="KAF80" s="573"/>
      <c r="KAG80" s="573"/>
      <c r="KAH80" s="573"/>
      <c r="KAI80" s="573"/>
      <c r="KAJ80" s="573"/>
      <c r="KAK80" s="573"/>
      <c r="KAL80" s="573"/>
      <c r="KAM80" s="573"/>
      <c r="KAN80" s="573"/>
      <c r="KAO80" s="573"/>
      <c r="KAP80" s="573"/>
      <c r="KAQ80" s="573"/>
      <c r="KAR80" s="573"/>
      <c r="KAS80" s="573"/>
      <c r="KAT80" s="573"/>
      <c r="KAU80" s="573"/>
      <c r="KAV80" s="573"/>
      <c r="KAW80" s="573"/>
      <c r="KAX80" s="573"/>
      <c r="KAY80" s="573"/>
      <c r="KAZ80" s="573"/>
      <c r="KBA80" s="573"/>
      <c r="KBB80" s="573"/>
      <c r="KBC80" s="573"/>
      <c r="KBD80" s="573"/>
      <c r="KBE80" s="573"/>
      <c r="KBF80" s="573"/>
      <c r="KBG80" s="573"/>
      <c r="KBH80" s="573"/>
      <c r="KBI80" s="573"/>
      <c r="KBJ80" s="573"/>
      <c r="KBK80" s="573"/>
      <c r="KBL80" s="573"/>
      <c r="KBM80" s="573"/>
      <c r="KBN80" s="573"/>
      <c r="KBO80" s="573"/>
      <c r="KBP80" s="573"/>
      <c r="KBQ80" s="573"/>
      <c r="KBR80" s="573"/>
      <c r="KBS80" s="573"/>
      <c r="KBT80" s="573"/>
      <c r="KBU80" s="573"/>
      <c r="KBV80" s="573"/>
      <c r="KBW80" s="573"/>
      <c r="KBX80" s="573"/>
      <c r="KBY80" s="573"/>
      <c r="KBZ80" s="573"/>
      <c r="KCA80" s="573"/>
      <c r="KCB80" s="573"/>
      <c r="KCC80" s="573"/>
      <c r="KCD80" s="573"/>
      <c r="KCE80" s="573"/>
      <c r="KCF80" s="573"/>
      <c r="KCG80" s="573"/>
      <c r="KCH80" s="573"/>
      <c r="KCI80" s="573"/>
      <c r="KCJ80" s="573"/>
      <c r="KCK80" s="573"/>
      <c r="KCL80" s="573"/>
      <c r="KCM80" s="573"/>
      <c r="KCN80" s="573"/>
      <c r="KCO80" s="573"/>
      <c r="KCP80" s="573"/>
      <c r="KCQ80" s="573"/>
      <c r="KCR80" s="573"/>
      <c r="KCS80" s="573"/>
      <c r="KCT80" s="573"/>
      <c r="KCU80" s="573"/>
      <c r="KCV80" s="573"/>
      <c r="KCW80" s="573"/>
      <c r="KCX80" s="573"/>
      <c r="KCY80" s="573"/>
      <c r="KCZ80" s="573"/>
      <c r="KDA80" s="573"/>
      <c r="KDB80" s="573"/>
      <c r="KDC80" s="573"/>
      <c r="KDD80" s="573"/>
      <c r="KDE80" s="573"/>
      <c r="KDF80" s="573"/>
      <c r="KDG80" s="573"/>
      <c r="KDH80" s="573"/>
      <c r="KDI80" s="573"/>
      <c r="KDJ80" s="573"/>
      <c r="KDK80" s="573"/>
      <c r="KDL80" s="573"/>
      <c r="KDM80" s="573"/>
      <c r="KDN80" s="573"/>
      <c r="KDO80" s="573"/>
      <c r="KDP80" s="573"/>
      <c r="KDQ80" s="573"/>
      <c r="KDR80" s="573"/>
      <c r="KDS80" s="573"/>
      <c r="KDT80" s="573"/>
      <c r="KDU80" s="573"/>
      <c r="KDV80" s="573"/>
      <c r="KDW80" s="573"/>
      <c r="KDX80" s="573"/>
      <c r="KDY80" s="573"/>
      <c r="KDZ80" s="573"/>
      <c r="KEA80" s="573"/>
      <c r="KEB80" s="573"/>
      <c r="KEC80" s="573"/>
      <c r="KED80" s="573"/>
      <c r="KEE80" s="573"/>
      <c r="KEF80" s="573"/>
      <c r="KEG80" s="573"/>
      <c r="KEH80" s="573"/>
      <c r="KEI80" s="573"/>
      <c r="KEJ80" s="573"/>
      <c r="KEK80" s="573"/>
      <c r="KEL80" s="573"/>
      <c r="KEM80" s="573"/>
      <c r="KEN80" s="573"/>
      <c r="KEO80" s="573"/>
      <c r="KEP80" s="573"/>
      <c r="KEQ80" s="573"/>
      <c r="KER80" s="573"/>
      <c r="KES80" s="573"/>
      <c r="KET80" s="573"/>
      <c r="KEU80" s="573"/>
      <c r="KEV80" s="573"/>
      <c r="KEW80" s="573"/>
      <c r="KEX80" s="573"/>
      <c r="KEY80" s="573"/>
      <c r="KEZ80" s="573"/>
      <c r="KFA80" s="573"/>
      <c r="KFB80" s="573"/>
      <c r="KFC80" s="573"/>
      <c r="KFD80" s="573"/>
      <c r="KFE80" s="573"/>
      <c r="KFF80" s="573"/>
      <c r="KFG80" s="573"/>
      <c r="KFH80" s="573"/>
      <c r="KFI80" s="573"/>
      <c r="KFJ80" s="573"/>
      <c r="KFK80" s="573"/>
      <c r="KFL80" s="573"/>
      <c r="KFM80" s="573"/>
      <c r="KFN80" s="573"/>
      <c r="KFO80" s="573"/>
      <c r="KFP80" s="573"/>
      <c r="KFQ80" s="573"/>
      <c r="KFR80" s="573"/>
      <c r="KFS80" s="573"/>
      <c r="KFT80" s="573"/>
      <c r="KFU80" s="573"/>
      <c r="KFV80" s="573"/>
      <c r="KFW80" s="573"/>
      <c r="KFX80" s="573"/>
      <c r="KFY80" s="573"/>
      <c r="KFZ80" s="573"/>
      <c r="KGA80" s="573"/>
      <c r="KGB80" s="573"/>
      <c r="KGC80" s="573"/>
      <c r="KGD80" s="573"/>
      <c r="KGE80" s="573"/>
      <c r="KGF80" s="573"/>
      <c r="KGG80" s="573"/>
      <c r="KGH80" s="573"/>
      <c r="KGI80" s="573"/>
      <c r="KGJ80" s="573"/>
      <c r="KGK80" s="573"/>
      <c r="KGL80" s="573"/>
      <c r="KGM80" s="573"/>
      <c r="KGN80" s="573"/>
      <c r="KGO80" s="573"/>
      <c r="KGP80" s="573"/>
      <c r="KGQ80" s="573"/>
      <c r="KGR80" s="573"/>
      <c r="KGS80" s="573"/>
      <c r="KGT80" s="573"/>
      <c r="KGU80" s="573"/>
      <c r="KGV80" s="573"/>
      <c r="KGW80" s="573"/>
      <c r="KGX80" s="573"/>
      <c r="KGY80" s="573"/>
      <c r="KGZ80" s="573"/>
      <c r="KHA80" s="573"/>
      <c r="KHB80" s="573"/>
      <c r="KHC80" s="573"/>
      <c r="KHD80" s="573"/>
      <c r="KHE80" s="573"/>
      <c r="KHF80" s="573"/>
      <c r="KHG80" s="573"/>
      <c r="KHH80" s="573"/>
      <c r="KHI80" s="573"/>
      <c r="KHJ80" s="573"/>
      <c r="KHK80" s="573"/>
      <c r="KHL80" s="573"/>
      <c r="KHM80" s="573"/>
      <c r="KHN80" s="573"/>
      <c r="KHO80" s="573"/>
      <c r="KHP80" s="573"/>
      <c r="KHQ80" s="573"/>
      <c r="KHR80" s="573"/>
      <c r="KHS80" s="573"/>
      <c r="KHT80" s="573"/>
      <c r="KHU80" s="573"/>
      <c r="KHV80" s="573"/>
      <c r="KHW80" s="573"/>
      <c r="KHX80" s="573"/>
      <c r="KHY80" s="573"/>
      <c r="KHZ80" s="573"/>
      <c r="KIA80" s="573"/>
      <c r="KIB80" s="573"/>
      <c r="KIC80" s="573"/>
      <c r="KID80" s="573"/>
      <c r="KIE80" s="573"/>
      <c r="KIF80" s="573"/>
      <c r="KIG80" s="573"/>
      <c r="KIH80" s="573"/>
      <c r="KII80" s="573"/>
      <c r="KIJ80" s="573"/>
      <c r="KIK80" s="573"/>
      <c r="KIL80" s="573"/>
      <c r="KIM80" s="573"/>
      <c r="KIN80" s="573"/>
      <c r="KIO80" s="573"/>
      <c r="KIP80" s="573"/>
      <c r="KIQ80" s="573"/>
      <c r="KIR80" s="573"/>
      <c r="KIS80" s="573"/>
      <c r="KIT80" s="573"/>
      <c r="KIU80" s="573"/>
      <c r="KIV80" s="573"/>
      <c r="KIW80" s="573"/>
      <c r="KIX80" s="573"/>
      <c r="KIY80" s="573"/>
      <c r="KIZ80" s="573"/>
      <c r="KJA80" s="573"/>
      <c r="KJB80" s="573"/>
      <c r="KJC80" s="573"/>
      <c r="KJD80" s="573"/>
      <c r="KJE80" s="573"/>
      <c r="KJF80" s="573"/>
      <c r="KJG80" s="573"/>
      <c r="KJH80" s="573"/>
      <c r="KJI80" s="573"/>
      <c r="KJJ80" s="573"/>
      <c r="KJK80" s="573"/>
      <c r="KJL80" s="573"/>
      <c r="KJM80" s="573"/>
      <c r="KJN80" s="573"/>
      <c r="KJO80" s="573"/>
      <c r="KJP80" s="573"/>
      <c r="KJQ80" s="573"/>
      <c r="KJR80" s="573"/>
      <c r="KJS80" s="573"/>
      <c r="KJT80" s="573"/>
      <c r="KJU80" s="573"/>
      <c r="KJV80" s="573"/>
      <c r="KJW80" s="573"/>
      <c r="KJX80" s="573"/>
      <c r="KJY80" s="573"/>
      <c r="KJZ80" s="573"/>
      <c r="KKA80" s="573"/>
      <c r="KKB80" s="573"/>
      <c r="KKC80" s="573"/>
      <c r="KKD80" s="573"/>
      <c r="KKE80" s="573"/>
      <c r="KKF80" s="573"/>
      <c r="KKG80" s="573"/>
      <c r="KKH80" s="573"/>
      <c r="KKI80" s="573"/>
      <c r="KKJ80" s="573"/>
      <c r="KKK80" s="573"/>
      <c r="KKL80" s="573"/>
      <c r="KKM80" s="573"/>
      <c r="KKN80" s="573"/>
      <c r="KKO80" s="573"/>
      <c r="KKP80" s="573"/>
      <c r="KKQ80" s="573"/>
      <c r="KKR80" s="573"/>
      <c r="KKS80" s="573"/>
      <c r="KKT80" s="573"/>
      <c r="KKU80" s="573"/>
      <c r="KKV80" s="573"/>
      <c r="KKW80" s="573"/>
      <c r="KKX80" s="573"/>
      <c r="KKY80" s="573"/>
      <c r="KKZ80" s="573"/>
      <c r="KLA80" s="573"/>
      <c r="KLB80" s="573"/>
      <c r="KLC80" s="573"/>
      <c r="KLD80" s="573"/>
      <c r="KLE80" s="573"/>
      <c r="KLF80" s="573"/>
      <c r="KLG80" s="573"/>
      <c r="KLH80" s="573"/>
      <c r="KLI80" s="573"/>
      <c r="KLJ80" s="573"/>
      <c r="KLK80" s="573"/>
      <c r="KLL80" s="573"/>
      <c r="KLM80" s="573"/>
      <c r="KLN80" s="573"/>
      <c r="KLO80" s="573"/>
      <c r="KLP80" s="573"/>
      <c r="KLQ80" s="573"/>
      <c r="KLR80" s="573"/>
      <c r="KLS80" s="573"/>
      <c r="KLT80" s="573"/>
      <c r="KLU80" s="573"/>
      <c r="KLV80" s="573"/>
      <c r="KLW80" s="573"/>
      <c r="KLX80" s="573"/>
      <c r="KLY80" s="573"/>
      <c r="KLZ80" s="573"/>
      <c r="KMA80" s="573"/>
      <c r="KMB80" s="573"/>
      <c r="KMC80" s="573"/>
      <c r="KMD80" s="573"/>
      <c r="KME80" s="573"/>
      <c r="KMF80" s="573"/>
      <c r="KMG80" s="573"/>
      <c r="KMH80" s="573"/>
      <c r="KMI80" s="573"/>
      <c r="KMJ80" s="573"/>
      <c r="KMK80" s="573"/>
      <c r="KML80" s="573"/>
      <c r="KMM80" s="573"/>
      <c r="KMN80" s="573"/>
      <c r="KMO80" s="573"/>
      <c r="KMP80" s="573"/>
      <c r="KMQ80" s="573"/>
      <c r="KMR80" s="573"/>
      <c r="KMS80" s="573"/>
      <c r="KMT80" s="573"/>
      <c r="KMU80" s="573"/>
      <c r="KMV80" s="573"/>
      <c r="KMW80" s="573"/>
      <c r="KMX80" s="573"/>
      <c r="KMY80" s="573"/>
      <c r="KMZ80" s="573"/>
      <c r="KNA80" s="573"/>
      <c r="KNB80" s="573"/>
      <c r="KNC80" s="573"/>
      <c r="KND80" s="573"/>
      <c r="KNE80" s="573"/>
      <c r="KNF80" s="573"/>
      <c r="KNG80" s="573"/>
      <c r="KNH80" s="573"/>
      <c r="KNI80" s="573"/>
      <c r="KNJ80" s="573"/>
      <c r="KNK80" s="573"/>
      <c r="KNL80" s="573"/>
      <c r="KNM80" s="573"/>
      <c r="KNN80" s="573"/>
      <c r="KNO80" s="573"/>
      <c r="KNP80" s="573"/>
      <c r="KNQ80" s="573"/>
      <c r="KNR80" s="573"/>
      <c r="KNS80" s="573"/>
      <c r="KNT80" s="573"/>
      <c r="KNU80" s="573"/>
      <c r="KNV80" s="573"/>
      <c r="KNW80" s="573"/>
      <c r="KNX80" s="573"/>
      <c r="KNY80" s="573"/>
      <c r="KNZ80" s="573"/>
      <c r="KOA80" s="573"/>
      <c r="KOB80" s="573"/>
      <c r="KOC80" s="573"/>
      <c r="KOD80" s="573"/>
      <c r="KOE80" s="573"/>
      <c r="KOF80" s="573"/>
      <c r="KOG80" s="573"/>
      <c r="KOH80" s="573"/>
      <c r="KOI80" s="573"/>
      <c r="KOJ80" s="573"/>
      <c r="KOK80" s="573"/>
      <c r="KOL80" s="573"/>
      <c r="KOM80" s="573"/>
      <c r="KON80" s="573"/>
      <c r="KOO80" s="573"/>
      <c r="KOP80" s="573"/>
      <c r="KOQ80" s="573"/>
      <c r="KOR80" s="573"/>
      <c r="KOS80" s="573"/>
      <c r="KOT80" s="573"/>
      <c r="KOU80" s="573"/>
      <c r="KOV80" s="573"/>
      <c r="KOW80" s="573"/>
      <c r="KOX80" s="573"/>
      <c r="KOY80" s="573"/>
      <c r="KOZ80" s="573"/>
      <c r="KPA80" s="573"/>
      <c r="KPB80" s="573"/>
      <c r="KPC80" s="573"/>
      <c r="KPD80" s="573"/>
      <c r="KPE80" s="573"/>
      <c r="KPF80" s="573"/>
      <c r="KPG80" s="573"/>
      <c r="KPH80" s="573"/>
      <c r="KPI80" s="573"/>
      <c r="KPJ80" s="573"/>
      <c r="KPK80" s="573"/>
      <c r="KPL80" s="573"/>
      <c r="KPM80" s="573"/>
      <c r="KPN80" s="573"/>
      <c r="KPO80" s="573"/>
      <c r="KPP80" s="573"/>
      <c r="KPQ80" s="573"/>
      <c r="KPR80" s="573"/>
      <c r="KPS80" s="573"/>
      <c r="KPT80" s="573"/>
      <c r="KPU80" s="573"/>
      <c r="KPV80" s="573"/>
      <c r="KPW80" s="573"/>
      <c r="KPX80" s="573"/>
      <c r="KPY80" s="573"/>
      <c r="KPZ80" s="573"/>
      <c r="KQA80" s="573"/>
      <c r="KQB80" s="573"/>
      <c r="KQC80" s="573"/>
      <c r="KQD80" s="573"/>
      <c r="KQE80" s="573"/>
      <c r="KQF80" s="573"/>
      <c r="KQG80" s="573"/>
      <c r="KQH80" s="573"/>
      <c r="KQI80" s="573"/>
      <c r="KQJ80" s="573"/>
      <c r="KQK80" s="573"/>
      <c r="KQL80" s="573"/>
      <c r="KQM80" s="573"/>
      <c r="KQN80" s="573"/>
      <c r="KQO80" s="573"/>
      <c r="KQP80" s="573"/>
      <c r="KQQ80" s="573"/>
      <c r="KQR80" s="573"/>
      <c r="KQS80" s="573"/>
      <c r="KQT80" s="573"/>
      <c r="KQU80" s="573"/>
      <c r="KQV80" s="573"/>
      <c r="KQW80" s="573"/>
      <c r="KQX80" s="573"/>
      <c r="KQY80" s="573"/>
      <c r="KQZ80" s="573"/>
      <c r="KRA80" s="573"/>
      <c r="KRB80" s="573"/>
      <c r="KRC80" s="573"/>
      <c r="KRD80" s="573"/>
      <c r="KRE80" s="573"/>
      <c r="KRF80" s="573"/>
      <c r="KRG80" s="573"/>
      <c r="KRH80" s="573"/>
      <c r="KRI80" s="573"/>
      <c r="KRJ80" s="573"/>
      <c r="KRK80" s="573"/>
      <c r="KRL80" s="573"/>
      <c r="KRM80" s="573"/>
      <c r="KRN80" s="573"/>
      <c r="KRO80" s="573"/>
      <c r="KRP80" s="573"/>
      <c r="KRQ80" s="573"/>
      <c r="KRR80" s="573"/>
      <c r="KRS80" s="573"/>
      <c r="KRT80" s="573"/>
      <c r="KRU80" s="573"/>
      <c r="KRV80" s="573"/>
      <c r="KRW80" s="573"/>
      <c r="KRX80" s="573"/>
      <c r="KRY80" s="573"/>
      <c r="KRZ80" s="573"/>
      <c r="KSA80" s="573"/>
      <c r="KSB80" s="573"/>
      <c r="KSC80" s="573"/>
      <c r="KSD80" s="573"/>
      <c r="KSE80" s="573"/>
      <c r="KSF80" s="573"/>
      <c r="KSG80" s="573"/>
      <c r="KSH80" s="573"/>
      <c r="KSI80" s="573"/>
      <c r="KSJ80" s="573"/>
      <c r="KSK80" s="573"/>
      <c r="KSL80" s="573"/>
      <c r="KSM80" s="573"/>
      <c r="KSN80" s="573"/>
      <c r="KSO80" s="573"/>
      <c r="KSP80" s="573"/>
      <c r="KSQ80" s="573"/>
      <c r="KSR80" s="573"/>
      <c r="KSS80" s="573"/>
      <c r="KST80" s="573"/>
      <c r="KSU80" s="573"/>
      <c r="KSV80" s="573"/>
      <c r="KSW80" s="573"/>
      <c r="KSX80" s="573"/>
      <c r="KSY80" s="573"/>
      <c r="KSZ80" s="573"/>
      <c r="KTA80" s="573"/>
      <c r="KTB80" s="573"/>
      <c r="KTC80" s="573"/>
      <c r="KTD80" s="573"/>
      <c r="KTE80" s="573"/>
      <c r="KTF80" s="573"/>
      <c r="KTG80" s="573"/>
      <c r="KTH80" s="573"/>
      <c r="KTI80" s="573"/>
      <c r="KTJ80" s="573"/>
      <c r="KTK80" s="573"/>
      <c r="KTL80" s="573"/>
      <c r="KTM80" s="573"/>
      <c r="KTN80" s="573"/>
      <c r="KTO80" s="573"/>
      <c r="KTP80" s="573"/>
      <c r="KTQ80" s="573"/>
      <c r="KTR80" s="573"/>
      <c r="KTS80" s="573"/>
      <c r="KTT80" s="573"/>
      <c r="KTU80" s="573"/>
      <c r="KTV80" s="573"/>
      <c r="KTW80" s="573"/>
      <c r="KTX80" s="573"/>
      <c r="KTY80" s="573"/>
      <c r="KTZ80" s="573"/>
      <c r="KUA80" s="573"/>
      <c r="KUB80" s="573"/>
      <c r="KUC80" s="573"/>
      <c r="KUD80" s="573"/>
      <c r="KUE80" s="573"/>
      <c r="KUF80" s="573"/>
      <c r="KUG80" s="573"/>
      <c r="KUH80" s="573"/>
      <c r="KUI80" s="573"/>
      <c r="KUJ80" s="573"/>
      <c r="KUK80" s="573"/>
      <c r="KUL80" s="573"/>
      <c r="KUM80" s="573"/>
      <c r="KUN80" s="573"/>
      <c r="KUO80" s="573"/>
      <c r="KUP80" s="573"/>
      <c r="KUQ80" s="573"/>
      <c r="KUR80" s="573"/>
      <c r="KUS80" s="573"/>
      <c r="KUT80" s="573"/>
      <c r="KUU80" s="573"/>
      <c r="KUV80" s="573"/>
      <c r="KUW80" s="573"/>
      <c r="KUX80" s="573"/>
      <c r="KUY80" s="573"/>
      <c r="KUZ80" s="573"/>
      <c r="KVA80" s="573"/>
      <c r="KVB80" s="573"/>
      <c r="KVC80" s="573"/>
      <c r="KVD80" s="573"/>
      <c r="KVE80" s="573"/>
      <c r="KVF80" s="573"/>
      <c r="KVG80" s="573"/>
      <c r="KVH80" s="573"/>
      <c r="KVI80" s="573"/>
      <c r="KVJ80" s="573"/>
      <c r="KVK80" s="573"/>
      <c r="KVL80" s="573"/>
      <c r="KVM80" s="573"/>
      <c r="KVN80" s="573"/>
      <c r="KVO80" s="573"/>
      <c r="KVP80" s="573"/>
      <c r="KVQ80" s="573"/>
      <c r="KVR80" s="573"/>
      <c r="KVS80" s="573"/>
      <c r="KVT80" s="573"/>
      <c r="KVU80" s="573"/>
      <c r="KVV80" s="573"/>
      <c r="KVW80" s="573"/>
      <c r="KVX80" s="573"/>
      <c r="KVY80" s="573"/>
      <c r="KVZ80" s="573"/>
      <c r="KWA80" s="573"/>
      <c r="KWB80" s="573"/>
      <c r="KWC80" s="573"/>
      <c r="KWD80" s="573"/>
      <c r="KWE80" s="573"/>
      <c r="KWF80" s="573"/>
      <c r="KWG80" s="573"/>
      <c r="KWH80" s="573"/>
      <c r="KWI80" s="573"/>
      <c r="KWJ80" s="573"/>
      <c r="KWK80" s="573"/>
      <c r="KWL80" s="573"/>
      <c r="KWM80" s="573"/>
      <c r="KWN80" s="573"/>
      <c r="KWO80" s="573"/>
      <c r="KWP80" s="573"/>
      <c r="KWQ80" s="573"/>
      <c r="KWR80" s="573"/>
      <c r="KWS80" s="573"/>
      <c r="KWT80" s="573"/>
      <c r="KWU80" s="573"/>
      <c r="KWV80" s="573"/>
      <c r="KWW80" s="573"/>
      <c r="KWX80" s="573"/>
      <c r="KWY80" s="573"/>
      <c r="KWZ80" s="573"/>
      <c r="KXA80" s="573"/>
      <c r="KXB80" s="573"/>
      <c r="KXC80" s="573"/>
      <c r="KXD80" s="573"/>
      <c r="KXE80" s="573"/>
      <c r="KXF80" s="573"/>
      <c r="KXG80" s="573"/>
      <c r="KXH80" s="573"/>
      <c r="KXI80" s="573"/>
      <c r="KXJ80" s="573"/>
      <c r="KXK80" s="573"/>
      <c r="KXL80" s="573"/>
      <c r="KXM80" s="573"/>
      <c r="KXN80" s="573"/>
      <c r="KXO80" s="573"/>
      <c r="KXP80" s="573"/>
      <c r="KXQ80" s="573"/>
      <c r="KXR80" s="573"/>
      <c r="KXS80" s="573"/>
      <c r="KXT80" s="573"/>
      <c r="KXU80" s="573"/>
      <c r="KXV80" s="573"/>
      <c r="KXW80" s="573"/>
      <c r="KXX80" s="573"/>
      <c r="KXY80" s="573"/>
      <c r="KXZ80" s="573"/>
      <c r="KYA80" s="573"/>
      <c r="KYB80" s="573"/>
      <c r="KYC80" s="573"/>
      <c r="KYD80" s="573"/>
      <c r="KYE80" s="573"/>
      <c r="KYF80" s="573"/>
      <c r="KYG80" s="573"/>
      <c r="KYH80" s="573"/>
      <c r="KYI80" s="573"/>
      <c r="KYJ80" s="573"/>
      <c r="KYK80" s="573"/>
      <c r="KYL80" s="573"/>
      <c r="KYM80" s="573"/>
      <c r="KYN80" s="573"/>
      <c r="KYO80" s="573"/>
      <c r="KYP80" s="573"/>
      <c r="KYQ80" s="573"/>
      <c r="KYR80" s="573"/>
      <c r="KYS80" s="573"/>
      <c r="KYT80" s="573"/>
      <c r="KYU80" s="573"/>
      <c r="KYV80" s="573"/>
      <c r="KYW80" s="573"/>
      <c r="KYX80" s="573"/>
      <c r="KYY80" s="573"/>
      <c r="KYZ80" s="573"/>
      <c r="KZA80" s="573"/>
      <c r="KZB80" s="573"/>
      <c r="KZC80" s="573"/>
      <c r="KZD80" s="573"/>
      <c r="KZE80" s="573"/>
      <c r="KZF80" s="573"/>
      <c r="KZG80" s="573"/>
      <c r="KZH80" s="573"/>
      <c r="KZI80" s="573"/>
      <c r="KZJ80" s="573"/>
      <c r="KZK80" s="573"/>
      <c r="KZL80" s="573"/>
      <c r="KZM80" s="573"/>
      <c r="KZN80" s="573"/>
      <c r="KZO80" s="573"/>
      <c r="KZP80" s="573"/>
      <c r="KZQ80" s="573"/>
      <c r="KZR80" s="573"/>
      <c r="KZS80" s="573"/>
      <c r="KZT80" s="573"/>
      <c r="KZU80" s="573"/>
      <c r="KZV80" s="573"/>
      <c r="KZW80" s="573"/>
      <c r="KZX80" s="573"/>
      <c r="KZY80" s="573"/>
      <c r="KZZ80" s="573"/>
      <c r="LAA80" s="573"/>
      <c r="LAB80" s="573"/>
      <c r="LAC80" s="573"/>
      <c r="LAD80" s="573"/>
      <c r="LAE80" s="573"/>
      <c r="LAF80" s="573"/>
      <c r="LAG80" s="573"/>
      <c r="LAH80" s="573"/>
      <c r="LAI80" s="573"/>
      <c r="LAJ80" s="573"/>
      <c r="LAK80" s="573"/>
      <c r="LAL80" s="573"/>
      <c r="LAM80" s="573"/>
      <c r="LAN80" s="573"/>
      <c r="LAO80" s="573"/>
      <c r="LAP80" s="573"/>
      <c r="LAQ80" s="573"/>
      <c r="LAR80" s="573"/>
      <c r="LAS80" s="573"/>
      <c r="LAT80" s="573"/>
      <c r="LAU80" s="573"/>
      <c r="LAV80" s="573"/>
      <c r="LAW80" s="573"/>
      <c r="LAX80" s="573"/>
      <c r="LAY80" s="573"/>
      <c r="LAZ80" s="573"/>
      <c r="LBA80" s="573"/>
      <c r="LBB80" s="573"/>
      <c r="LBC80" s="573"/>
      <c r="LBD80" s="573"/>
      <c r="LBE80" s="573"/>
      <c r="LBF80" s="573"/>
      <c r="LBG80" s="573"/>
      <c r="LBH80" s="573"/>
      <c r="LBI80" s="573"/>
      <c r="LBJ80" s="573"/>
      <c r="LBK80" s="573"/>
      <c r="LBL80" s="573"/>
      <c r="LBM80" s="573"/>
      <c r="LBN80" s="573"/>
      <c r="LBO80" s="573"/>
      <c r="LBP80" s="573"/>
      <c r="LBQ80" s="573"/>
      <c r="LBR80" s="573"/>
      <c r="LBS80" s="573"/>
      <c r="LBT80" s="573"/>
      <c r="LBU80" s="573"/>
      <c r="LBV80" s="573"/>
      <c r="LBW80" s="573"/>
      <c r="LBX80" s="573"/>
      <c r="LBY80" s="573"/>
      <c r="LBZ80" s="573"/>
      <c r="LCA80" s="573"/>
      <c r="LCB80" s="573"/>
      <c r="LCC80" s="573"/>
      <c r="LCD80" s="573"/>
      <c r="LCE80" s="573"/>
      <c r="LCF80" s="573"/>
      <c r="LCG80" s="573"/>
      <c r="LCH80" s="573"/>
      <c r="LCI80" s="573"/>
      <c r="LCJ80" s="573"/>
      <c r="LCK80" s="573"/>
      <c r="LCL80" s="573"/>
      <c r="LCM80" s="573"/>
      <c r="LCN80" s="573"/>
      <c r="LCO80" s="573"/>
      <c r="LCP80" s="573"/>
      <c r="LCQ80" s="573"/>
      <c r="LCR80" s="573"/>
      <c r="LCS80" s="573"/>
      <c r="LCT80" s="573"/>
      <c r="LCU80" s="573"/>
      <c r="LCV80" s="573"/>
      <c r="LCW80" s="573"/>
      <c r="LCX80" s="573"/>
      <c r="LCY80" s="573"/>
      <c r="LCZ80" s="573"/>
      <c r="LDA80" s="573"/>
      <c r="LDB80" s="573"/>
      <c r="LDC80" s="573"/>
      <c r="LDD80" s="573"/>
      <c r="LDE80" s="573"/>
      <c r="LDF80" s="573"/>
      <c r="LDG80" s="573"/>
      <c r="LDH80" s="573"/>
      <c r="LDI80" s="573"/>
      <c r="LDJ80" s="573"/>
      <c r="LDK80" s="573"/>
      <c r="LDL80" s="573"/>
      <c r="LDM80" s="573"/>
      <c r="LDN80" s="573"/>
      <c r="LDO80" s="573"/>
      <c r="LDP80" s="573"/>
      <c r="LDQ80" s="573"/>
      <c r="LDR80" s="573"/>
      <c r="LDS80" s="573"/>
      <c r="LDT80" s="573"/>
      <c r="LDU80" s="573"/>
      <c r="LDV80" s="573"/>
      <c r="LDW80" s="573"/>
      <c r="LDX80" s="573"/>
      <c r="LDY80" s="573"/>
      <c r="LDZ80" s="573"/>
      <c r="LEA80" s="573"/>
      <c r="LEB80" s="573"/>
      <c r="LEC80" s="573"/>
      <c r="LED80" s="573"/>
      <c r="LEE80" s="573"/>
      <c r="LEF80" s="573"/>
      <c r="LEG80" s="573"/>
      <c r="LEH80" s="573"/>
      <c r="LEI80" s="573"/>
      <c r="LEJ80" s="573"/>
      <c r="LEK80" s="573"/>
      <c r="LEL80" s="573"/>
      <c r="LEM80" s="573"/>
      <c r="LEN80" s="573"/>
      <c r="LEO80" s="573"/>
      <c r="LEP80" s="573"/>
      <c r="LEQ80" s="573"/>
      <c r="LER80" s="573"/>
      <c r="LES80" s="573"/>
      <c r="LET80" s="573"/>
      <c r="LEU80" s="573"/>
      <c r="LEV80" s="573"/>
      <c r="LEW80" s="573"/>
      <c r="LEX80" s="573"/>
      <c r="LEY80" s="573"/>
      <c r="LEZ80" s="573"/>
      <c r="LFA80" s="573"/>
      <c r="LFB80" s="573"/>
      <c r="LFC80" s="573"/>
      <c r="LFD80" s="573"/>
      <c r="LFE80" s="573"/>
      <c r="LFF80" s="573"/>
      <c r="LFG80" s="573"/>
      <c r="LFH80" s="573"/>
      <c r="LFI80" s="573"/>
      <c r="LFJ80" s="573"/>
      <c r="LFK80" s="573"/>
      <c r="LFL80" s="573"/>
      <c r="LFM80" s="573"/>
      <c r="LFN80" s="573"/>
      <c r="LFO80" s="573"/>
      <c r="LFP80" s="573"/>
      <c r="LFQ80" s="573"/>
      <c r="LFR80" s="573"/>
      <c r="LFS80" s="573"/>
      <c r="LFT80" s="573"/>
      <c r="LFU80" s="573"/>
      <c r="LFV80" s="573"/>
      <c r="LFW80" s="573"/>
      <c r="LFX80" s="573"/>
      <c r="LFY80" s="573"/>
      <c r="LFZ80" s="573"/>
      <c r="LGA80" s="573"/>
      <c r="LGB80" s="573"/>
      <c r="LGC80" s="573"/>
      <c r="LGD80" s="573"/>
      <c r="LGE80" s="573"/>
      <c r="LGF80" s="573"/>
      <c r="LGG80" s="573"/>
      <c r="LGH80" s="573"/>
      <c r="LGI80" s="573"/>
      <c r="LGJ80" s="573"/>
      <c r="LGK80" s="573"/>
      <c r="LGL80" s="573"/>
      <c r="LGM80" s="573"/>
      <c r="LGN80" s="573"/>
      <c r="LGO80" s="573"/>
      <c r="LGP80" s="573"/>
      <c r="LGQ80" s="573"/>
      <c r="LGR80" s="573"/>
      <c r="LGS80" s="573"/>
      <c r="LGT80" s="573"/>
      <c r="LGU80" s="573"/>
      <c r="LGV80" s="573"/>
      <c r="LGW80" s="573"/>
      <c r="LGX80" s="573"/>
      <c r="LGY80" s="573"/>
      <c r="LGZ80" s="573"/>
      <c r="LHA80" s="573"/>
      <c r="LHB80" s="573"/>
      <c r="LHC80" s="573"/>
      <c r="LHD80" s="573"/>
      <c r="LHE80" s="573"/>
      <c r="LHF80" s="573"/>
      <c r="LHG80" s="573"/>
      <c r="LHH80" s="573"/>
      <c r="LHI80" s="573"/>
      <c r="LHJ80" s="573"/>
      <c r="LHK80" s="573"/>
      <c r="LHL80" s="573"/>
      <c r="LHM80" s="573"/>
      <c r="LHN80" s="573"/>
      <c r="LHO80" s="573"/>
      <c r="LHP80" s="573"/>
      <c r="LHQ80" s="573"/>
      <c r="LHR80" s="573"/>
      <c r="LHS80" s="573"/>
      <c r="LHT80" s="573"/>
      <c r="LHU80" s="573"/>
      <c r="LHV80" s="573"/>
      <c r="LHW80" s="573"/>
      <c r="LHX80" s="573"/>
      <c r="LHY80" s="573"/>
      <c r="LHZ80" s="573"/>
      <c r="LIA80" s="573"/>
      <c r="LIB80" s="573"/>
      <c r="LIC80" s="573"/>
      <c r="LID80" s="573"/>
      <c r="LIE80" s="573"/>
      <c r="LIF80" s="573"/>
      <c r="LIG80" s="573"/>
      <c r="LIH80" s="573"/>
      <c r="LII80" s="573"/>
      <c r="LIJ80" s="573"/>
      <c r="LIK80" s="573"/>
      <c r="LIL80" s="573"/>
      <c r="LIM80" s="573"/>
      <c r="LIN80" s="573"/>
      <c r="LIO80" s="573"/>
      <c r="LIP80" s="573"/>
      <c r="LIQ80" s="573"/>
      <c r="LIR80" s="573"/>
      <c r="LIS80" s="573"/>
      <c r="LIT80" s="573"/>
      <c r="LIU80" s="573"/>
      <c r="LIV80" s="573"/>
      <c r="LIW80" s="573"/>
      <c r="LIX80" s="573"/>
      <c r="LIY80" s="573"/>
      <c r="LIZ80" s="573"/>
      <c r="LJA80" s="573"/>
      <c r="LJB80" s="573"/>
      <c r="LJC80" s="573"/>
      <c r="LJD80" s="573"/>
      <c r="LJE80" s="573"/>
      <c r="LJF80" s="573"/>
      <c r="LJG80" s="573"/>
      <c r="LJH80" s="573"/>
      <c r="LJI80" s="573"/>
      <c r="LJJ80" s="573"/>
      <c r="LJK80" s="573"/>
      <c r="LJL80" s="573"/>
      <c r="LJM80" s="573"/>
      <c r="LJN80" s="573"/>
      <c r="LJO80" s="573"/>
      <c r="LJP80" s="573"/>
      <c r="LJQ80" s="573"/>
      <c r="LJR80" s="573"/>
      <c r="LJS80" s="573"/>
      <c r="LJT80" s="573"/>
      <c r="LJU80" s="573"/>
      <c r="LJV80" s="573"/>
      <c r="LJW80" s="573"/>
      <c r="LJX80" s="573"/>
      <c r="LJY80" s="573"/>
      <c r="LJZ80" s="573"/>
      <c r="LKA80" s="573"/>
      <c r="LKB80" s="573"/>
      <c r="LKC80" s="573"/>
      <c r="LKD80" s="573"/>
      <c r="LKE80" s="573"/>
      <c r="LKF80" s="573"/>
      <c r="LKG80" s="573"/>
      <c r="LKH80" s="573"/>
      <c r="LKI80" s="573"/>
      <c r="LKJ80" s="573"/>
      <c r="LKK80" s="573"/>
      <c r="LKL80" s="573"/>
      <c r="LKM80" s="573"/>
      <c r="LKN80" s="573"/>
      <c r="LKO80" s="573"/>
      <c r="LKP80" s="573"/>
      <c r="LKQ80" s="573"/>
      <c r="LKR80" s="573"/>
      <c r="LKS80" s="573"/>
      <c r="LKT80" s="573"/>
      <c r="LKU80" s="573"/>
      <c r="LKV80" s="573"/>
      <c r="LKW80" s="573"/>
      <c r="LKX80" s="573"/>
      <c r="LKY80" s="573"/>
      <c r="LKZ80" s="573"/>
      <c r="LLA80" s="573"/>
      <c r="LLB80" s="573"/>
      <c r="LLC80" s="573"/>
      <c r="LLD80" s="573"/>
      <c r="LLE80" s="573"/>
      <c r="LLF80" s="573"/>
      <c r="LLG80" s="573"/>
      <c r="LLH80" s="573"/>
      <c r="LLI80" s="573"/>
      <c r="LLJ80" s="573"/>
      <c r="LLK80" s="573"/>
      <c r="LLL80" s="573"/>
      <c r="LLM80" s="573"/>
      <c r="LLN80" s="573"/>
      <c r="LLO80" s="573"/>
      <c r="LLP80" s="573"/>
      <c r="LLQ80" s="573"/>
      <c r="LLR80" s="573"/>
      <c r="LLS80" s="573"/>
      <c r="LLT80" s="573"/>
      <c r="LLU80" s="573"/>
      <c r="LLV80" s="573"/>
      <c r="LLW80" s="573"/>
      <c r="LLX80" s="573"/>
      <c r="LLY80" s="573"/>
      <c r="LLZ80" s="573"/>
      <c r="LMA80" s="573"/>
      <c r="LMB80" s="573"/>
      <c r="LMC80" s="573"/>
      <c r="LMD80" s="573"/>
      <c r="LME80" s="573"/>
      <c r="LMF80" s="573"/>
      <c r="LMG80" s="573"/>
      <c r="LMH80" s="573"/>
      <c r="LMI80" s="573"/>
      <c r="LMJ80" s="573"/>
      <c r="LMK80" s="573"/>
      <c r="LML80" s="573"/>
      <c r="LMM80" s="573"/>
      <c r="LMN80" s="573"/>
      <c r="LMO80" s="573"/>
      <c r="LMP80" s="573"/>
      <c r="LMQ80" s="573"/>
      <c r="LMR80" s="573"/>
      <c r="LMS80" s="573"/>
      <c r="LMT80" s="573"/>
      <c r="LMU80" s="573"/>
      <c r="LMV80" s="573"/>
      <c r="LMW80" s="573"/>
      <c r="LMX80" s="573"/>
      <c r="LMY80" s="573"/>
      <c r="LMZ80" s="573"/>
      <c r="LNA80" s="573"/>
      <c r="LNB80" s="573"/>
      <c r="LNC80" s="573"/>
      <c r="LND80" s="573"/>
      <c r="LNE80" s="573"/>
      <c r="LNF80" s="573"/>
      <c r="LNG80" s="573"/>
      <c r="LNH80" s="573"/>
      <c r="LNI80" s="573"/>
      <c r="LNJ80" s="573"/>
      <c r="LNK80" s="573"/>
      <c r="LNL80" s="573"/>
      <c r="LNM80" s="573"/>
      <c r="LNN80" s="573"/>
      <c r="LNO80" s="573"/>
      <c r="LNP80" s="573"/>
      <c r="LNQ80" s="573"/>
      <c r="LNR80" s="573"/>
      <c r="LNS80" s="573"/>
      <c r="LNT80" s="573"/>
      <c r="LNU80" s="573"/>
      <c r="LNV80" s="573"/>
      <c r="LNW80" s="573"/>
      <c r="LNX80" s="573"/>
      <c r="LNY80" s="573"/>
      <c r="LNZ80" s="573"/>
      <c r="LOA80" s="573"/>
      <c r="LOB80" s="573"/>
      <c r="LOC80" s="573"/>
      <c r="LOD80" s="573"/>
      <c r="LOE80" s="573"/>
      <c r="LOF80" s="573"/>
      <c r="LOG80" s="573"/>
      <c r="LOH80" s="573"/>
      <c r="LOI80" s="573"/>
      <c r="LOJ80" s="573"/>
      <c r="LOK80" s="573"/>
      <c r="LOL80" s="573"/>
      <c r="LOM80" s="573"/>
      <c r="LON80" s="573"/>
      <c r="LOO80" s="573"/>
      <c r="LOP80" s="573"/>
      <c r="LOQ80" s="573"/>
      <c r="LOR80" s="573"/>
      <c r="LOS80" s="573"/>
      <c r="LOT80" s="573"/>
      <c r="LOU80" s="573"/>
      <c r="LOV80" s="573"/>
      <c r="LOW80" s="573"/>
      <c r="LOX80" s="573"/>
      <c r="LOY80" s="573"/>
      <c r="LOZ80" s="573"/>
      <c r="LPA80" s="573"/>
      <c r="LPB80" s="573"/>
      <c r="LPC80" s="573"/>
      <c r="LPD80" s="573"/>
      <c r="LPE80" s="573"/>
      <c r="LPF80" s="573"/>
      <c r="LPG80" s="573"/>
      <c r="LPH80" s="573"/>
      <c r="LPI80" s="573"/>
      <c r="LPJ80" s="573"/>
      <c r="LPK80" s="573"/>
      <c r="LPL80" s="573"/>
      <c r="LPM80" s="573"/>
      <c r="LPN80" s="573"/>
      <c r="LPO80" s="573"/>
      <c r="LPP80" s="573"/>
      <c r="LPQ80" s="573"/>
      <c r="LPR80" s="573"/>
      <c r="LPS80" s="573"/>
      <c r="LPT80" s="573"/>
      <c r="LPU80" s="573"/>
      <c r="LPV80" s="573"/>
      <c r="LPW80" s="573"/>
      <c r="LPX80" s="573"/>
      <c r="LPY80" s="573"/>
      <c r="LPZ80" s="573"/>
      <c r="LQA80" s="573"/>
      <c r="LQB80" s="573"/>
      <c r="LQC80" s="573"/>
      <c r="LQD80" s="573"/>
      <c r="LQE80" s="573"/>
      <c r="LQF80" s="573"/>
      <c r="LQG80" s="573"/>
      <c r="LQH80" s="573"/>
      <c r="LQI80" s="573"/>
      <c r="LQJ80" s="573"/>
      <c r="LQK80" s="573"/>
      <c r="LQL80" s="573"/>
      <c r="LQM80" s="573"/>
      <c r="LQN80" s="573"/>
      <c r="LQO80" s="573"/>
      <c r="LQP80" s="573"/>
      <c r="LQQ80" s="573"/>
      <c r="LQR80" s="573"/>
      <c r="LQS80" s="573"/>
      <c r="LQT80" s="573"/>
      <c r="LQU80" s="573"/>
      <c r="LQV80" s="573"/>
      <c r="LQW80" s="573"/>
      <c r="LQX80" s="573"/>
      <c r="LQY80" s="573"/>
      <c r="LQZ80" s="573"/>
      <c r="LRA80" s="573"/>
      <c r="LRB80" s="573"/>
      <c r="LRC80" s="573"/>
      <c r="LRD80" s="573"/>
      <c r="LRE80" s="573"/>
      <c r="LRF80" s="573"/>
      <c r="LRG80" s="573"/>
      <c r="LRH80" s="573"/>
      <c r="LRI80" s="573"/>
      <c r="LRJ80" s="573"/>
      <c r="LRK80" s="573"/>
      <c r="LRL80" s="573"/>
      <c r="LRM80" s="573"/>
      <c r="LRN80" s="573"/>
      <c r="LRO80" s="573"/>
      <c r="LRP80" s="573"/>
      <c r="LRQ80" s="573"/>
      <c r="LRR80" s="573"/>
      <c r="LRS80" s="573"/>
      <c r="LRT80" s="573"/>
      <c r="LRU80" s="573"/>
      <c r="LRV80" s="573"/>
      <c r="LRW80" s="573"/>
      <c r="LRX80" s="573"/>
      <c r="LRY80" s="573"/>
      <c r="LRZ80" s="573"/>
      <c r="LSA80" s="573"/>
      <c r="LSB80" s="573"/>
      <c r="LSC80" s="573"/>
      <c r="LSD80" s="573"/>
      <c r="LSE80" s="573"/>
      <c r="LSF80" s="573"/>
      <c r="LSG80" s="573"/>
      <c r="LSH80" s="573"/>
      <c r="LSI80" s="573"/>
      <c r="LSJ80" s="573"/>
      <c r="LSK80" s="573"/>
      <c r="LSL80" s="573"/>
      <c r="LSM80" s="573"/>
      <c r="LSN80" s="573"/>
      <c r="LSO80" s="573"/>
      <c r="LSP80" s="573"/>
      <c r="LSQ80" s="573"/>
      <c r="LSR80" s="573"/>
      <c r="LSS80" s="573"/>
      <c r="LST80" s="573"/>
      <c r="LSU80" s="573"/>
      <c r="LSV80" s="573"/>
      <c r="LSW80" s="573"/>
      <c r="LSX80" s="573"/>
      <c r="LSY80" s="573"/>
      <c r="LSZ80" s="573"/>
      <c r="LTA80" s="573"/>
      <c r="LTB80" s="573"/>
      <c r="LTC80" s="573"/>
      <c r="LTD80" s="573"/>
      <c r="LTE80" s="573"/>
      <c r="LTF80" s="573"/>
      <c r="LTG80" s="573"/>
      <c r="LTH80" s="573"/>
      <c r="LTI80" s="573"/>
      <c r="LTJ80" s="573"/>
      <c r="LTK80" s="573"/>
      <c r="LTL80" s="573"/>
      <c r="LTM80" s="573"/>
      <c r="LTN80" s="573"/>
      <c r="LTO80" s="573"/>
      <c r="LTP80" s="573"/>
      <c r="LTQ80" s="573"/>
      <c r="LTR80" s="573"/>
      <c r="LTS80" s="573"/>
      <c r="LTT80" s="573"/>
      <c r="LTU80" s="573"/>
      <c r="LTV80" s="573"/>
      <c r="LTW80" s="573"/>
      <c r="LTX80" s="573"/>
      <c r="LTY80" s="573"/>
      <c r="LTZ80" s="573"/>
      <c r="LUA80" s="573"/>
      <c r="LUB80" s="573"/>
      <c r="LUC80" s="573"/>
      <c r="LUD80" s="573"/>
      <c r="LUE80" s="573"/>
      <c r="LUF80" s="573"/>
      <c r="LUG80" s="573"/>
      <c r="LUH80" s="573"/>
      <c r="LUI80" s="573"/>
      <c r="LUJ80" s="573"/>
      <c r="LUK80" s="573"/>
      <c r="LUL80" s="573"/>
      <c r="LUM80" s="573"/>
      <c r="LUN80" s="573"/>
      <c r="LUO80" s="573"/>
      <c r="LUP80" s="573"/>
      <c r="LUQ80" s="573"/>
      <c r="LUR80" s="573"/>
      <c r="LUS80" s="573"/>
      <c r="LUT80" s="573"/>
      <c r="LUU80" s="573"/>
      <c r="LUV80" s="573"/>
      <c r="LUW80" s="573"/>
      <c r="LUX80" s="573"/>
      <c r="LUY80" s="573"/>
      <c r="LUZ80" s="573"/>
      <c r="LVA80" s="573"/>
      <c r="LVB80" s="573"/>
      <c r="LVC80" s="573"/>
      <c r="LVD80" s="573"/>
      <c r="LVE80" s="573"/>
      <c r="LVF80" s="573"/>
      <c r="LVG80" s="573"/>
      <c r="LVH80" s="573"/>
      <c r="LVI80" s="573"/>
      <c r="LVJ80" s="573"/>
      <c r="LVK80" s="573"/>
      <c r="LVL80" s="573"/>
      <c r="LVM80" s="573"/>
      <c r="LVN80" s="573"/>
      <c r="LVO80" s="573"/>
      <c r="LVP80" s="573"/>
      <c r="LVQ80" s="573"/>
      <c r="LVR80" s="573"/>
      <c r="LVS80" s="573"/>
      <c r="LVT80" s="573"/>
      <c r="LVU80" s="573"/>
      <c r="LVV80" s="573"/>
      <c r="LVW80" s="573"/>
      <c r="LVX80" s="573"/>
      <c r="LVY80" s="573"/>
      <c r="LVZ80" s="573"/>
      <c r="LWA80" s="573"/>
      <c r="LWB80" s="573"/>
      <c r="LWC80" s="573"/>
      <c r="LWD80" s="573"/>
      <c r="LWE80" s="573"/>
      <c r="LWF80" s="573"/>
      <c r="LWG80" s="573"/>
      <c r="LWH80" s="573"/>
      <c r="LWI80" s="573"/>
      <c r="LWJ80" s="573"/>
      <c r="LWK80" s="573"/>
      <c r="LWL80" s="573"/>
      <c r="LWM80" s="573"/>
      <c r="LWN80" s="573"/>
      <c r="LWO80" s="573"/>
      <c r="LWP80" s="573"/>
      <c r="LWQ80" s="573"/>
      <c r="LWR80" s="573"/>
      <c r="LWS80" s="573"/>
      <c r="LWT80" s="573"/>
      <c r="LWU80" s="573"/>
      <c r="LWV80" s="573"/>
      <c r="LWW80" s="573"/>
      <c r="LWX80" s="573"/>
      <c r="LWY80" s="573"/>
      <c r="LWZ80" s="573"/>
      <c r="LXA80" s="573"/>
      <c r="LXB80" s="573"/>
      <c r="LXC80" s="573"/>
      <c r="LXD80" s="573"/>
      <c r="LXE80" s="573"/>
      <c r="LXF80" s="573"/>
      <c r="LXG80" s="573"/>
      <c r="LXH80" s="573"/>
      <c r="LXI80" s="573"/>
      <c r="LXJ80" s="573"/>
      <c r="LXK80" s="573"/>
      <c r="LXL80" s="573"/>
      <c r="LXM80" s="573"/>
      <c r="LXN80" s="573"/>
      <c r="LXO80" s="573"/>
      <c r="LXP80" s="573"/>
      <c r="LXQ80" s="573"/>
      <c r="LXR80" s="573"/>
      <c r="LXS80" s="573"/>
      <c r="LXT80" s="573"/>
      <c r="LXU80" s="573"/>
      <c r="LXV80" s="573"/>
      <c r="LXW80" s="573"/>
      <c r="LXX80" s="573"/>
      <c r="LXY80" s="573"/>
      <c r="LXZ80" s="573"/>
      <c r="LYA80" s="573"/>
      <c r="LYB80" s="573"/>
      <c r="LYC80" s="573"/>
      <c r="LYD80" s="573"/>
      <c r="LYE80" s="573"/>
      <c r="LYF80" s="573"/>
      <c r="LYG80" s="573"/>
      <c r="LYH80" s="573"/>
      <c r="LYI80" s="573"/>
      <c r="LYJ80" s="573"/>
      <c r="LYK80" s="573"/>
      <c r="LYL80" s="573"/>
      <c r="LYM80" s="573"/>
      <c r="LYN80" s="573"/>
      <c r="LYO80" s="573"/>
      <c r="LYP80" s="573"/>
      <c r="LYQ80" s="573"/>
      <c r="LYR80" s="573"/>
      <c r="LYS80" s="573"/>
      <c r="LYT80" s="573"/>
      <c r="LYU80" s="573"/>
      <c r="LYV80" s="573"/>
      <c r="LYW80" s="573"/>
      <c r="LYX80" s="573"/>
      <c r="LYY80" s="573"/>
      <c r="LYZ80" s="573"/>
      <c r="LZA80" s="573"/>
      <c r="LZB80" s="573"/>
      <c r="LZC80" s="573"/>
      <c r="LZD80" s="573"/>
      <c r="LZE80" s="573"/>
      <c r="LZF80" s="573"/>
      <c r="LZG80" s="573"/>
      <c r="LZH80" s="573"/>
      <c r="LZI80" s="573"/>
      <c r="LZJ80" s="573"/>
      <c r="LZK80" s="573"/>
      <c r="LZL80" s="573"/>
      <c r="LZM80" s="573"/>
      <c r="LZN80" s="573"/>
      <c r="LZO80" s="573"/>
      <c r="LZP80" s="573"/>
      <c r="LZQ80" s="573"/>
      <c r="LZR80" s="573"/>
      <c r="LZS80" s="573"/>
      <c r="LZT80" s="573"/>
      <c r="LZU80" s="573"/>
      <c r="LZV80" s="573"/>
      <c r="LZW80" s="573"/>
      <c r="LZX80" s="573"/>
      <c r="LZY80" s="573"/>
      <c r="LZZ80" s="573"/>
      <c r="MAA80" s="573"/>
      <c r="MAB80" s="573"/>
      <c r="MAC80" s="573"/>
      <c r="MAD80" s="573"/>
      <c r="MAE80" s="573"/>
      <c r="MAF80" s="573"/>
      <c r="MAG80" s="573"/>
      <c r="MAH80" s="573"/>
      <c r="MAI80" s="573"/>
      <c r="MAJ80" s="573"/>
      <c r="MAK80" s="573"/>
      <c r="MAL80" s="573"/>
      <c r="MAM80" s="573"/>
      <c r="MAN80" s="573"/>
      <c r="MAO80" s="573"/>
      <c r="MAP80" s="573"/>
      <c r="MAQ80" s="573"/>
      <c r="MAR80" s="573"/>
      <c r="MAS80" s="573"/>
      <c r="MAT80" s="573"/>
      <c r="MAU80" s="573"/>
      <c r="MAV80" s="573"/>
      <c r="MAW80" s="573"/>
      <c r="MAX80" s="573"/>
      <c r="MAY80" s="573"/>
      <c r="MAZ80" s="573"/>
      <c r="MBA80" s="573"/>
      <c r="MBB80" s="573"/>
      <c r="MBC80" s="573"/>
      <c r="MBD80" s="573"/>
      <c r="MBE80" s="573"/>
      <c r="MBF80" s="573"/>
      <c r="MBG80" s="573"/>
      <c r="MBH80" s="573"/>
      <c r="MBI80" s="573"/>
      <c r="MBJ80" s="573"/>
      <c r="MBK80" s="573"/>
      <c r="MBL80" s="573"/>
      <c r="MBM80" s="573"/>
      <c r="MBN80" s="573"/>
      <c r="MBO80" s="573"/>
      <c r="MBP80" s="573"/>
      <c r="MBQ80" s="573"/>
      <c r="MBR80" s="573"/>
      <c r="MBS80" s="573"/>
      <c r="MBT80" s="573"/>
      <c r="MBU80" s="573"/>
      <c r="MBV80" s="573"/>
      <c r="MBW80" s="573"/>
      <c r="MBX80" s="573"/>
      <c r="MBY80" s="573"/>
      <c r="MBZ80" s="573"/>
      <c r="MCA80" s="573"/>
      <c r="MCB80" s="573"/>
      <c r="MCC80" s="573"/>
      <c r="MCD80" s="573"/>
      <c r="MCE80" s="573"/>
      <c r="MCF80" s="573"/>
      <c r="MCG80" s="573"/>
      <c r="MCH80" s="573"/>
      <c r="MCI80" s="573"/>
      <c r="MCJ80" s="573"/>
      <c r="MCK80" s="573"/>
      <c r="MCL80" s="573"/>
      <c r="MCM80" s="573"/>
      <c r="MCN80" s="573"/>
      <c r="MCO80" s="573"/>
      <c r="MCP80" s="573"/>
      <c r="MCQ80" s="573"/>
      <c r="MCR80" s="573"/>
      <c r="MCS80" s="573"/>
      <c r="MCT80" s="573"/>
      <c r="MCU80" s="573"/>
      <c r="MCV80" s="573"/>
      <c r="MCW80" s="573"/>
      <c r="MCX80" s="573"/>
      <c r="MCY80" s="573"/>
      <c r="MCZ80" s="573"/>
      <c r="MDA80" s="573"/>
      <c r="MDB80" s="573"/>
      <c r="MDC80" s="573"/>
      <c r="MDD80" s="573"/>
      <c r="MDE80" s="573"/>
      <c r="MDF80" s="573"/>
      <c r="MDG80" s="573"/>
      <c r="MDH80" s="573"/>
      <c r="MDI80" s="573"/>
      <c r="MDJ80" s="573"/>
      <c r="MDK80" s="573"/>
      <c r="MDL80" s="573"/>
      <c r="MDM80" s="573"/>
      <c r="MDN80" s="573"/>
      <c r="MDO80" s="573"/>
      <c r="MDP80" s="573"/>
      <c r="MDQ80" s="573"/>
      <c r="MDR80" s="573"/>
      <c r="MDS80" s="573"/>
      <c r="MDT80" s="573"/>
      <c r="MDU80" s="573"/>
      <c r="MDV80" s="573"/>
      <c r="MDW80" s="573"/>
      <c r="MDX80" s="573"/>
      <c r="MDY80" s="573"/>
      <c r="MDZ80" s="573"/>
      <c r="MEA80" s="573"/>
      <c r="MEB80" s="573"/>
      <c r="MEC80" s="573"/>
      <c r="MED80" s="573"/>
      <c r="MEE80" s="573"/>
      <c r="MEF80" s="573"/>
      <c r="MEG80" s="573"/>
      <c r="MEH80" s="573"/>
      <c r="MEI80" s="573"/>
      <c r="MEJ80" s="573"/>
      <c r="MEK80" s="573"/>
      <c r="MEL80" s="573"/>
      <c r="MEM80" s="573"/>
      <c r="MEN80" s="573"/>
      <c r="MEO80" s="573"/>
      <c r="MEP80" s="573"/>
      <c r="MEQ80" s="573"/>
      <c r="MER80" s="573"/>
      <c r="MES80" s="573"/>
      <c r="MET80" s="573"/>
      <c r="MEU80" s="573"/>
      <c r="MEV80" s="573"/>
      <c r="MEW80" s="573"/>
      <c r="MEX80" s="573"/>
      <c r="MEY80" s="573"/>
      <c r="MEZ80" s="573"/>
      <c r="MFA80" s="573"/>
      <c r="MFB80" s="573"/>
      <c r="MFC80" s="573"/>
      <c r="MFD80" s="573"/>
      <c r="MFE80" s="573"/>
      <c r="MFF80" s="573"/>
      <c r="MFG80" s="573"/>
      <c r="MFH80" s="573"/>
      <c r="MFI80" s="573"/>
      <c r="MFJ80" s="573"/>
      <c r="MFK80" s="573"/>
      <c r="MFL80" s="573"/>
      <c r="MFM80" s="573"/>
      <c r="MFN80" s="573"/>
      <c r="MFO80" s="573"/>
      <c r="MFP80" s="573"/>
      <c r="MFQ80" s="573"/>
      <c r="MFR80" s="573"/>
      <c r="MFS80" s="573"/>
      <c r="MFT80" s="573"/>
      <c r="MFU80" s="573"/>
      <c r="MFV80" s="573"/>
      <c r="MFW80" s="573"/>
      <c r="MFX80" s="573"/>
      <c r="MFY80" s="573"/>
      <c r="MFZ80" s="573"/>
      <c r="MGA80" s="573"/>
      <c r="MGB80" s="573"/>
      <c r="MGC80" s="573"/>
      <c r="MGD80" s="573"/>
      <c r="MGE80" s="573"/>
      <c r="MGF80" s="573"/>
      <c r="MGG80" s="573"/>
      <c r="MGH80" s="573"/>
      <c r="MGI80" s="573"/>
      <c r="MGJ80" s="573"/>
      <c r="MGK80" s="573"/>
      <c r="MGL80" s="573"/>
      <c r="MGM80" s="573"/>
      <c r="MGN80" s="573"/>
      <c r="MGO80" s="573"/>
      <c r="MGP80" s="573"/>
      <c r="MGQ80" s="573"/>
      <c r="MGR80" s="573"/>
      <c r="MGS80" s="573"/>
      <c r="MGT80" s="573"/>
      <c r="MGU80" s="573"/>
      <c r="MGV80" s="573"/>
      <c r="MGW80" s="573"/>
      <c r="MGX80" s="573"/>
      <c r="MGY80" s="573"/>
      <c r="MGZ80" s="573"/>
      <c r="MHA80" s="573"/>
      <c r="MHB80" s="573"/>
      <c r="MHC80" s="573"/>
      <c r="MHD80" s="573"/>
      <c r="MHE80" s="573"/>
      <c r="MHF80" s="573"/>
      <c r="MHG80" s="573"/>
      <c r="MHH80" s="573"/>
      <c r="MHI80" s="573"/>
      <c r="MHJ80" s="573"/>
      <c r="MHK80" s="573"/>
      <c r="MHL80" s="573"/>
      <c r="MHM80" s="573"/>
      <c r="MHN80" s="573"/>
      <c r="MHO80" s="573"/>
      <c r="MHP80" s="573"/>
      <c r="MHQ80" s="573"/>
      <c r="MHR80" s="573"/>
      <c r="MHS80" s="573"/>
      <c r="MHT80" s="573"/>
      <c r="MHU80" s="573"/>
      <c r="MHV80" s="573"/>
      <c r="MHW80" s="573"/>
      <c r="MHX80" s="573"/>
      <c r="MHY80" s="573"/>
      <c r="MHZ80" s="573"/>
      <c r="MIA80" s="573"/>
      <c r="MIB80" s="573"/>
      <c r="MIC80" s="573"/>
      <c r="MID80" s="573"/>
      <c r="MIE80" s="573"/>
      <c r="MIF80" s="573"/>
      <c r="MIG80" s="573"/>
      <c r="MIH80" s="573"/>
      <c r="MII80" s="573"/>
      <c r="MIJ80" s="573"/>
      <c r="MIK80" s="573"/>
      <c r="MIL80" s="573"/>
      <c r="MIM80" s="573"/>
      <c r="MIN80" s="573"/>
      <c r="MIO80" s="573"/>
      <c r="MIP80" s="573"/>
      <c r="MIQ80" s="573"/>
      <c r="MIR80" s="573"/>
      <c r="MIS80" s="573"/>
      <c r="MIT80" s="573"/>
      <c r="MIU80" s="573"/>
      <c r="MIV80" s="573"/>
      <c r="MIW80" s="573"/>
      <c r="MIX80" s="573"/>
      <c r="MIY80" s="573"/>
      <c r="MIZ80" s="573"/>
      <c r="MJA80" s="573"/>
      <c r="MJB80" s="573"/>
      <c r="MJC80" s="573"/>
      <c r="MJD80" s="573"/>
      <c r="MJE80" s="573"/>
      <c r="MJF80" s="573"/>
      <c r="MJG80" s="573"/>
      <c r="MJH80" s="573"/>
      <c r="MJI80" s="573"/>
      <c r="MJJ80" s="573"/>
      <c r="MJK80" s="573"/>
      <c r="MJL80" s="573"/>
      <c r="MJM80" s="573"/>
      <c r="MJN80" s="573"/>
      <c r="MJO80" s="573"/>
      <c r="MJP80" s="573"/>
      <c r="MJQ80" s="573"/>
      <c r="MJR80" s="573"/>
      <c r="MJS80" s="573"/>
      <c r="MJT80" s="573"/>
      <c r="MJU80" s="573"/>
      <c r="MJV80" s="573"/>
      <c r="MJW80" s="573"/>
      <c r="MJX80" s="573"/>
      <c r="MJY80" s="573"/>
      <c r="MJZ80" s="573"/>
      <c r="MKA80" s="573"/>
      <c r="MKB80" s="573"/>
      <c r="MKC80" s="573"/>
      <c r="MKD80" s="573"/>
      <c r="MKE80" s="573"/>
      <c r="MKF80" s="573"/>
      <c r="MKG80" s="573"/>
      <c r="MKH80" s="573"/>
      <c r="MKI80" s="573"/>
      <c r="MKJ80" s="573"/>
      <c r="MKK80" s="573"/>
      <c r="MKL80" s="573"/>
      <c r="MKM80" s="573"/>
      <c r="MKN80" s="573"/>
      <c r="MKO80" s="573"/>
      <c r="MKP80" s="573"/>
      <c r="MKQ80" s="573"/>
      <c r="MKR80" s="573"/>
      <c r="MKS80" s="573"/>
      <c r="MKT80" s="573"/>
      <c r="MKU80" s="573"/>
      <c r="MKV80" s="573"/>
      <c r="MKW80" s="573"/>
      <c r="MKX80" s="573"/>
      <c r="MKY80" s="573"/>
      <c r="MKZ80" s="573"/>
      <c r="MLA80" s="573"/>
      <c r="MLB80" s="573"/>
      <c r="MLC80" s="573"/>
      <c r="MLD80" s="573"/>
      <c r="MLE80" s="573"/>
      <c r="MLF80" s="573"/>
      <c r="MLG80" s="573"/>
      <c r="MLH80" s="573"/>
      <c r="MLI80" s="573"/>
      <c r="MLJ80" s="573"/>
      <c r="MLK80" s="573"/>
      <c r="MLL80" s="573"/>
      <c r="MLM80" s="573"/>
      <c r="MLN80" s="573"/>
      <c r="MLO80" s="573"/>
      <c r="MLP80" s="573"/>
      <c r="MLQ80" s="573"/>
      <c r="MLR80" s="573"/>
      <c r="MLS80" s="573"/>
      <c r="MLT80" s="573"/>
      <c r="MLU80" s="573"/>
      <c r="MLV80" s="573"/>
      <c r="MLW80" s="573"/>
      <c r="MLX80" s="573"/>
      <c r="MLY80" s="573"/>
      <c r="MLZ80" s="573"/>
      <c r="MMA80" s="573"/>
      <c r="MMB80" s="573"/>
      <c r="MMC80" s="573"/>
      <c r="MMD80" s="573"/>
      <c r="MME80" s="573"/>
      <c r="MMF80" s="573"/>
      <c r="MMG80" s="573"/>
      <c r="MMH80" s="573"/>
      <c r="MMI80" s="573"/>
      <c r="MMJ80" s="573"/>
      <c r="MMK80" s="573"/>
      <c r="MML80" s="573"/>
      <c r="MMM80" s="573"/>
      <c r="MMN80" s="573"/>
      <c r="MMO80" s="573"/>
      <c r="MMP80" s="573"/>
      <c r="MMQ80" s="573"/>
      <c r="MMR80" s="573"/>
      <c r="MMS80" s="573"/>
      <c r="MMT80" s="573"/>
      <c r="MMU80" s="573"/>
      <c r="MMV80" s="573"/>
      <c r="MMW80" s="573"/>
      <c r="MMX80" s="573"/>
      <c r="MMY80" s="573"/>
      <c r="MMZ80" s="573"/>
      <c r="MNA80" s="573"/>
      <c r="MNB80" s="573"/>
      <c r="MNC80" s="573"/>
      <c r="MND80" s="573"/>
      <c r="MNE80" s="573"/>
      <c r="MNF80" s="573"/>
      <c r="MNG80" s="573"/>
      <c r="MNH80" s="573"/>
      <c r="MNI80" s="573"/>
      <c r="MNJ80" s="573"/>
      <c r="MNK80" s="573"/>
      <c r="MNL80" s="573"/>
      <c r="MNM80" s="573"/>
      <c r="MNN80" s="573"/>
      <c r="MNO80" s="573"/>
      <c r="MNP80" s="573"/>
      <c r="MNQ80" s="573"/>
      <c r="MNR80" s="573"/>
      <c r="MNS80" s="573"/>
      <c r="MNT80" s="573"/>
      <c r="MNU80" s="573"/>
      <c r="MNV80" s="573"/>
      <c r="MNW80" s="573"/>
      <c r="MNX80" s="573"/>
      <c r="MNY80" s="573"/>
      <c r="MNZ80" s="573"/>
      <c r="MOA80" s="573"/>
      <c r="MOB80" s="573"/>
      <c r="MOC80" s="573"/>
      <c r="MOD80" s="573"/>
      <c r="MOE80" s="573"/>
      <c r="MOF80" s="573"/>
      <c r="MOG80" s="573"/>
      <c r="MOH80" s="573"/>
      <c r="MOI80" s="573"/>
      <c r="MOJ80" s="573"/>
      <c r="MOK80" s="573"/>
      <c r="MOL80" s="573"/>
      <c r="MOM80" s="573"/>
      <c r="MON80" s="573"/>
      <c r="MOO80" s="573"/>
      <c r="MOP80" s="573"/>
      <c r="MOQ80" s="573"/>
      <c r="MOR80" s="573"/>
      <c r="MOS80" s="573"/>
      <c r="MOT80" s="573"/>
      <c r="MOU80" s="573"/>
      <c r="MOV80" s="573"/>
      <c r="MOW80" s="573"/>
      <c r="MOX80" s="573"/>
      <c r="MOY80" s="573"/>
      <c r="MOZ80" s="573"/>
      <c r="MPA80" s="573"/>
      <c r="MPB80" s="573"/>
      <c r="MPC80" s="573"/>
      <c r="MPD80" s="573"/>
      <c r="MPE80" s="573"/>
      <c r="MPF80" s="573"/>
      <c r="MPG80" s="573"/>
      <c r="MPH80" s="573"/>
      <c r="MPI80" s="573"/>
      <c r="MPJ80" s="573"/>
      <c r="MPK80" s="573"/>
      <c r="MPL80" s="573"/>
      <c r="MPM80" s="573"/>
      <c r="MPN80" s="573"/>
      <c r="MPO80" s="573"/>
      <c r="MPP80" s="573"/>
      <c r="MPQ80" s="573"/>
      <c r="MPR80" s="573"/>
      <c r="MPS80" s="573"/>
      <c r="MPT80" s="573"/>
      <c r="MPU80" s="573"/>
      <c r="MPV80" s="573"/>
      <c r="MPW80" s="573"/>
      <c r="MPX80" s="573"/>
      <c r="MPY80" s="573"/>
      <c r="MPZ80" s="573"/>
      <c r="MQA80" s="573"/>
      <c r="MQB80" s="573"/>
      <c r="MQC80" s="573"/>
      <c r="MQD80" s="573"/>
      <c r="MQE80" s="573"/>
      <c r="MQF80" s="573"/>
      <c r="MQG80" s="573"/>
      <c r="MQH80" s="573"/>
      <c r="MQI80" s="573"/>
      <c r="MQJ80" s="573"/>
      <c r="MQK80" s="573"/>
      <c r="MQL80" s="573"/>
      <c r="MQM80" s="573"/>
      <c r="MQN80" s="573"/>
      <c r="MQO80" s="573"/>
      <c r="MQP80" s="573"/>
      <c r="MQQ80" s="573"/>
      <c r="MQR80" s="573"/>
      <c r="MQS80" s="573"/>
      <c r="MQT80" s="573"/>
      <c r="MQU80" s="573"/>
      <c r="MQV80" s="573"/>
      <c r="MQW80" s="573"/>
      <c r="MQX80" s="573"/>
      <c r="MQY80" s="573"/>
      <c r="MQZ80" s="573"/>
      <c r="MRA80" s="573"/>
      <c r="MRB80" s="573"/>
      <c r="MRC80" s="573"/>
      <c r="MRD80" s="573"/>
      <c r="MRE80" s="573"/>
      <c r="MRF80" s="573"/>
      <c r="MRG80" s="573"/>
      <c r="MRH80" s="573"/>
      <c r="MRI80" s="573"/>
      <c r="MRJ80" s="573"/>
      <c r="MRK80" s="573"/>
      <c r="MRL80" s="573"/>
      <c r="MRM80" s="573"/>
      <c r="MRN80" s="573"/>
      <c r="MRO80" s="573"/>
      <c r="MRP80" s="573"/>
      <c r="MRQ80" s="573"/>
      <c r="MRR80" s="573"/>
      <c r="MRS80" s="573"/>
      <c r="MRT80" s="573"/>
      <c r="MRU80" s="573"/>
      <c r="MRV80" s="573"/>
      <c r="MRW80" s="573"/>
      <c r="MRX80" s="573"/>
      <c r="MRY80" s="573"/>
      <c r="MRZ80" s="573"/>
      <c r="MSA80" s="573"/>
      <c r="MSB80" s="573"/>
      <c r="MSC80" s="573"/>
      <c r="MSD80" s="573"/>
      <c r="MSE80" s="573"/>
      <c r="MSF80" s="573"/>
      <c r="MSG80" s="573"/>
      <c r="MSH80" s="573"/>
      <c r="MSI80" s="573"/>
      <c r="MSJ80" s="573"/>
      <c r="MSK80" s="573"/>
      <c r="MSL80" s="573"/>
      <c r="MSM80" s="573"/>
      <c r="MSN80" s="573"/>
      <c r="MSO80" s="573"/>
      <c r="MSP80" s="573"/>
      <c r="MSQ80" s="573"/>
      <c r="MSR80" s="573"/>
      <c r="MSS80" s="573"/>
      <c r="MST80" s="573"/>
      <c r="MSU80" s="573"/>
      <c r="MSV80" s="573"/>
      <c r="MSW80" s="573"/>
      <c r="MSX80" s="573"/>
      <c r="MSY80" s="573"/>
      <c r="MSZ80" s="573"/>
      <c r="MTA80" s="573"/>
      <c r="MTB80" s="573"/>
      <c r="MTC80" s="573"/>
      <c r="MTD80" s="573"/>
      <c r="MTE80" s="573"/>
      <c r="MTF80" s="573"/>
      <c r="MTG80" s="573"/>
      <c r="MTH80" s="573"/>
      <c r="MTI80" s="573"/>
      <c r="MTJ80" s="573"/>
      <c r="MTK80" s="573"/>
      <c r="MTL80" s="573"/>
      <c r="MTM80" s="573"/>
      <c r="MTN80" s="573"/>
      <c r="MTO80" s="573"/>
      <c r="MTP80" s="573"/>
      <c r="MTQ80" s="573"/>
      <c r="MTR80" s="573"/>
      <c r="MTS80" s="573"/>
      <c r="MTT80" s="573"/>
      <c r="MTU80" s="573"/>
      <c r="MTV80" s="573"/>
      <c r="MTW80" s="573"/>
      <c r="MTX80" s="573"/>
      <c r="MTY80" s="573"/>
      <c r="MTZ80" s="573"/>
      <c r="MUA80" s="573"/>
      <c r="MUB80" s="573"/>
      <c r="MUC80" s="573"/>
      <c r="MUD80" s="573"/>
      <c r="MUE80" s="573"/>
      <c r="MUF80" s="573"/>
      <c r="MUG80" s="573"/>
      <c r="MUH80" s="573"/>
      <c r="MUI80" s="573"/>
      <c r="MUJ80" s="573"/>
      <c r="MUK80" s="573"/>
      <c r="MUL80" s="573"/>
      <c r="MUM80" s="573"/>
      <c r="MUN80" s="573"/>
      <c r="MUO80" s="573"/>
      <c r="MUP80" s="573"/>
      <c r="MUQ80" s="573"/>
      <c r="MUR80" s="573"/>
      <c r="MUS80" s="573"/>
      <c r="MUT80" s="573"/>
      <c r="MUU80" s="573"/>
      <c r="MUV80" s="573"/>
      <c r="MUW80" s="573"/>
      <c r="MUX80" s="573"/>
      <c r="MUY80" s="573"/>
      <c r="MUZ80" s="573"/>
      <c r="MVA80" s="573"/>
      <c r="MVB80" s="573"/>
      <c r="MVC80" s="573"/>
      <c r="MVD80" s="573"/>
      <c r="MVE80" s="573"/>
      <c r="MVF80" s="573"/>
      <c r="MVG80" s="573"/>
      <c r="MVH80" s="573"/>
      <c r="MVI80" s="573"/>
      <c r="MVJ80" s="573"/>
      <c r="MVK80" s="573"/>
      <c r="MVL80" s="573"/>
      <c r="MVM80" s="573"/>
      <c r="MVN80" s="573"/>
      <c r="MVO80" s="573"/>
      <c r="MVP80" s="573"/>
      <c r="MVQ80" s="573"/>
      <c r="MVR80" s="573"/>
      <c r="MVS80" s="573"/>
      <c r="MVT80" s="573"/>
      <c r="MVU80" s="573"/>
      <c r="MVV80" s="573"/>
      <c r="MVW80" s="573"/>
      <c r="MVX80" s="573"/>
      <c r="MVY80" s="573"/>
      <c r="MVZ80" s="573"/>
      <c r="MWA80" s="573"/>
      <c r="MWB80" s="573"/>
      <c r="MWC80" s="573"/>
      <c r="MWD80" s="573"/>
      <c r="MWE80" s="573"/>
      <c r="MWF80" s="573"/>
      <c r="MWG80" s="573"/>
      <c r="MWH80" s="573"/>
      <c r="MWI80" s="573"/>
      <c r="MWJ80" s="573"/>
      <c r="MWK80" s="573"/>
      <c r="MWL80" s="573"/>
      <c r="MWM80" s="573"/>
      <c r="MWN80" s="573"/>
      <c r="MWO80" s="573"/>
      <c r="MWP80" s="573"/>
      <c r="MWQ80" s="573"/>
      <c r="MWR80" s="573"/>
      <c r="MWS80" s="573"/>
      <c r="MWT80" s="573"/>
      <c r="MWU80" s="573"/>
      <c r="MWV80" s="573"/>
      <c r="MWW80" s="573"/>
      <c r="MWX80" s="573"/>
      <c r="MWY80" s="573"/>
      <c r="MWZ80" s="573"/>
      <c r="MXA80" s="573"/>
      <c r="MXB80" s="573"/>
      <c r="MXC80" s="573"/>
      <c r="MXD80" s="573"/>
      <c r="MXE80" s="573"/>
      <c r="MXF80" s="573"/>
      <c r="MXG80" s="573"/>
      <c r="MXH80" s="573"/>
      <c r="MXI80" s="573"/>
      <c r="MXJ80" s="573"/>
      <c r="MXK80" s="573"/>
      <c r="MXL80" s="573"/>
      <c r="MXM80" s="573"/>
      <c r="MXN80" s="573"/>
      <c r="MXO80" s="573"/>
      <c r="MXP80" s="573"/>
      <c r="MXQ80" s="573"/>
      <c r="MXR80" s="573"/>
      <c r="MXS80" s="573"/>
      <c r="MXT80" s="573"/>
      <c r="MXU80" s="573"/>
      <c r="MXV80" s="573"/>
      <c r="MXW80" s="573"/>
      <c r="MXX80" s="573"/>
      <c r="MXY80" s="573"/>
      <c r="MXZ80" s="573"/>
      <c r="MYA80" s="573"/>
      <c r="MYB80" s="573"/>
      <c r="MYC80" s="573"/>
      <c r="MYD80" s="573"/>
      <c r="MYE80" s="573"/>
      <c r="MYF80" s="573"/>
      <c r="MYG80" s="573"/>
      <c r="MYH80" s="573"/>
      <c r="MYI80" s="573"/>
      <c r="MYJ80" s="573"/>
      <c r="MYK80" s="573"/>
      <c r="MYL80" s="573"/>
      <c r="MYM80" s="573"/>
      <c r="MYN80" s="573"/>
      <c r="MYO80" s="573"/>
      <c r="MYP80" s="573"/>
      <c r="MYQ80" s="573"/>
      <c r="MYR80" s="573"/>
      <c r="MYS80" s="573"/>
      <c r="MYT80" s="573"/>
      <c r="MYU80" s="573"/>
      <c r="MYV80" s="573"/>
      <c r="MYW80" s="573"/>
      <c r="MYX80" s="573"/>
      <c r="MYY80" s="573"/>
      <c r="MYZ80" s="573"/>
      <c r="MZA80" s="573"/>
      <c r="MZB80" s="573"/>
      <c r="MZC80" s="573"/>
      <c r="MZD80" s="573"/>
      <c r="MZE80" s="573"/>
      <c r="MZF80" s="573"/>
      <c r="MZG80" s="573"/>
      <c r="MZH80" s="573"/>
      <c r="MZI80" s="573"/>
      <c r="MZJ80" s="573"/>
      <c r="MZK80" s="573"/>
      <c r="MZL80" s="573"/>
      <c r="MZM80" s="573"/>
      <c r="MZN80" s="573"/>
      <c r="MZO80" s="573"/>
      <c r="MZP80" s="573"/>
      <c r="MZQ80" s="573"/>
      <c r="MZR80" s="573"/>
      <c r="MZS80" s="573"/>
      <c r="MZT80" s="573"/>
      <c r="MZU80" s="573"/>
      <c r="MZV80" s="573"/>
      <c r="MZW80" s="573"/>
      <c r="MZX80" s="573"/>
      <c r="MZY80" s="573"/>
      <c r="MZZ80" s="573"/>
      <c r="NAA80" s="573"/>
      <c r="NAB80" s="573"/>
      <c r="NAC80" s="573"/>
      <c r="NAD80" s="573"/>
      <c r="NAE80" s="573"/>
      <c r="NAF80" s="573"/>
      <c r="NAG80" s="573"/>
      <c r="NAH80" s="573"/>
      <c r="NAI80" s="573"/>
      <c r="NAJ80" s="573"/>
      <c r="NAK80" s="573"/>
      <c r="NAL80" s="573"/>
      <c r="NAM80" s="573"/>
      <c r="NAN80" s="573"/>
      <c r="NAO80" s="573"/>
      <c r="NAP80" s="573"/>
      <c r="NAQ80" s="573"/>
      <c r="NAR80" s="573"/>
      <c r="NAS80" s="573"/>
      <c r="NAT80" s="573"/>
      <c r="NAU80" s="573"/>
      <c r="NAV80" s="573"/>
      <c r="NAW80" s="573"/>
      <c r="NAX80" s="573"/>
      <c r="NAY80" s="573"/>
      <c r="NAZ80" s="573"/>
      <c r="NBA80" s="573"/>
      <c r="NBB80" s="573"/>
      <c r="NBC80" s="573"/>
      <c r="NBD80" s="573"/>
      <c r="NBE80" s="573"/>
      <c r="NBF80" s="573"/>
      <c r="NBG80" s="573"/>
      <c r="NBH80" s="573"/>
      <c r="NBI80" s="573"/>
      <c r="NBJ80" s="573"/>
      <c r="NBK80" s="573"/>
      <c r="NBL80" s="573"/>
      <c r="NBM80" s="573"/>
      <c r="NBN80" s="573"/>
      <c r="NBO80" s="573"/>
      <c r="NBP80" s="573"/>
      <c r="NBQ80" s="573"/>
      <c r="NBR80" s="573"/>
      <c r="NBS80" s="573"/>
      <c r="NBT80" s="573"/>
      <c r="NBU80" s="573"/>
      <c r="NBV80" s="573"/>
      <c r="NBW80" s="573"/>
      <c r="NBX80" s="573"/>
      <c r="NBY80" s="573"/>
      <c r="NBZ80" s="573"/>
      <c r="NCA80" s="573"/>
      <c r="NCB80" s="573"/>
      <c r="NCC80" s="573"/>
      <c r="NCD80" s="573"/>
      <c r="NCE80" s="573"/>
      <c r="NCF80" s="573"/>
      <c r="NCG80" s="573"/>
      <c r="NCH80" s="573"/>
      <c r="NCI80" s="573"/>
      <c r="NCJ80" s="573"/>
      <c r="NCK80" s="573"/>
      <c r="NCL80" s="573"/>
      <c r="NCM80" s="573"/>
      <c r="NCN80" s="573"/>
      <c r="NCO80" s="573"/>
      <c r="NCP80" s="573"/>
      <c r="NCQ80" s="573"/>
      <c r="NCR80" s="573"/>
      <c r="NCS80" s="573"/>
      <c r="NCT80" s="573"/>
      <c r="NCU80" s="573"/>
      <c r="NCV80" s="573"/>
      <c r="NCW80" s="573"/>
      <c r="NCX80" s="573"/>
      <c r="NCY80" s="573"/>
      <c r="NCZ80" s="573"/>
      <c r="NDA80" s="573"/>
      <c r="NDB80" s="573"/>
      <c r="NDC80" s="573"/>
      <c r="NDD80" s="573"/>
      <c r="NDE80" s="573"/>
      <c r="NDF80" s="573"/>
      <c r="NDG80" s="573"/>
      <c r="NDH80" s="573"/>
      <c r="NDI80" s="573"/>
      <c r="NDJ80" s="573"/>
      <c r="NDK80" s="573"/>
      <c r="NDL80" s="573"/>
      <c r="NDM80" s="573"/>
      <c r="NDN80" s="573"/>
      <c r="NDO80" s="573"/>
      <c r="NDP80" s="573"/>
      <c r="NDQ80" s="573"/>
      <c r="NDR80" s="573"/>
      <c r="NDS80" s="573"/>
      <c r="NDT80" s="573"/>
      <c r="NDU80" s="573"/>
      <c r="NDV80" s="573"/>
      <c r="NDW80" s="573"/>
      <c r="NDX80" s="573"/>
      <c r="NDY80" s="573"/>
      <c r="NDZ80" s="573"/>
      <c r="NEA80" s="573"/>
      <c r="NEB80" s="573"/>
      <c r="NEC80" s="573"/>
      <c r="NED80" s="573"/>
      <c r="NEE80" s="573"/>
      <c r="NEF80" s="573"/>
      <c r="NEG80" s="573"/>
      <c r="NEH80" s="573"/>
      <c r="NEI80" s="573"/>
      <c r="NEJ80" s="573"/>
      <c r="NEK80" s="573"/>
      <c r="NEL80" s="573"/>
      <c r="NEM80" s="573"/>
      <c r="NEN80" s="573"/>
      <c r="NEO80" s="573"/>
      <c r="NEP80" s="573"/>
      <c r="NEQ80" s="573"/>
      <c r="NER80" s="573"/>
      <c r="NES80" s="573"/>
      <c r="NET80" s="573"/>
      <c r="NEU80" s="573"/>
      <c r="NEV80" s="573"/>
      <c r="NEW80" s="573"/>
      <c r="NEX80" s="573"/>
      <c r="NEY80" s="573"/>
      <c r="NEZ80" s="573"/>
      <c r="NFA80" s="573"/>
      <c r="NFB80" s="573"/>
      <c r="NFC80" s="573"/>
      <c r="NFD80" s="573"/>
      <c r="NFE80" s="573"/>
      <c r="NFF80" s="573"/>
      <c r="NFG80" s="573"/>
      <c r="NFH80" s="573"/>
      <c r="NFI80" s="573"/>
      <c r="NFJ80" s="573"/>
      <c r="NFK80" s="573"/>
      <c r="NFL80" s="573"/>
      <c r="NFM80" s="573"/>
      <c r="NFN80" s="573"/>
      <c r="NFO80" s="573"/>
      <c r="NFP80" s="573"/>
      <c r="NFQ80" s="573"/>
      <c r="NFR80" s="573"/>
      <c r="NFS80" s="573"/>
      <c r="NFT80" s="573"/>
      <c r="NFU80" s="573"/>
      <c r="NFV80" s="573"/>
      <c r="NFW80" s="573"/>
      <c r="NFX80" s="573"/>
      <c r="NFY80" s="573"/>
      <c r="NFZ80" s="573"/>
      <c r="NGA80" s="573"/>
      <c r="NGB80" s="573"/>
      <c r="NGC80" s="573"/>
      <c r="NGD80" s="573"/>
      <c r="NGE80" s="573"/>
      <c r="NGF80" s="573"/>
      <c r="NGG80" s="573"/>
      <c r="NGH80" s="573"/>
      <c r="NGI80" s="573"/>
      <c r="NGJ80" s="573"/>
      <c r="NGK80" s="573"/>
      <c r="NGL80" s="573"/>
      <c r="NGM80" s="573"/>
      <c r="NGN80" s="573"/>
      <c r="NGO80" s="573"/>
      <c r="NGP80" s="573"/>
      <c r="NGQ80" s="573"/>
      <c r="NGR80" s="573"/>
      <c r="NGS80" s="573"/>
      <c r="NGT80" s="573"/>
      <c r="NGU80" s="573"/>
      <c r="NGV80" s="573"/>
      <c r="NGW80" s="573"/>
      <c r="NGX80" s="573"/>
      <c r="NGY80" s="573"/>
      <c r="NGZ80" s="573"/>
      <c r="NHA80" s="573"/>
      <c r="NHB80" s="573"/>
      <c r="NHC80" s="573"/>
      <c r="NHD80" s="573"/>
      <c r="NHE80" s="573"/>
      <c r="NHF80" s="573"/>
      <c r="NHG80" s="573"/>
      <c r="NHH80" s="573"/>
      <c r="NHI80" s="573"/>
      <c r="NHJ80" s="573"/>
      <c r="NHK80" s="573"/>
      <c r="NHL80" s="573"/>
      <c r="NHM80" s="573"/>
      <c r="NHN80" s="573"/>
      <c r="NHO80" s="573"/>
      <c r="NHP80" s="573"/>
      <c r="NHQ80" s="573"/>
      <c r="NHR80" s="573"/>
      <c r="NHS80" s="573"/>
      <c r="NHT80" s="573"/>
      <c r="NHU80" s="573"/>
      <c r="NHV80" s="573"/>
      <c r="NHW80" s="573"/>
      <c r="NHX80" s="573"/>
      <c r="NHY80" s="573"/>
      <c r="NHZ80" s="573"/>
      <c r="NIA80" s="573"/>
      <c r="NIB80" s="573"/>
      <c r="NIC80" s="573"/>
      <c r="NID80" s="573"/>
      <c r="NIE80" s="573"/>
      <c r="NIF80" s="573"/>
      <c r="NIG80" s="573"/>
      <c r="NIH80" s="573"/>
      <c r="NII80" s="573"/>
      <c r="NIJ80" s="573"/>
      <c r="NIK80" s="573"/>
      <c r="NIL80" s="573"/>
      <c r="NIM80" s="573"/>
      <c r="NIN80" s="573"/>
      <c r="NIO80" s="573"/>
      <c r="NIP80" s="573"/>
      <c r="NIQ80" s="573"/>
      <c r="NIR80" s="573"/>
      <c r="NIS80" s="573"/>
      <c r="NIT80" s="573"/>
      <c r="NIU80" s="573"/>
      <c r="NIV80" s="573"/>
      <c r="NIW80" s="573"/>
      <c r="NIX80" s="573"/>
      <c r="NIY80" s="573"/>
      <c r="NIZ80" s="573"/>
      <c r="NJA80" s="573"/>
      <c r="NJB80" s="573"/>
      <c r="NJC80" s="573"/>
      <c r="NJD80" s="573"/>
      <c r="NJE80" s="573"/>
      <c r="NJF80" s="573"/>
      <c r="NJG80" s="573"/>
      <c r="NJH80" s="573"/>
      <c r="NJI80" s="573"/>
      <c r="NJJ80" s="573"/>
      <c r="NJK80" s="573"/>
      <c r="NJL80" s="573"/>
      <c r="NJM80" s="573"/>
      <c r="NJN80" s="573"/>
      <c r="NJO80" s="573"/>
      <c r="NJP80" s="573"/>
      <c r="NJQ80" s="573"/>
      <c r="NJR80" s="573"/>
      <c r="NJS80" s="573"/>
      <c r="NJT80" s="573"/>
      <c r="NJU80" s="573"/>
      <c r="NJV80" s="573"/>
      <c r="NJW80" s="573"/>
      <c r="NJX80" s="573"/>
      <c r="NJY80" s="573"/>
      <c r="NJZ80" s="573"/>
      <c r="NKA80" s="573"/>
      <c r="NKB80" s="573"/>
      <c r="NKC80" s="573"/>
      <c r="NKD80" s="573"/>
      <c r="NKE80" s="573"/>
      <c r="NKF80" s="573"/>
      <c r="NKG80" s="573"/>
      <c r="NKH80" s="573"/>
      <c r="NKI80" s="573"/>
      <c r="NKJ80" s="573"/>
      <c r="NKK80" s="573"/>
      <c r="NKL80" s="573"/>
      <c r="NKM80" s="573"/>
      <c r="NKN80" s="573"/>
      <c r="NKO80" s="573"/>
      <c r="NKP80" s="573"/>
      <c r="NKQ80" s="573"/>
      <c r="NKR80" s="573"/>
      <c r="NKS80" s="573"/>
      <c r="NKT80" s="573"/>
      <c r="NKU80" s="573"/>
      <c r="NKV80" s="573"/>
      <c r="NKW80" s="573"/>
      <c r="NKX80" s="573"/>
      <c r="NKY80" s="573"/>
      <c r="NKZ80" s="573"/>
      <c r="NLA80" s="573"/>
      <c r="NLB80" s="573"/>
      <c r="NLC80" s="573"/>
      <c r="NLD80" s="573"/>
      <c r="NLE80" s="573"/>
      <c r="NLF80" s="573"/>
      <c r="NLG80" s="573"/>
      <c r="NLH80" s="573"/>
      <c r="NLI80" s="573"/>
      <c r="NLJ80" s="573"/>
      <c r="NLK80" s="573"/>
      <c r="NLL80" s="573"/>
      <c r="NLM80" s="573"/>
      <c r="NLN80" s="573"/>
      <c r="NLO80" s="573"/>
      <c r="NLP80" s="573"/>
      <c r="NLQ80" s="573"/>
      <c r="NLR80" s="573"/>
      <c r="NLS80" s="573"/>
      <c r="NLT80" s="573"/>
      <c r="NLU80" s="573"/>
      <c r="NLV80" s="573"/>
      <c r="NLW80" s="573"/>
      <c r="NLX80" s="573"/>
      <c r="NLY80" s="573"/>
      <c r="NLZ80" s="573"/>
      <c r="NMA80" s="573"/>
      <c r="NMB80" s="573"/>
      <c r="NMC80" s="573"/>
      <c r="NMD80" s="573"/>
      <c r="NME80" s="573"/>
      <c r="NMF80" s="573"/>
      <c r="NMG80" s="573"/>
      <c r="NMH80" s="573"/>
      <c r="NMI80" s="573"/>
      <c r="NMJ80" s="573"/>
      <c r="NMK80" s="573"/>
      <c r="NML80" s="573"/>
      <c r="NMM80" s="573"/>
      <c r="NMN80" s="573"/>
      <c r="NMO80" s="573"/>
      <c r="NMP80" s="573"/>
      <c r="NMQ80" s="573"/>
      <c r="NMR80" s="573"/>
      <c r="NMS80" s="573"/>
      <c r="NMT80" s="573"/>
      <c r="NMU80" s="573"/>
      <c r="NMV80" s="573"/>
      <c r="NMW80" s="573"/>
      <c r="NMX80" s="573"/>
      <c r="NMY80" s="573"/>
      <c r="NMZ80" s="573"/>
      <c r="NNA80" s="573"/>
      <c r="NNB80" s="573"/>
      <c r="NNC80" s="573"/>
      <c r="NND80" s="573"/>
      <c r="NNE80" s="573"/>
      <c r="NNF80" s="573"/>
      <c r="NNG80" s="573"/>
      <c r="NNH80" s="573"/>
      <c r="NNI80" s="573"/>
      <c r="NNJ80" s="573"/>
      <c r="NNK80" s="573"/>
      <c r="NNL80" s="573"/>
      <c r="NNM80" s="573"/>
      <c r="NNN80" s="573"/>
      <c r="NNO80" s="573"/>
      <c r="NNP80" s="573"/>
      <c r="NNQ80" s="573"/>
      <c r="NNR80" s="573"/>
      <c r="NNS80" s="573"/>
      <c r="NNT80" s="573"/>
      <c r="NNU80" s="573"/>
      <c r="NNV80" s="573"/>
      <c r="NNW80" s="573"/>
      <c r="NNX80" s="573"/>
      <c r="NNY80" s="573"/>
      <c r="NNZ80" s="573"/>
      <c r="NOA80" s="573"/>
      <c r="NOB80" s="573"/>
      <c r="NOC80" s="573"/>
      <c r="NOD80" s="573"/>
      <c r="NOE80" s="573"/>
      <c r="NOF80" s="573"/>
      <c r="NOG80" s="573"/>
      <c r="NOH80" s="573"/>
      <c r="NOI80" s="573"/>
      <c r="NOJ80" s="573"/>
      <c r="NOK80" s="573"/>
      <c r="NOL80" s="573"/>
      <c r="NOM80" s="573"/>
      <c r="NON80" s="573"/>
      <c r="NOO80" s="573"/>
      <c r="NOP80" s="573"/>
      <c r="NOQ80" s="573"/>
      <c r="NOR80" s="573"/>
      <c r="NOS80" s="573"/>
      <c r="NOT80" s="573"/>
      <c r="NOU80" s="573"/>
      <c r="NOV80" s="573"/>
      <c r="NOW80" s="573"/>
      <c r="NOX80" s="573"/>
      <c r="NOY80" s="573"/>
      <c r="NOZ80" s="573"/>
      <c r="NPA80" s="573"/>
      <c r="NPB80" s="573"/>
      <c r="NPC80" s="573"/>
      <c r="NPD80" s="573"/>
      <c r="NPE80" s="573"/>
      <c r="NPF80" s="573"/>
      <c r="NPG80" s="573"/>
      <c r="NPH80" s="573"/>
      <c r="NPI80" s="573"/>
      <c r="NPJ80" s="573"/>
      <c r="NPK80" s="573"/>
      <c r="NPL80" s="573"/>
      <c r="NPM80" s="573"/>
      <c r="NPN80" s="573"/>
      <c r="NPO80" s="573"/>
      <c r="NPP80" s="573"/>
      <c r="NPQ80" s="573"/>
      <c r="NPR80" s="573"/>
      <c r="NPS80" s="573"/>
      <c r="NPT80" s="573"/>
      <c r="NPU80" s="573"/>
      <c r="NPV80" s="573"/>
      <c r="NPW80" s="573"/>
      <c r="NPX80" s="573"/>
      <c r="NPY80" s="573"/>
      <c r="NPZ80" s="573"/>
      <c r="NQA80" s="573"/>
      <c r="NQB80" s="573"/>
      <c r="NQC80" s="573"/>
      <c r="NQD80" s="573"/>
      <c r="NQE80" s="573"/>
      <c r="NQF80" s="573"/>
      <c r="NQG80" s="573"/>
      <c r="NQH80" s="573"/>
      <c r="NQI80" s="573"/>
      <c r="NQJ80" s="573"/>
      <c r="NQK80" s="573"/>
      <c r="NQL80" s="573"/>
      <c r="NQM80" s="573"/>
      <c r="NQN80" s="573"/>
      <c r="NQO80" s="573"/>
      <c r="NQP80" s="573"/>
      <c r="NQQ80" s="573"/>
      <c r="NQR80" s="573"/>
      <c r="NQS80" s="573"/>
      <c r="NQT80" s="573"/>
      <c r="NQU80" s="573"/>
      <c r="NQV80" s="573"/>
      <c r="NQW80" s="573"/>
      <c r="NQX80" s="573"/>
      <c r="NQY80" s="573"/>
      <c r="NQZ80" s="573"/>
      <c r="NRA80" s="573"/>
      <c r="NRB80" s="573"/>
      <c r="NRC80" s="573"/>
      <c r="NRD80" s="573"/>
      <c r="NRE80" s="573"/>
      <c r="NRF80" s="573"/>
      <c r="NRG80" s="573"/>
      <c r="NRH80" s="573"/>
      <c r="NRI80" s="573"/>
      <c r="NRJ80" s="573"/>
      <c r="NRK80" s="573"/>
      <c r="NRL80" s="573"/>
      <c r="NRM80" s="573"/>
      <c r="NRN80" s="573"/>
      <c r="NRO80" s="573"/>
      <c r="NRP80" s="573"/>
      <c r="NRQ80" s="573"/>
      <c r="NRR80" s="573"/>
      <c r="NRS80" s="573"/>
      <c r="NRT80" s="573"/>
      <c r="NRU80" s="573"/>
      <c r="NRV80" s="573"/>
      <c r="NRW80" s="573"/>
      <c r="NRX80" s="573"/>
      <c r="NRY80" s="573"/>
      <c r="NRZ80" s="573"/>
      <c r="NSA80" s="573"/>
      <c r="NSB80" s="573"/>
      <c r="NSC80" s="573"/>
      <c r="NSD80" s="573"/>
      <c r="NSE80" s="573"/>
      <c r="NSF80" s="573"/>
      <c r="NSG80" s="573"/>
      <c r="NSH80" s="573"/>
      <c r="NSI80" s="573"/>
      <c r="NSJ80" s="573"/>
      <c r="NSK80" s="573"/>
      <c r="NSL80" s="573"/>
      <c r="NSM80" s="573"/>
      <c r="NSN80" s="573"/>
      <c r="NSO80" s="573"/>
      <c r="NSP80" s="573"/>
      <c r="NSQ80" s="573"/>
      <c r="NSR80" s="573"/>
      <c r="NSS80" s="573"/>
      <c r="NST80" s="573"/>
      <c r="NSU80" s="573"/>
      <c r="NSV80" s="573"/>
      <c r="NSW80" s="573"/>
      <c r="NSX80" s="573"/>
      <c r="NSY80" s="573"/>
      <c r="NSZ80" s="573"/>
      <c r="NTA80" s="573"/>
      <c r="NTB80" s="573"/>
      <c r="NTC80" s="573"/>
      <c r="NTD80" s="573"/>
      <c r="NTE80" s="573"/>
      <c r="NTF80" s="573"/>
      <c r="NTG80" s="573"/>
      <c r="NTH80" s="573"/>
      <c r="NTI80" s="573"/>
      <c r="NTJ80" s="573"/>
      <c r="NTK80" s="573"/>
      <c r="NTL80" s="573"/>
      <c r="NTM80" s="573"/>
      <c r="NTN80" s="573"/>
      <c r="NTO80" s="573"/>
      <c r="NTP80" s="573"/>
      <c r="NTQ80" s="573"/>
      <c r="NTR80" s="573"/>
      <c r="NTS80" s="573"/>
      <c r="NTT80" s="573"/>
      <c r="NTU80" s="573"/>
      <c r="NTV80" s="573"/>
      <c r="NTW80" s="573"/>
      <c r="NTX80" s="573"/>
      <c r="NTY80" s="573"/>
      <c r="NTZ80" s="573"/>
      <c r="NUA80" s="573"/>
      <c r="NUB80" s="573"/>
      <c r="NUC80" s="573"/>
      <c r="NUD80" s="573"/>
      <c r="NUE80" s="573"/>
      <c r="NUF80" s="573"/>
      <c r="NUG80" s="573"/>
      <c r="NUH80" s="573"/>
      <c r="NUI80" s="573"/>
      <c r="NUJ80" s="573"/>
      <c r="NUK80" s="573"/>
      <c r="NUL80" s="573"/>
      <c r="NUM80" s="573"/>
      <c r="NUN80" s="573"/>
      <c r="NUO80" s="573"/>
      <c r="NUP80" s="573"/>
      <c r="NUQ80" s="573"/>
      <c r="NUR80" s="573"/>
      <c r="NUS80" s="573"/>
      <c r="NUT80" s="573"/>
      <c r="NUU80" s="573"/>
      <c r="NUV80" s="573"/>
      <c r="NUW80" s="573"/>
      <c r="NUX80" s="573"/>
      <c r="NUY80" s="573"/>
      <c r="NUZ80" s="573"/>
      <c r="NVA80" s="573"/>
      <c r="NVB80" s="573"/>
      <c r="NVC80" s="573"/>
      <c r="NVD80" s="573"/>
      <c r="NVE80" s="573"/>
      <c r="NVF80" s="573"/>
      <c r="NVG80" s="573"/>
      <c r="NVH80" s="573"/>
      <c r="NVI80" s="573"/>
      <c r="NVJ80" s="573"/>
      <c r="NVK80" s="573"/>
      <c r="NVL80" s="573"/>
      <c r="NVM80" s="573"/>
      <c r="NVN80" s="573"/>
      <c r="NVO80" s="573"/>
      <c r="NVP80" s="573"/>
      <c r="NVQ80" s="573"/>
      <c r="NVR80" s="573"/>
      <c r="NVS80" s="573"/>
      <c r="NVT80" s="573"/>
      <c r="NVU80" s="573"/>
      <c r="NVV80" s="573"/>
      <c r="NVW80" s="573"/>
      <c r="NVX80" s="573"/>
      <c r="NVY80" s="573"/>
      <c r="NVZ80" s="573"/>
      <c r="NWA80" s="573"/>
      <c r="NWB80" s="573"/>
      <c r="NWC80" s="573"/>
      <c r="NWD80" s="573"/>
      <c r="NWE80" s="573"/>
      <c r="NWF80" s="573"/>
      <c r="NWG80" s="573"/>
      <c r="NWH80" s="573"/>
      <c r="NWI80" s="573"/>
      <c r="NWJ80" s="573"/>
      <c r="NWK80" s="573"/>
      <c r="NWL80" s="573"/>
      <c r="NWM80" s="573"/>
      <c r="NWN80" s="573"/>
      <c r="NWO80" s="573"/>
      <c r="NWP80" s="573"/>
      <c r="NWQ80" s="573"/>
      <c r="NWR80" s="573"/>
      <c r="NWS80" s="573"/>
      <c r="NWT80" s="573"/>
      <c r="NWU80" s="573"/>
      <c r="NWV80" s="573"/>
      <c r="NWW80" s="573"/>
      <c r="NWX80" s="573"/>
      <c r="NWY80" s="573"/>
      <c r="NWZ80" s="573"/>
      <c r="NXA80" s="573"/>
      <c r="NXB80" s="573"/>
      <c r="NXC80" s="573"/>
      <c r="NXD80" s="573"/>
      <c r="NXE80" s="573"/>
      <c r="NXF80" s="573"/>
      <c r="NXG80" s="573"/>
      <c r="NXH80" s="573"/>
      <c r="NXI80" s="573"/>
      <c r="NXJ80" s="573"/>
      <c r="NXK80" s="573"/>
      <c r="NXL80" s="573"/>
      <c r="NXM80" s="573"/>
      <c r="NXN80" s="573"/>
      <c r="NXO80" s="573"/>
      <c r="NXP80" s="573"/>
      <c r="NXQ80" s="573"/>
      <c r="NXR80" s="573"/>
      <c r="NXS80" s="573"/>
      <c r="NXT80" s="573"/>
      <c r="NXU80" s="573"/>
      <c r="NXV80" s="573"/>
      <c r="NXW80" s="573"/>
      <c r="NXX80" s="573"/>
      <c r="NXY80" s="573"/>
      <c r="NXZ80" s="573"/>
      <c r="NYA80" s="573"/>
      <c r="NYB80" s="573"/>
      <c r="NYC80" s="573"/>
      <c r="NYD80" s="573"/>
      <c r="NYE80" s="573"/>
      <c r="NYF80" s="573"/>
      <c r="NYG80" s="573"/>
      <c r="NYH80" s="573"/>
      <c r="NYI80" s="573"/>
      <c r="NYJ80" s="573"/>
      <c r="NYK80" s="573"/>
      <c r="NYL80" s="573"/>
      <c r="NYM80" s="573"/>
      <c r="NYN80" s="573"/>
      <c r="NYO80" s="573"/>
      <c r="NYP80" s="573"/>
      <c r="NYQ80" s="573"/>
      <c r="NYR80" s="573"/>
      <c r="NYS80" s="573"/>
      <c r="NYT80" s="573"/>
      <c r="NYU80" s="573"/>
      <c r="NYV80" s="573"/>
      <c r="NYW80" s="573"/>
      <c r="NYX80" s="573"/>
      <c r="NYY80" s="573"/>
      <c r="NYZ80" s="573"/>
      <c r="NZA80" s="573"/>
      <c r="NZB80" s="573"/>
      <c r="NZC80" s="573"/>
      <c r="NZD80" s="573"/>
      <c r="NZE80" s="573"/>
      <c r="NZF80" s="573"/>
      <c r="NZG80" s="573"/>
      <c r="NZH80" s="573"/>
      <c r="NZI80" s="573"/>
      <c r="NZJ80" s="573"/>
      <c r="NZK80" s="573"/>
      <c r="NZL80" s="573"/>
      <c r="NZM80" s="573"/>
      <c r="NZN80" s="573"/>
      <c r="NZO80" s="573"/>
      <c r="NZP80" s="573"/>
      <c r="NZQ80" s="573"/>
      <c r="NZR80" s="573"/>
      <c r="NZS80" s="573"/>
      <c r="NZT80" s="573"/>
      <c r="NZU80" s="573"/>
      <c r="NZV80" s="573"/>
      <c r="NZW80" s="573"/>
      <c r="NZX80" s="573"/>
      <c r="NZY80" s="573"/>
      <c r="NZZ80" s="573"/>
      <c r="OAA80" s="573"/>
      <c r="OAB80" s="573"/>
      <c r="OAC80" s="573"/>
      <c r="OAD80" s="573"/>
      <c r="OAE80" s="573"/>
      <c r="OAF80" s="573"/>
      <c r="OAG80" s="573"/>
      <c r="OAH80" s="573"/>
      <c r="OAI80" s="573"/>
      <c r="OAJ80" s="573"/>
      <c r="OAK80" s="573"/>
      <c r="OAL80" s="573"/>
      <c r="OAM80" s="573"/>
      <c r="OAN80" s="573"/>
      <c r="OAO80" s="573"/>
      <c r="OAP80" s="573"/>
      <c r="OAQ80" s="573"/>
      <c r="OAR80" s="573"/>
      <c r="OAS80" s="573"/>
      <c r="OAT80" s="573"/>
      <c r="OAU80" s="573"/>
      <c r="OAV80" s="573"/>
      <c r="OAW80" s="573"/>
      <c r="OAX80" s="573"/>
      <c r="OAY80" s="573"/>
      <c r="OAZ80" s="573"/>
      <c r="OBA80" s="573"/>
      <c r="OBB80" s="573"/>
      <c r="OBC80" s="573"/>
      <c r="OBD80" s="573"/>
      <c r="OBE80" s="573"/>
      <c r="OBF80" s="573"/>
      <c r="OBG80" s="573"/>
      <c r="OBH80" s="573"/>
      <c r="OBI80" s="573"/>
      <c r="OBJ80" s="573"/>
      <c r="OBK80" s="573"/>
      <c r="OBL80" s="573"/>
      <c r="OBM80" s="573"/>
      <c r="OBN80" s="573"/>
      <c r="OBO80" s="573"/>
      <c r="OBP80" s="573"/>
      <c r="OBQ80" s="573"/>
      <c r="OBR80" s="573"/>
      <c r="OBS80" s="573"/>
      <c r="OBT80" s="573"/>
      <c r="OBU80" s="573"/>
      <c r="OBV80" s="573"/>
      <c r="OBW80" s="573"/>
      <c r="OBX80" s="573"/>
      <c r="OBY80" s="573"/>
      <c r="OBZ80" s="573"/>
      <c r="OCA80" s="573"/>
      <c r="OCB80" s="573"/>
      <c r="OCC80" s="573"/>
      <c r="OCD80" s="573"/>
      <c r="OCE80" s="573"/>
      <c r="OCF80" s="573"/>
      <c r="OCG80" s="573"/>
      <c r="OCH80" s="573"/>
      <c r="OCI80" s="573"/>
      <c r="OCJ80" s="573"/>
      <c r="OCK80" s="573"/>
      <c r="OCL80" s="573"/>
      <c r="OCM80" s="573"/>
      <c r="OCN80" s="573"/>
      <c r="OCO80" s="573"/>
      <c r="OCP80" s="573"/>
      <c r="OCQ80" s="573"/>
      <c r="OCR80" s="573"/>
      <c r="OCS80" s="573"/>
      <c r="OCT80" s="573"/>
      <c r="OCU80" s="573"/>
      <c r="OCV80" s="573"/>
      <c r="OCW80" s="573"/>
      <c r="OCX80" s="573"/>
      <c r="OCY80" s="573"/>
      <c r="OCZ80" s="573"/>
      <c r="ODA80" s="573"/>
      <c r="ODB80" s="573"/>
      <c r="ODC80" s="573"/>
      <c r="ODD80" s="573"/>
      <c r="ODE80" s="573"/>
      <c r="ODF80" s="573"/>
      <c r="ODG80" s="573"/>
      <c r="ODH80" s="573"/>
      <c r="ODI80" s="573"/>
      <c r="ODJ80" s="573"/>
      <c r="ODK80" s="573"/>
      <c r="ODL80" s="573"/>
      <c r="ODM80" s="573"/>
      <c r="ODN80" s="573"/>
      <c r="ODO80" s="573"/>
      <c r="ODP80" s="573"/>
      <c r="ODQ80" s="573"/>
      <c r="ODR80" s="573"/>
      <c r="ODS80" s="573"/>
      <c r="ODT80" s="573"/>
      <c r="ODU80" s="573"/>
      <c r="ODV80" s="573"/>
      <c r="ODW80" s="573"/>
      <c r="ODX80" s="573"/>
      <c r="ODY80" s="573"/>
      <c r="ODZ80" s="573"/>
      <c r="OEA80" s="573"/>
      <c r="OEB80" s="573"/>
      <c r="OEC80" s="573"/>
      <c r="OED80" s="573"/>
      <c r="OEE80" s="573"/>
      <c r="OEF80" s="573"/>
      <c r="OEG80" s="573"/>
      <c r="OEH80" s="573"/>
      <c r="OEI80" s="573"/>
      <c r="OEJ80" s="573"/>
      <c r="OEK80" s="573"/>
      <c r="OEL80" s="573"/>
      <c r="OEM80" s="573"/>
      <c r="OEN80" s="573"/>
      <c r="OEO80" s="573"/>
      <c r="OEP80" s="573"/>
      <c r="OEQ80" s="573"/>
      <c r="OER80" s="573"/>
      <c r="OES80" s="573"/>
      <c r="OET80" s="573"/>
      <c r="OEU80" s="573"/>
      <c r="OEV80" s="573"/>
      <c r="OEW80" s="573"/>
      <c r="OEX80" s="573"/>
      <c r="OEY80" s="573"/>
      <c r="OEZ80" s="573"/>
      <c r="OFA80" s="573"/>
      <c r="OFB80" s="573"/>
      <c r="OFC80" s="573"/>
      <c r="OFD80" s="573"/>
      <c r="OFE80" s="573"/>
      <c r="OFF80" s="573"/>
      <c r="OFG80" s="573"/>
      <c r="OFH80" s="573"/>
      <c r="OFI80" s="573"/>
      <c r="OFJ80" s="573"/>
      <c r="OFK80" s="573"/>
      <c r="OFL80" s="573"/>
      <c r="OFM80" s="573"/>
      <c r="OFN80" s="573"/>
      <c r="OFO80" s="573"/>
      <c r="OFP80" s="573"/>
      <c r="OFQ80" s="573"/>
      <c r="OFR80" s="573"/>
      <c r="OFS80" s="573"/>
      <c r="OFT80" s="573"/>
      <c r="OFU80" s="573"/>
      <c r="OFV80" s="573"/>
      <c r="OFW80" s="573"/>
      <c r="OFX80" s="573"/>
      <c r="OFY80" s="573"/>
      <c r="OFZ80" s="573"/>
      <c r="OGA80" s="573"/>
      <c r="OGB80" s="573"/>
      <c r="OGC80" s="573"/>
      <c r="OGD80" s="573"/>
      <c r="OGE80" s="573"/>
      <c r="OGF80" s="573"/>
      <c r="OGG80" s="573"/>
      <c r="OGH80" s="573"/>
      <c r="OGI80" s="573"/>
      <c r="OGJ80" s="573"/>
      <c r="OGK80" s="573"/>
      <c r="OGL80" s="573"/>
      <c r="OGM80" s="573"/>
      <c r="OGN80" s="573"/>
      <c r="OGO80" s="573"/>
      <c r="OGP80" s="573"/>
      <c r="OGQ80" s="573"/>
      <c r="OGR80" s="573"/>
      <c r="OGS80" s="573"/>
      <c r="OGT80" s="573"/>
      <c r="OGU80" s="573"/>
      <c r="OGV80" s="573"/>
      <c r="OGW80" s="573"/>
      <c r="OGX80" s="573"/>
      <c r="OGY80" s="573"/>
      <c r="OGZ80" s="573"/>
      <c r="OHA80" s="573"/>
      <c r="OHB80" s="573"/>
      <c r="OHC80" s="573"/>
      <c r="OHD80" s="573"/>
      <c r="OHE80" s="573"/>
      <c r="OHF80" s="573"/>
      <c r="OHG80" s="573"/>
      <c r="OHH80" s="573"/>
      <c r="OHI80" s="573"/>
      <c r="OHJ80" s="573"/>
      <c r="OHK80" s="573"/>
      <c r="OHL80" s="573"/>
      <c r="OHM80" s="573"/>
      <c r="OHN80" s="573"/>
      <c r="OHO80" s="573"/>
      <c r="OHP80" s="573"/>
      <c r="OHQ80" s="573"/>
      <c r="OHR80" s="573"/>
      <c r="OHS80" s="573"/>
      <c r="OHT80" s="573"/>
      <c r="OHU80" s="573"/>
      <c r="OHV80" s="573"/>
      <c r="OHW80" s="573"/>
      <c r="OHX80" s="573"/>
      <c r="OHY80" s="573"/>
      <c r="OHZ80" s="573"/>
      <c r="OIA80" s="573"/>
      <c r="OIB80" s="573"/>
      <c r="OIC80" s="573"/>
      <c r="OID80" s="573"/>
      <c r="OIE80" s="573"/>
      <c r="OIF80" s="573"/>
      <c r="OIG80" s="573"/>
      <c r="OIH80" s="573"/>
      <c r="OII80" s="573"/>
      <c r="OIJ80" s="573"/>
      <c r="OIK80" s="573"/>
      <c r="OIL80" s="573"/>
      <c r="OIM80" s="573"/>
      <c r="OIN80" s="573"/>
      <c r="OIO80" s="573"/>
      <c r="OIP80" s="573"/>
      <c r="OIQ80" s="573"/>
      <c r="OIR80" s="573"/>
      <c r="OIS80" s="573"/>
      <c r="OIT80" s="573"/>
      <c r="OIU80" s="573"/>
      <c r="OIV80" s="573"/>
      <c r="OIW80" s="573"/>
      <c r="OIX80" s="573"/>
      <c r="OIY80" s="573"/>
      <c r="OIZ80" s="573"/>
      <c r="OJA80" s="573"/>
      <c r="OJB80" s="573"/>
      <c r="OJC80" s="573"/>
      <c r="OJD80" s="573"/>
      <c r="OJE80" s="573"/>
      <c r="OJF80" s="573"/>
      <c r="OJG80" s="573"/>
      <c r="OJH80" s="573"/>
      <c r="OJI80" s="573"/>
      <c r="OJJ80" s="573"/>
      <c r="OJK80" s="573"/>
      <c r="OJL80" s="573"/>
      <c r="OJM80" s="573"/>
      <c r="OJN80" s="573"/>
      <c r="OJO80" s="573"/>
      <c r="OJP80" s="573"/>
      <c r="OJQ80" s="573"/>
      <c r="OJR80" s="573"/>
      <c r="OJS80" s="573"/>
      <c r="OJT80" s="573"/>
      <c r="OJU80" s="573"/>
      <c r="OJV80" s="573"/>
      <c r="OJW80" s="573"/>
      <c r="OJX80" s="573"/>
      <c r="OJY80" s="573"/>
      <c r="OJZ80" s="573"/>
      <c r="OKA80" s="573"/>
      <c r="OKB80" s="573"/>
      <c r="OKC80" s="573"/>
      <c r="OKD80" s="573"/>
      <c r="OKE80" s="573"/>
      <c r="OKF80" s="573"/>
      <c r="OKG80" s="573"/>
      <c r="OKH80" s="573"/>
      <c r="OKI80" s="573"/>
      <c r="OKJ80" s="573"/>
      <c r="OKK80" s="573"/>
      <c r="OKL80" s="573"/>
      <c r="OKM80" s="573"/>
      <c r="OKN80" s="573"/>
      <c r="OKO80" s="573"/>
      <c r="OKP80" s="573"/>
      <c r="OKQ80" s="573"/>
      <c r="OKR80" s="573"/>
      <c r="OKS80" s="573"/>
      <c r="OKT80" s="573"/>
      <c r="OKU80" s="573"/>
      <c r="OKV80" s="573"/>
      <c r="OKW80" s="573"/>
      <c r="OKX80" s="573"/>
      <c r="OKY80" s="573"/>
      <c r="OKZ80" s="573"/>
      <c r="OLA80" s="573"/>
      <c r="OLB80" s="573"/>
      <c r="OLC80" s="573"/>
      <c r="OLD80" s="573"/>
      <c r="OLE80" s="573"/>
      <c r="OLF80" s="573"/>
      <c r="OLG80" s="573"/>
      <c r="OLH80" s="573"/>
      <c r="OLI80" s="573"/>
      <c r="OLJ80" s="573"/>
      <c r="OLK80" s="573"/>
      <c r="OLL80" s="573"/>
      <c r="OLM80" s="573"/>
      <c r="OLN80" s="573"/>
      <c r="OLO80" s="573"/>
      <c r="OLP80" s="573"/>
      <c r="OLQ80" s="573"/>
      <c r="OLR80" s="573"/>
      <c r="OLS80" s="573"/>
      <c r="OLT80" s="573"/>
      <c r="OLU80" s="573"/>
      <c r="OLV80" s="573"/>
      <c r="OLW80" s="573"/>
      <c r="OLX80" s="573"/>
      <c r="OLY80" s="573"/>
      <c r="OLZ80" s="573"/>
      <c r="OMA80" s="573"/>
      <c r="OMB80" s="573"/>
      <c r="OMC80" s="573"/>
      <c r="OMD80" s="573"/>
      <c r="OME80" s="573"/>
      <c r="OMF80" s="573"/>
      <c r="OMG80" s="573"/>
      <c r="OMH80" s="573"/>
      <c r="OMI80" s="573"/>
      <c r="OMJ80" s="573"/>
      <c r="OMK80" s="573"/>
      <c r="OML80" s="573"/>
      <c r="OMM80" s="573"/>
      <c r="OMN80" s="573"/>
      <c r="OMO80" s="573"/>
      <c r="OMP80" s="573"/>
      <c r="OMQ80" s="573"/>
      <c r="OMR80" s="573"/>
      <c r="OMS80" s="573"/>
      <c r="OMT80" s="573"/>
      <c r="OMU80" s="573"/>
      <c r="OMV80" s="573"/>
      <c r="OMW80" s="573"/>
      <c r="OMX80" s="573"/>
      <c r="OMY80" s="573"/>
      <c r="OMZ80" s="573"/>
      <c r="ONA80" s="573"/>
      <c r="ONB80" s="573"/>
      <c r="ONC80" s="573"/>
      <c r="OND80" s="573"/>
      <c r="ONE80" s="573"/>
      <c r="ONF80" s="573"/>
      <c r="ONG80" s="573"/>
      <c r="ONH80" s="573"/>
      <c r="ONI80" s="573"/>
      <c r="ONJ80" s="573"/>
      <c r="ONK80" s="573"/>
      <c r="ONL80" s="573"/>
      <c r="ONM80" s="573"/>
      <c r="ONN80" s="573"/>
      <c r="ONO80" s="573"/>
      <c r="ONP80" s="573"/>
      <c r="ONQ80" s="573"/>
      <c r="ONR80" s="573"/>
      <c r="ONS80" s="573"/>
      <c r="ONT80" s="573"/>
      <c r="ONU80" s="573"/>
      <c r="ONV80" s="573"/>
      <c r="ONW80" s="573"/>
      <c r="ONX80" s="573"/>
      <c r="ONY80" s="573"/>
      <c r="ONZ80" s="573"/>
      <c r="OOA80" s="573"/>
      <c r="OOB80" s="573"/>
      <c r="OOC80" s="573"/>
      <c r="OOD80" s="573"/>
      <c r="OOE80" s="573"/>
      <c r="OOF80" s="573"/>
      <c r="OOG80" s="573"/>
      <c r="OOH80" s="573"/>
      <c r="OOI80" s="573"/>
      <c r="OOJ80" s="573"/>
      <c r="OOK80" s="573"/>
      <c r="OOL80" s="573"/>
      <c r="OOM80" s="573"/>
      <c r="OON80" s="573"/>
      <c r="OOO80" s="573"/>
      <c r="OOP80" s="573"/>
      <c r="OOQ80" s="573"/>
      <c r="OOR80" s="573"/>
      <c r="OOS80" s="573"/>
      <c r="OOT80" s="573"/>
      <c r="OOU80" s="573"/>
      <c r="OOV80" s="573"/>
      <c r="OOW80" s="573"/>
      <c r="OOX80" s="573"/>
      <c r="OOY80" s="573"/>
      <c r="OOZ80" s="573"/>
      <c r="OPA80" s="573"/>
      <c r="OPB80" s="573"/>
      <c r="OPC80" s="573"/>
      <c r="OPD80" s="573"/>
      <c r="OPE80" s="573"/>
      <c r="OPF80" s="573"/>
      <c r="OPG80" s="573"/>
      <c r="OPH80" s="573"/>
      <c r="OPI80" s="573"/>
      <c r="OPJ80" s="573"/>
      <c r="OPK80" s="573"/>
      <c r="OPL80" s="573"/>
      <c r="OPM80" s="573"/>
      <c r="OPN80" s="573"/>
      <c r="OPO80" s="573"/>
      <c r="OPP80" s="573"/>
      <c r="OPQ80" s="573"/>
      <c r="OPR80" s="573"/>
      <c r="OPS80" s="573"/>
      <c r="OPT80" s="573"/>
      <c r="OPU80" s="573"/>
      <c r="OPV80" s="573"/>
      <c r="OPW80" s="573"/>
      <c r="OPX80" s="573"/>
      <c r="OPY80" s="573"/>
      <c r="OPZ80" s="573"/>
      <c r="OQA80" s="573"/>
      <c r="OQB80" s="573"/>
      <c r="OQC80" s="573"/>
      <c r="OQD80" s="573"/>
      <c r="OQE80" s="573"/>
      <c r="OQF80" s="573"/>
      <c r="OQG80" s="573"/>
      <c r="OQH80" s="573"/>
      <c r="OQI80" s="573"/>
      <c r="OQJ80" s="573"/>
      <c r="OQK80" s="573"/>
      <c r="OQL80" s="573"/>
      <c r="OQM80" s="573"/>
      <c r="OQN80" s="573"/>
      <c r="OQO80" s="573"/>
      <c r="OQP80" s="573"/>
      <c r="OQQ80" s="573"/>
      <c r="OQR80" s="573"/>
      <c r="OQS80" s="573"/>
      <c r="OQT80" s="573"/>
      <c r="OQU80" s="573"/>
      <c r="OQV80" s="573"/>
      <c r="OQW80" s="573"/>
      <c r="OQX80" s="573"/>
      <c r="OQY80" s="573"/>
      <c r="OQZ80" s="573"/>
      <c r="ORA80" s="573"/>
      <c r="ORB80" s="573"/>
      <c r="ORC80" s="573"/>
      <c r="ORD80" s="573"/>
      <c r="ORE80" s="573"/>
      <c r="ORF80" s="573"/>
      <c r="ORG80" s="573"/>
      <c r="ORH80" s="573"/>
      <c r="ORI80" s="573"/>
      <c r="ORJ80" s="573"/>
      <c r="ORK80" s="573"/>
      <c r="ORL80" s="573"/>
      <c r="ORM80" s="573"/>
      <c r="ORN80" s="573"/>
      <c r="ORO80" s="573"/>
      <c r="ORP80" s="573"/>
      <c r="ORQ80" s="573"/>
      <c r="ORR80" s="573"/>
      <c r="ORS80" s="573"/>
      <c r="ORT80" s="573"/>
      <c r="ORU80" s="573"/>
      <c r="ORV80" s="573"/>
      <c r="ORW80" s="573"/>
      <c r="ORX80" s="573"/>
      <c r="ORY80" s="573"/>
      <c r="ORZ80" s="573"/>
      <c r="OSA80" s="573"/>
      <c r="OSB80" s="573"/>
      <c r="OSC80" s="573"/>
      <c r="OSD80" s="573"/>
      <c r="OSE80" s="573"/>
      <c r="OSF80" s="573"/>
      <c r="OSG80" s="573"/>
      <c r="OSH80" s="573"/>
      <c r="OSI80" s="573"/>
      <c r="OSJ80" s="573"/>
      <c r="OSK80" s="573"/>
      <c r="OSL80" s="573"/>
      <c r="OSM80" s="573"/>
      <c r="OSN80" s="573"/>
      <c r="OSO80" s="573"/>
      <c r="OSP80" s="573"/>
      <c r="OSQ80" s="573"/>
      <c r="OSR80" s="573"/>
      <c r="OSS80" s="573"/>
      <c r="OST80" s="573"/>
      <c r="OSU80" s="573"/>
      <c r="OSV80" s="573"/>
      <c r="OSW80" s="573"/>
      <c r="OSX80" s="573"/>
      <c r="OSY80" s="573"/>
      <c r="OSZ80" s="573"/>
      <c r="OTA80" s="573"/>
      <c r="OTB80" s="573"/>
      <c r="OTC80" s="573"/>
      <c r="OTD80" s="573"/>
      <c r="OTE80" s="573"/>
      <c r="OTF80" s="573"/>
      <c r="OTG80" s="573"/>
      <c r="OTH80" s="573"/>
      <c r="OTI80" s="573"/>
      <c r="OTJ80" s="573"/>
      <c r="OTK80" s="573"/>
      <c r="OTL80" s="573"/>
      <c r="OTM80" s="573"/>
      <c r="OTN80" s="573"/>
      <c r="OTO80" s="573"/>
      <c r="OTP80" s="573"/>
      <c r="OTQ80" s="573"/>
      <c r="OTR80" s="573"/>
      <c r="OTS80" s="573"/>
      <c r="OTT80" s="573"/>
      <c r="OTU80" s="573"/>
      <c r="OTV80" s="573"/>
      <c r="OTW80" s="573"/>
      <c r="OTX80" s="573"/>
      <c r="OTY80" s="573"/>
      <c r="OTZ80" s="573"/>
      <c r="OUA80" s="573"/>
      <c r="OUB80" s="573"/>
      <c r="OUC80" s="573"/>
      <c r="OUD80" s="573"/>
      <c r="OUE80" s="573"/>
      <c r="OUF80" s="573"/>
      <c r="OUG80" s="573"/>
      <c r="OUH80" s="573"/>
      <c r="OUI80" s="573"/>
      <c r="OUJ80" s="573"/>
      <c r="OUK80" s="573"/>
      <c r="OUL80" s="573"/>
      <c r="OUM80" s="573"/>
      <c r="OUN80" s="573"/>
      <c r="OUO80" s="573"/>
      <c r="OUP80" s="573"/>
      <c r="OUQ80" s="573"/>
      <c r="OUR80" s="573"/>
      <c r="OUS80" s="573"/>
      <c r="OUT80" s="573"/>
      <c r="OUU80" s="573"/>
      <c r="OUV80" s="573"/>
      <c r="OUW80" s="573"/>
      <c r="OUX80" s="573"/>
      <c r="OUY80" s="573"/>
      <c r="OUZ80" s="573"/>
      <c r="OVA80" s="573"/>
      <c r="OVB80" s="573"/>
      <c r="OVC80" s="573"/>
      <c r="OVD80" s="573"/>
      <c r="OVE80" s="573"/>
      <c r="OVF80" s="573"/>
      <c r="OVG80" s="573"/>
      <c r="OVH80" s="573"/>
      <c r="OVI80" s="573"/>
      <c r="OVJ80" s="573"/>
      <c r="OVK80" s="573"/>
      <c r="OVL80" s="573"/>
      <c r="OVM80" s="573"/>
      <c r="OVN80" s="573"/>
      <c r="OVO80" s="573"/>
      <c r="OVP80" s="573"/>
      <c r="OVQ80" s="573"/>
      <c r="OVR80" s="573"/>
      <c r="OVS80" s="573"/>
      <c r="OVT80" s="573"/>
      <c r="OVU80" s="573"/>
      <c r="OVV80" s="573"/>
      <c r="OVW80" s="573"/>
      <c r="OVX80" s="573"/>
      <c r="OVY80" s="573"/>
      <c r="OVZ80" s="573"/>
      <c r="OWA80" s="573"/>
      <c r="OWB80" s="573"/>
      <c r="OWC80" s="573"/>
      <c r="OWD80" s="573"/>
      <c r="OWE80" s="573"/>
      <c r="OWF80" s="573"/>
      <c r="OWG80" s="573"/>
      <c r="OWH80" s="573"/>
      <c r="OWI80" s="573"/>
      <c r="OWJ80" s="573"/>
      <c r="OWK80" s="573"/>
      <c r="OWL80" s="573"/>
      <c r="OWM80" s="573"/>
      <c r="OWN80" s="573"/>
      <c r="OWO80" s="573"/>
      <c r="OWP80" s="573"/>
      <c r="OWQ80" s="573"/>
      <c r="OWR80" s="573"/>
      <c r="OWS80" s="573"/>
      <c r="OWT80" s="573"/>
      <c r="OWU80" s="573"/>
      <c r="OWV80" s="573"/>
      <c r="OWW80" s="573"/>
      <c r="OWX80" s="573"/>
      <c r="OWY80" s="573"/>
      <c r="OWZ80" s="573"/>
      <c r="OXA80" s="573"/>
      <c r="OXB80" s="573"/>
      <c r="OXC80" s="573"/>
      <c r="OXD80" s="573"/>
      <c r="OXE80" s="573"/>
      <c r="OXF80" s="573"/>
      <c r="OXG80" s="573"/>
      <c r="OXH80" s="573"/>
      <c r="OXI80" s="573"/>
      <c r="OXJ80" s="573"/>
      <c r="OXK80" s="573"/>
      <c r="OXL80" s="573"/>
      <c r="OXM80" s="573"/>
      <c r="OXN80" s="573"/>
      <c r="OXO80" s="573"/>
      <c r="OXP80" s="573"/>
      <c r="OXQ80" s="573"/>
      <c r="OXR80" s="573"/>
      <c r="OXS80" s="573"/>
      <c r="OXT80" s="573"/>
      <c r="OXU80" s="573"/>
      <c r="OXV80" s="573"/>
      <c r="OXW80" s="573"/>
      <c r="OXX80" s="573"/>
      <c r="OXY80" s="573"/>
      <c r="OXZ80" s="573"/>
      <c r="OYA80" s="573"/>
      <c r="OYB80" s="573"/>
      <c r="OYC80" s="573"/>
      <c r="OYD80" s="573"/>
      <c r="OYE80" s="573"/>
      <c r="OYF80" s="573"/>
      <c r="OYG80" s="573"/>
      <c r="OYH80" s="573"/>
      <c r="OYI80" s="573"/>
      <c r="OYJ80" s="573"/>
      <c r="OYK80" s="573"/>
      <c r="OYL80" s="573"/>
      <c r="OYM80" s="573"/>
      <c r="OYN80" s="573"/>
      <c r="OYO80" s="573"/>
      <c r="OYP80" s="573"/>
      <c r="OYQ80" s="573"/>
      <c r="OYR80" s="573"/>
      <c r="OYS80" s="573"/>
      <c r="OYT80" s="573"/>
      <c r="OYU80" s="573"/>
      <c r="OYV80" s="573"/>
      <c r="OYW80" s="573"/>
      <c r="OYX80" s="573"/>
      <c r="OYY80" s="573"/>
      <c r="OYZ80" s="573"/>
      <c r="OZA80" s="573"/>
      <c r="OZB80" s="573"/>
      <c r="OZC80" s="573"/>
      <c r="OZD80" s="573"/>
      <c r="OZE80" s="573"/>
      <c r="OZF80" s="573"/>
      <c r="OZG80" s="573"/>
      <c r="OZH80" s="573"/>
      <c r="OZI80" s="573"/>
      <c r="OZJ80" s="573"/>
      <c r="OZK80" s="573"/>
      <c r="OZL80" s="573"/>
      <c r="OZM80" s="573"/>
      <c r="OZN80" s="573"/>
      <c r="OZO80" s="573"/>
      <c r="OZP80" s="573"/>
      <c r="OZQ80" s="573"/>
      <c r="OZR80" s="573"/>
      <c r="OZS80" s="573"/>
      <c r="OZT80" s="573"/>
      <c r="OZU80" s="573"/>
      <c r="OZV80" s="573"/>
      <c r="OZW80" s="573"/>
      <c r="OZX80" s="573"/>
      <c r="OZY80" s="573"/>
      <c r="OZZ80" s="573"/>
      <c r="PAA80" s="573"/>
      <c r="PAB80" s="573"/>
      <c r="PAC80" s="573"/>
      <c r="PAD80" s="573"/>
      <c r="PAE80" s="573"/>
      <c r="PAF80" s="573"/>
      <c r="PAG80" s="573"/>
      <c r="PAH80" s="573"/>
      <c r="PAI80" s="573"/>
      <c r="PAJ80" s="573"/>
      <c r="PAK80" s="573"/>
      <c r="PAL80" s="573"/>
      <c r="PAM80" s="573"/>
      <c r="PAN80" s="573"/>
      <c r="PAO80" s="573"/>
      <c r="PAP80" s="573"/>
      <c r="PAQ80" s="573"/>
      <c r="PAR80" s="573"/>
      <c r="PAS80" s="573"/>
      <c r="PAT80" s="573"/>
      <c r="PAU80" s="573"/>
      <c r="PAV80" s="573"/>
      <c r="PAW80" s="573"/>
      <c r="PAX80" s="573"/>
      <c r="PAY80" s="573"/>
      <c r="PAZ80" s="573"/>
      <c r="PBA80" s="573"/>
      <c r="PBB80" s="573"/>
      <c r="PBC80" s="573"/>
      <c r="PBD80" s="573"/>
      <c r="PBE80" s="573"/>
      <c r="PBF80" s="573"/>
      <c r="PBG80" s="573"/>
      <c r="PBH80" s="573"/>
      <c r="PBI80" s="573"/>
      <c r="PBJ80" s="573"/>
      <c r="PBK80" s="573"/>
      <c r="PBL80" s="573"/>
      <c r="PBM80" s="573"/>
      <c r="PBN80" s="573"/>
      <c r="PBO80" s="573"/>
      <c r="PBP80" s="573"/>
      <c r="PBQ80" s="573"/>
      <c r="PBR80" s="573"/>
      <c r="PBS80" s="573"/>
      <c r="PBT80" s="573"/>
      <c r="PBU80" s="573"/>
      <c r="PBV80" s="573"/>
      <c r="PBW80" s="573"/>
      <c r="PBX80" s="573"/>
      <c r="PBY80" s="573"/>
      <c r="PBZ80" s="573"/>
      <c r="PCA80" s="573"/>
      <c r="PCB80" s="573"/>
      <c r="PCC80" s="573"/>
      <c r="PCD80" s="573"/>
      <c r="PCE80" s="573"/>
      <c r="PCF80" s="573"/>
      <c r="PCG80" s="573"/>
      <c r="PCH80" s="573"/>
      <c r="PCI80" s="573"/>
      <c r="PCJ80" s="573"/>
      <c r="PCK80" s="573"/>
      <c r="PCL80" s="573"/>
      <c r="PCM80" s="573"/>
      <c r="PCN80" s="573"/>
      <c r="PCO80" s="573"/>
      <c r="PCP80" s="573"/>
      <c r="PCQ80" s="573"/>
      <c r="PCR80" s="573"/>
      <c r="PCS80" s="573"/>
      <c r="PCT80" s="573"/>
      <c r="PCU80" s="573"/>
      <c r="PCV80" s="573"/>
      <c r="PCW80" s="573"/>
      <c r="PCX80" s="573"/>
      <c r="PCY80" s="573"/>
      <c r="PCZ80" s="573"/>
      <c r="PDA80" s="573"/>
      <c r="PDB80" s="573"/>
      <c r="PDC80" s="573"/>
      <c r="PDD80" s="573"/>
      <c r="PDE80" s="573"/>
      <c r="PDF80" s="573"/>
      <c r="PDG80" s="573"/>
      <c r="PDH80" s="573"/>
      <c r="PDI80" s="573"/>
      <c r="PDJ80" s="573"/>
      <c r="PDK80" s="573"/>
      <c r="PDL80" s="573"/>
      <c r="PDM80" s="573"/>
      <c r="PDN80" s="573"/>
      <c r="PDO80" s="573"/>
      <c r="PDP80" s="573"/>
      <c r="PDQ80" s="573"/>
      <c r="PDR80" s="573"/>
      <c r="PDS80" s="573"/>
      <c r="PDT80" s="573"/>
      <c r="PDU80" s="573"/>
      <c r="PDV80" s="573"/>
      <c r="PDW80" s="573"/>
      <c r="PDX80" s="573"/>
      <c r="PDY80" s="573"/>
      <c r="PDZ80" s="573"/>
      <c r="PEA80" s="573"/>
      <c r="PEB80" s="573"/>
      <c r="PEC80" s="573"/>
      <c r="PED80" s="573"/>
      <c r="PEE80" s="573"/>
      <c r="PEF80" s="573"/>
      <c r="PEG80" s="573"/>
      <c r="PEH80" s="573"/>
      <c r="PEI80" s="573"/>
      <c r="PEJ80" s="573"/>
      <c r="PEK80" s="573"/>
      <c r="PEL80" s="573"/>
      <c r="PEM80" s="573"/>
      <c r="PEN80" s="573"/>
      <c r="PEO80" s="573"/>
      <c r="PEP80" s="573"/>
      <c r="PEQ80" s="573"/>
      <c r="PER80" s="573"/>
      <c r="PES80" s="573"/>
      <c r="PET80" s="573"/>
      <c r="PEU80" s="573"/>
      <c r="PEV80" s="573"/>
      <c r="PEW80" s="573"/>
      <c r="PEX80" s="573"/>
      <c r="PEY80" s="573"/>
      <c r="PEZ80" s="573"/>
      <c r="PFA80" s="573"/>
      <c r="PFB80" s="573"/>
      <c r="PFC80" s="573"/>
      <c r="PFD80" s="573"/>
      <c r="PFE80" s="573"/>
      <c r="PFF80" s="573"/>
      <c r="PFG80" s="573"/>
      <c r="PFH80" s="573"/>
      <c r="PFI80" s="573"/>
      <c r="PFJ80" s="573"/>
      <c r="PFK80" s="573"/>
      <c r="PFL80" s="573"/>
      <c r="PFM80" s="573"/>
      <c r="PFN80" s="573"/>
      <c r="PFO80" s="573"/>
      <c r="PFP80" s="573"/>
      <c r="PFQ80" s="573"/>
      <c r="PFR80" s="573"/>
      <c r="PFS80" s="573"/>
      <c r="PFT80" s="573"/>
      <c r="PFU80" s="573"/>
      <c r="PFV80" s="573"/>
      <c r="PFW80" s="573"/>
      <c r="PFX80" s="573"/>
      <c r="PFY80" s="573"/>
      <c r="PFZ80" s="573"/>
      <c r="PGA80" s="573"/>
      <c r="PGB80" s="573"/>
      <c r="PGC80" s="573"/>
      <c r="PGD80" s="573"/>
      <c r="PGE80" s="573"/>
      <c r="PGF80" s="573"/>
      <c r="PGG80" s="573"/>
      <c r="PGH80" s="573"/>
      <c r="PGI80" s="573"/>
      <c r="PGJ80" s="573"/>
      <c r="PGK80" s="573"/>
      <c r="PGL80" s="573"/>
      <c r="PGM80" s="573"/>
      <c r="PGN80" s="573"/>
      <c r="PGO80" s="573"/>
      <c r="PGP80" s="573"/>
      <c r="PGQ80" s="573"/>
      <c r="PGR80" s="573"/>
      <c r="PGS80" s="573"/>
      <c r="PGT80" s="573"/>
      <c r="PGU80" s="573"/>
      <c r="PGV80" s="573"/>
      <c r="PGW80" s="573"/>
      <c r="PGX80" s="573"/>
      <c r="PGY80" s="573"/>
      <c r="PGZ80" s="573"/>
      <c r="PHA80" s="573"/>
      <c r="PHB80" s="573"/>
      <c r="PHC80" s="573"/>
      <c r="PHD80" s="573"/>
      <c r="PHE80" s="573"/>
      <c r="PHF80" s="573"/>
      <c r="PHG80" s="573"/>
      <c r="PHH80" s="573"/>
      <c r="PHI80" s="573"/>
      <c r="PHJ80" s="573"/>
      <c r="PHK80" s="573"/>
      <c r="PHL80" s="573"/>
      <c r="PHM80" s="573"/>
      <c r="PHN80" s="573"/>
      <c r="PHO80" s="573"/>
      <c r="PHP80" s="573"/>
      <c r="PHQ80" s="573"/>
      <c r="PHR80" s="573"/>
      <c r="PHS80" s="573"/>
      <c r="PHT80" s="573"/>
      <c r="PHU80" s="573"/>
      <c r="PHV80" s="573"/>
      <c r="PHW80" s="573"/>
      <c r="PHX80" s="573"/>
      <c r="PHY80" s="573"/>
      <c r="PHZ80" s="573"/>
      <c r="PIA80" s="573"/>
      <c r="PIB80" s="573"/>
      <c r="PIC80" s="573"/>
      <c r="PID80" s="573"/>
      <c r="PIE80" s="573"/>
      <c r="PIF80" s="573"/>
      <c r="PIG80" s="573"/>
      <c r="PIH80" s="573"/>
      <c r="PII80" s="573"/>
      <c r="PIJ80" s="573"/>
      <c r="PIK80" s="573"/>
      <c r="PIL80" s="573"/>
      <c r="PIM80" s="573"/>
      <c r="PIN80" s="573"/>
      <c r="PIO80" s="573"/>
      <c r="PIP80" s="573"/>
      <c r="PIQ80" s="573"/>
      <c r="PIR80" s="573"/>
      <c r="PIS80" s="573"/>
      <c r="PIT80" s="573"/>
      <c r="PIU80" s="573"/>
      <c r="PIV80" s="573"/>
      <c r="PIW80" s="573"/>
      <c r="PIX80" s="573"/>
      <c r="PIY80" s="573"/>
      <c r="PIZ80" s="573"/>
      <c r="PJA80" s="573"/>
      <c r="PJB80" s="573"/>
      <c r="PJC80" s="573"/>
      <c r="PJD80" s="573"/>
      <c r="PJE80" s="573"/>
      <c r="PJF80" s="573"/>
      <c r="PJG80" s="573"/>
      <c r="PJH80" s="573"/>
      <c r="PJI80" s="573"/>
      <c r="PJJ80" s="573"/>
      <c r="PJK80" s="573"/>
      <c r="PJL80" s="573"/>
      <c r="PJM80" s="573"/>
      <c r="PJN80" s="573"/>
      <c r="PJO80" s="573"/>
      <c r="PJP80" s="573"/>
      <c r="PJQ80" s="573"/>
      <c r="PJR80" s="573"/>
      <c r="PJS80" s="573"/>
      <c r="PJT80" s="573"/>
      <c r="PJU80" s="573"/>
      <c r="PJV80" s="573"/>
      <c r="PJW80" s="573"/>
      <c r="PJX80" s="573"/>
      <c r="PJY80" s="573"/>
      <c r="PJZ80" s="573"/>
      <c r="PKA80" s="573"/>
      <c r="PKB80" s="573"/>
      <c r="PKC80" s="573"/>
      <c r="PKD80" s="573"/>
      <c r="PKE80" s="573"/>
      <c r="PKF80" s="573"/>
      <c r="PKG80" s="573"/>
      <c r="PKH80" s="573"/>
      <c r="PKI80" s="573"/>
      <c r="PKJ80" s="573"/>
      <c r="PKK80" s="573"/>
      <c r="PKL80" s="573"/>
      <c r="PKM80" s="573"/>
      <c r="PKN80" s="573"/>
      <c r="PKO80" s="573"/>
      <c r="PKP80" s="573"/>
      <c r="PKQ80" s="573"/>
      <c r="PKR80" s="573"/>
      <c r="PKS80" s="573"/>
      <c r="PKT80" s="573"/>
      <c r="PKU80" s="573"/>
      <c r="PKV80" s="573"/>
      <c r="PKW80" s="573"/>
      <c r="PKX80" s="573"/>
      <c r="PKY80" s="573"/>
      <c r="PKZ80" s="573"/>
      <c r="PLA80" s="573"/>
      <c r="PLB80" s="573"/>
      <c r="PLC80" s="573"/>
      <c r="PLD80" s="573"/>
      <c r="PLE80" s="573"/>
      <c r="PLF80" s="573"/>
      <c r="PLG80" s="573"/>
      <c r="PLH80" s="573"/>
      <c r="PLI80" s="573"/>
      <c r="PLJ80" s="573"/>
      <c r="PLK80" s="573"/>
      <c r="PLL80" s="573"/>
      <c r="PLM80" s="573"/>
      <c r="PLN80" s="573"/>
      <c r="PLO80" s="573"/>
      <c r="PLP80" s="573"/>
      <c r="PLQ80" s="573"/>
      <c r="PLR80" s="573"/>
      <c r="PLS80" s="573"/>
      <c r="PLT80" s="573"/>
      <c r="PLU80" s="573"/>
      <c r="PLV80" s="573"/>
      <c r="PLW80" s="573"/>
      <c r="PLX80" s="573"/>
      <c r="PLY80" s="573"/>
      <c r="PLZ80" s="573"/>
      <c r="PMA80" s="573"/>
      <c r="PMB80" s="573"/>
      <c r="PMC80" s="573"/>
      <c r="PMD80" s="573"/>
      <c r="PME80" s="573"/>
      <c r="PMF80" s="573"/>
      <c r="PMG80" s="573"/>
      <c r="PMH80" s="573"/>
      <c r="PMI80" s="573"/>
      <c r="PMJ80" s="573"/>
      <c r="PMK80" s="573"/>
      <c r="PML80" s="573"/>
      <c r="PMM80" s="573"/>
      <c r="PMN80" s="573"/>
      <c r="PMO80" s="573"/>
      <c r="PMP80" s="573"/>
      <c r="PMQ80" s="573"/>
      <c r="PMR80" s="573"/>
      <c r="PMS80" s="573"/>
      <c r="PMT80" s="573"/>
      <c r="PMU80" s="573"/>
      <c r="PMV80" s="573"/>
      <c r="PMW80" s="573"/>
      <c r="PMX80" s="573"/>
      <c r="PMY80" s="573"/>
      <c r="PMZ80" s="573"/>
      <c r="PNA80" s="573"/>
      <c r="PNB80" s="573"/>
      <c r="PNC80" s="573"/>
      <c r="PND80" s="573"/>
      <c r="PNE80" s="573"/>
      <c r="PNF80" s="573"/>
      <c r="PNG80" s="573"/>
      <c r="PNH80" s="573"/>
      <c r="PNI80" s="573"/>
      <c r="PNJ80" s="573"/>
      <c r="PNK80" s="573"/>
      <c r="PNL80" s="573"/>
      <c r="PNM80" s="573"/>
      <c r="PNN80" s="573"/>
      <c r="PNO80" s="573"/>
      <c r="PNP80" s="573"/>
      <c r="PNQ80" s="573"/>
      <c r="PNR80" s="573"/>
      <c r="PNS80" s="573"/>
      <c r="PNT80" s="573"/>
      <c r="PNU80" s="573"/>
      <c r="PNV80" s="573"/>
      <c r="PNW80" s="573"/>
      <c r="PNX80" s="573"/>
      <c r="PNY80" s="573"/>
      <c r="PNZ80" s="573"/>
      <c r="POA80" s="573"/>
      <c r="POB80" s="573"/>
      <c r="POC80" s="573"/>
      <c r="POD80" s="573"/>
      <c r="POE80" s="573"/>
      <c r="POF80" s="573"/>
      <c r="POG80" s="573"/>
      <c r="POH80" s="573"/>
      <c r="POI80" s="573"/>
      <c r="POJ80" s="573"/>
      <c r="POK80" s="573"/>
      <c r="POL80" s="573"/>
      <c r="POM80" s="573"/>
      <c r="PON80" s="573"/>
      <c r="POO80" s="573"/>
      <c r="POP80" s="573"/>
      <c r="POQ80" s="573"/>
      <c r="POR80" s="573"/>
      <c r="POS80" s="573"/>
      <c r="POT80" s="573"/>
      <c r="POU80" s="573"/>
      <c r="POV80" s="573"/>
      <c r="POW80" s="573"/>
      <c r="POX80" s="573"/>
      <c r="POY80" s="573"/>
      <c r="POZ80" s="573"/>
      <c r="PPA80" s="573"/>
      <c r="PPB80" s="573"/>
      <c r="PPC80" s="573"/>
      <c r="PPD80" s="573"/>
      <c r="PPE80" s="573"/>
      <c r="PPF80" s="573"/>
      <c r="PPG80" s="573"/>
      <c r="PPH80" s="573"/>
      <c r="PPI80" s="573"/>
      <c r="PPJ80" s="573"/>
      <c r="PPK80" s="573"/>
      <c r="PPL80" s="573"/>
      <c r="PPM80" s="573"/>
      <c r="PPN80" s="573"/>
      <c r="PPO80" s="573"/>
      <c r="PPP80" s="573"/>
      <c r="PPQ80" s="573"/>
      <c r="PPR80" s="573"/>
      <c r="PPS80" s="573"/>
      <c r="PPT80" s="573"/>
      <c r="PPU80" s="573"/>
      <c r="PPV80" s="573"/>
      <c r="PPW80" s="573"/>
      <c r="PPX80" s="573"/>
      <c r="PPY80" s="573"/>
      <c r="PPZ80" s="573"/>
      <c r="PQA80" s="573"/>
      <c r="PQB80" s="573"/>
      <c r="PQC80" s="573"/>
      <c r="PQD80" s="573"/>
      <c r="PQE80" s="573"/>
      <c r="PQF80" s="573"/>
      <c r="PQG80" s="573"/>
      <c r="PQH80" s="573"/>
      <c r="PQI80" s="573"/>
      <c r="PQJ80" s="573"/>
      <c r="PQK80" s="573"/>
      <c r="PQL80" s="573"/>
      <c r="PQM80" s="573"/>
      <c r="PQN80" s="573"/>
      <c r="PQO80" s="573"/>
      <c r="PQP80" s="573"/>
      <c r="PQQ80" s="573"/>
      <c r="PQR80" s="573"/>
      <c r="PQS80" s="573"/>
      <c r="PQT80" s="573"/>
      <c r="PQU80" s="573"/>
      <c r="PQV80" s="573"/>
      <c r="PQW80" s="573"/>
      <c r="PQX80" s="573"/>
      <c r="PQY80" s="573"/>
      <c r="PQZ80" s="573"/>
      <c r="PRA80" s="573"/>
      <c r="PRB80" s="573"/>
      <c r="PRC80" s="573"/>
      <c r="PRD80" s="573"/>
      <c r="PRE80" s="573"/>
      <c r="PRF80" s="573"/>
      <c r="PRG80" s="573"/>
      <c r="PRH80" s="573"/>
      <c r="PRI80" s="573"/>
      <c r="PRJ80" s="573"/>
      <c r="PRK80" s="573"/>
      <c r="PRL80" s="573"/>
      <c r="PRM80" s="573"/>
      <c r="PRN80" s="573"/>
      <c r="PRO80" s="573"/>
      <c r="PRP80" s="573"/>
      <c r="PRQ80" s="573"/>
      <c r="PRR80" s="573"/>
      <c r="PRS80" s="573"/>
      <c r="PRT80" s="573"/>
      <c r="PRU80" s="573"/>
      <c r="PRV80" s="573"/>
      <c r="PRW80" s="573"/>
      <c r="PRX80" s="573"/>
      <c r="PRY80" s="573"/>
      <c r="PRZ80" s="573"/>
      <c r="PSA80" s="573"/>
      <c r="PSB80" s="573"/>
      <c r="PSC80" s="573"/>
      <c r="PSD80" s="573"/>
      <c r="PSE80" s="573"/>
      <c r="PSF80" s="573"/>
      <c r="PSG80" s="573"/>
      <c r="PSH80" s="573"/>
      <c r="PSI80" s="573"/>
      <c r="PSJ80" s="573"/>
      <c r="PSK80" s="573"/>
      <c r="PSL80" s="573"/>
      <c r="PSM80" s="573"/>
      <c r="PSN80" s="573"/>
      <c r="PSO80" s="573"/>
      <c r="PSP80" s="573"/>
      <c r="PSQ80" s="573"/>
      <c r="PSR80" s="573"/>
      <c r="PSS80" s="573"/>
      <c r="PST80" s="573"/>
      <c r="PSU80" s="573"/>
      <c r="PSV80" s="573"/>
      <c r="PSW80" s="573"/>
      <c r="PSX80" s="573"/>
      <c r="PSY80" s="573"/>
      <c r="PSZ80" s="573"/>
      <c r="PTA80" s="573"/>
      <c r="PTB80" s="573"/>
      <c r="PTC80" s="573"/>
      <c r="PTD80" s="573"/>
      <c r="PTE80" s="573"/>
      <c r="PTF80" s="573"/>
      <c r="PTG80" s="573"/>
      <c r="PTH80" s="573"/>
      <c r="PTI80" s="573"/>
      <c r="PTJ80" s="573"/>
      <c r="PTK80" s="573"/>
      <c r="PTL80" s="573"/>
      <c r="PTM80" s="573"/>
      <c r="PTN80" s="573"/>
      <c r="PTO80" s="573"/>
      <c r="PTP80" s="573"/>
      <c r="PTQ80" s="573"/>
      <c r="PTR80" s="573"/>
      <c r="PTS80" s="573"/>
      <c r="PTT80" s="573"/>
      <c r="PTU80" s="573"/>
      <c r="PTV80" s="573"/>
      <c r="PTW80" s="573"/>
      <c r="PTX80" s="573"/>
      <c r="PTY80" s="573"/>
      <c r="PTZ80" s="573"/>
      <c r="PUA80" s="573"/>
      <c r="PUB80" s="573"/>
      <c r="PUC80" s="573"/>
      <c r="PUD80" s="573"/>
      <c r="PUE80" s="573"/>
      <c r="PUF80" s="573"/>
      <c r="PUG80" s="573"/>
      <c r="PUH80" s="573"/>
      <c r="PUI80" s="573"/>
      <c r="PUJ80" s="573"/>
      <c r="PUK80" s="573"/>
      <c r="PUL80" s="573"/>
      <c r="PUM80" s="573"/>
      <c r="PUN80" s="573"/>
      <c r="PUO80" s="573"/>
      <c r="PUP80" s="573"/>
      <c r="PUQ80" s="573"/>
      <c r="PUR80" s="573"/>
      <c r="PUS80" s="573"/>
      <c r="PUT80" s="573"/>
      <c r="PUU80" s="573"/>
      <c r="PUV80" s="573"/>
      <c r="PUW80" s="573"/>
      <c r="PUX80" s="573"/>
      <c r="PUY80" s="573"/>
      <c r="PUZ80" s="573"/>
      <c r="PVA80" s="573"/>
      <c r="PVB80" s="573"/>
      <c r="PVC80" s="573"/>
      <c r="PVD80" s="573"/>
      <c r="PVE80" s="573"/>
      <c r="PVF80" s="573"/>
      <c r="PVG80" s="573"/>
      <c r="PVH80" s="573"/>
      <c r="PVI80" s="573"/>
      <c r="PVJ80" s="573"/>
      <c r="PVK80" s="573"/>
      <c r="PVL80" s="573"/>
      <c r="PVM80" s="573"/>
      <c r="PVN80" s="573"/>
      <c r="PVO80" s="573"/>
      <c r="PVP80" s="573"/>
      <c r="PVQ80" s="573"/>
      <c r="PVR80" s="573"/>
      <c r="PVS80" s="573"/>
      <c r="PVT80" s="573"/>
      <c r="PVU80" s="573"/>
      <c r="PVV80" s="573"/>
      <c r="PVW80" s="573"/>
      <c r="PVX80" s="573"/>
      <c r="PVY80" s="573"/>
      <c r="PVZ80" s="573"/>
      <c r="PWA80" s="573"/>
      <c r="PWB80" s="573"/>
      <c r="PWC80" s="573"/>
      <c r="PWD80" s="573"/>
      <c r="PWE80" s="573"/>
      <c r="PWF80" s="573"/>
      <c r="PWG80" s="573"/>
      <c r="PWH80" s="573"/>
      <c r="PWI80" s="573"/>
      <c r="PWJ80" s="573"/>
      <c r="PWK80" s="573"/>
      <c r="PWL80" s="573"/>
      <c r="PWM80" s="573"/>
      <c r="PWN80" s="573"/>
      <c r="PWO80" s="573"/>
      <c r="PWP80" s="573"/>
      <c r="PWQ80" s="573"/>
      <c r="PWR80" s="573"/>
      <c r="PWS80" s="573"/>
      <c r="PWT80" s="573"/>
      <c r="PWU80" s="573"/>
      <c r="PWV80" s="573"/>
      <c r="PWW80" s="573"/>
      <c r="PWX80" s="573"/>
      <c r="PWY80" s="573"/>
      <c r="PWZ80" s="573"/>
      <c r="PXA80" s="573"/>
      <c r="PXB80" s="573"/>
      <c r="PXC80" s="573"/>
      <c r="PXD80" s="573"/>
      <c r="PXE80" s="573"/>
      <c r="PXF80" s="573"/>
      <c r="PXG80" s="573"/>
      <c r="PXH80" s="573"/>
      <c r="PXI80" s="573"/>
      <c r="PXJ80" s="573"/>
      <c r="PXK80" s="573"/>
      <c r="PXL80" s="573"/>
      <c r="PXM80" s="573"/>
      <c r="PXN80" s="573"/>
      <c r="PXO80" s="573"/>
      <c r="PXP80" s="573"/>
      <c r="PXQ80" s="573"/>
      <c r="PXR80" s="573"/>
      <c r="PXS80" s="573"/>
      <c r="PXT80" s="573"/>
      <c r="PXU80" s="573"/>
      <c r="PXV80" s="573"/>
      <c r="PXW80" s="573"/>
      <c r="PXX80" s="573"/>
      <c r="PXY80" s="573"/>
      <c r="PXZ80" s="573"/>
      <c r="PYA80" s="573"/>
      <c r="PYB80" s="573"/>
      <c r="PYC80" s="573"/>
      <c r="PYD80" s="573"/>
      <c r="PYE80" s="573"/>
      <c r="PYF80" s="573"/>
      <c r="PYG80" s="573"/>
      <c r="PYH80" s="573"/>
      <c r="PYI80" s="573"/>
      <c r="PYJ80" s="573"/>
      <c r="PYK80" s="573"/>
      <c r="PYL80" s="573"/>
      <c r="PYM80" s="573"/>
      <c r="PYN80" s="573"/>
      <c r="PYO80" s="573"/>
      <c r="PYP80" s="573"/>
      <c r="PYQ80" s="573"/>
      <c r="PYR80" s="573"/>
      <c r="PYS80" s="573"/>
      <c r="PYT80" s="573"/>
      <c r="PYU80" s="573"/>
      <c r="PYV80" s="573"/>
      <c r="PYW80" s="573"/>
      <c r="PYX80" s="573"/>
      <c r="PYY80" s="573"/>
      <c r="PYZ80" s="573"/>
      <c r="PZA80" s="573"/>
      <c r="PZB80" s="573"/>
      <c r="PZC80" s="573"/>
      <c r="PZD80" s="573"/>
      <c r="PZE80" s="573"/>
      <c r="PZF80" s="573"/>
      <c r="PZG80" s="573"/>
      <c r="PZH80" s="573"/>
      <c r="PZI80" s="573"/>
      <c r="PZJ80" s="573"/>
      <c r="PZK80" s="573"/>
      <c r="PZL80" s="573"/>
      <c r="PZM80" s="573"/>
      <c r="PZN80" s="573"/>
      <c r="PZO80" s="573"/>
      <c r="PZP80" s="573"/>
      <c r="PZQ80" s="573"/>
      <c r="PZR80" s="573"/>
      <c r="PZS80" s="573"/>
      <c r="PZT80" s="573"/>
      <c r="PZU80" s="573"/>
      <c r="PZV80" s="573"/>
      <c r="PZW80" s="573"/>
      <c r="PZX80" s="573"/>
      <c r="PZY80" s="573"/>
      <c r="PZZ80" s="573"/>
      <c r="QAA80" s="573"/>
      <c r="QAB80" s="573"/>
      <c r="QAC80" s="573"/>
      <c r="QAD80" s="573"/>
      <c r="QAE80" s="573"/>
      <c r="QAF80" s="573"/>
      <c r="QAG80" s="573"/>
      <c r="QAH80" s="573"/>
      <c r="QAI80" s="573"/>
      <c r="QAJ80" s="573"/>
      <c r="QAK80" s="573"/>
      <c r="QAL80" s="573"/>
      <c r="QAM80" s="573"/>
      <c r="QAN80" s="573"/>
      <c r="QAO80" s="573"/>
      <c r="QAP80" s="573"/>
      <c r="QAQ80" s="573"/>
      <c r="QAR80" s="573"/>
      <c r="QAS80" s="573"/>
      <c r="QAT80" s="573"/>
      <c r="QAU80" s="573"/>
      <c r="QAV80" s="573"/>
      <c r="QAW80" s="573"/>
      <c r="QAX80" s="573"/>
      <c r="QAY80" s="573"/>
      <c r="QAZ80" s="573"/>
      <c r="QBA80" s="573"/>
      <c r="QBB80" s="573"/>
      <c r="QBC80" s="573"/>
      <c r="QBD80" s="573"/>
      <c r="QBE80" s="573"/>
      <c r="QBF80" s="573"/>
      <c r="QBG80" s="573"/>
      <c r="QBH80" s="573"/>
      <c r="QBI80" s="573"/>
      <c r="QBJ80" s="573"/>
      <c r="QBK80" s="573"/>
      <c r="QBL80" s="573"/>
      <c r="QBM80" s="573"/>
      <c r="QBN80" s="573"/>
      <c r="QBO80" s="573"/>
      <c r="QBP80" s="573"/>
      <c r="QBQ80" s="573"/>
      <c r="QBR80" s="573"/>
      <c r="QBS80" s="573"/>
      <c r="QBT80" s="573"/>
      <c r="QBU80" s="573"/>
      <c r="QBV80" s="573"/>
      <c r="QBW80" s="573"/>
      <c r="QBX80" s="573"/>
      <c r="QBY80" s="573"/>
      <c r="QBZ80" s="573"/>
      <c r="QCA80" s="573"/>
      <c r="QCB80" s="573"/>
      <c r="QCC80" s="573"/>
      <c r="QCD80" s="573"/>
      <c r="QCE80" s="573"/>
      <c r="QCF80" s="573"/>
      <c r="QCG80" s="573"/>
      <c r="QCH80" s="573"/>
      <c r="QCI80" s="573"/>
      <c r="QCJ80" s="573"/>
      <c r="QCK80" s="573"/>
      <c r="QCL80" s="573"/>
      <c r="QCM80" s="573"/>
      <c r="QCN80" s="573"/>
      <c r="QCO80" s="573"/>
      <c r="QCP80" s="573"/>
      <c r="QCQ80" s="573"/>
      <c r="QCR80" s="573"/>
      <c r="QCS80" s="573"/>
      <c r="QCT80" s="573"/>
      <c r="QCU80" s="573"/>
      <c r="QCV80" s="573"/>
      <c r="QCW80" s="573"/>
      <c r="QCX80" s="573"/>
      <c r="QCY80" s="573"/>
      <c r="QCZ80" s="573"/>
      <c r="QDA80" s="573"/>
      <c r="QDB80" s="573"/>
      <c r="QDC80" s="573"/>
      <c r="QDD80" s="573"/>
      <c r="QDE80" s="573"/>
      <c r="QDF80" s="573"/>
      <c r="QDG80" s="573"/>
      <c r="QDH80" s="573"/>
      <c r="QDI80" s="573"/>
      <c r="QDJ80" s="573"/>
      <c r="QDK80" s="573"/>
      <c r="QDL80" s="573"/>
      <c r="QDM80" s="573"/>
      <c r="QDN80" s="573"/>
      <c r="QDO80" s="573"/>
      <c r="QDP80" s="573"/>
      <c r="QDQ80" s="573"/>
      <c r="QDR80" s="573"/>
      <c r="QDS80" s="573"/>
      <c r="QDT80" s="573"/>
      <c r="QDU80" s="573"/>
      <c r="QDV80" s="573"/>
      <c r="QDW80" s="573"/>
      <c r="QDX80" s="573"/>
      <c r="QDY80" s="573"/>
      <c r="QDZ80" s="573"/>
      <c r="QEA80" s="573"/>
      <c r="QEB80" s="573"/>
      <c r="QEC80" s="573"/>
      <c r="QED80" s="573"/>
      <c r="QEE80" s="573"/>
      <c r="QEF80" s="573"/>
      <c r="QEG80" s="573"/>
      <c r="QEH80" s="573"/>
      <c r="QEI80" s="573"/>
      <c r="QEJ80" s="573"/>
      <c r="QEK80" s="573"/>
      <c r="QEL80" s="573"/>
      <c r="QEM80" s="573"/>
      <c r="QEN80" s="573"/>
      <c r="QEO80" s="573"/>
      <c r="QEP80" s="573"/>
      <c r="QEQ80" s="573"/>
      <c r="QER80" s="573"/>
      <c r="QES80" s="573"/>
      <c r="QET80" s="573"/>
      <c r="QEU80" s="573"/>
      <c r="QEV80" s="573"/>
      <c r="QEW80" s="573"/>
      <c r="QEX80" s="573"/>
      <c r="QEY80" s="573"/>
      <c r="QEZ80" s="573"/>
      <c r="QFA80" s="573"/>
      <c r="QFB80" s="573"/>
      <c r="QFC80" s="573"/>
      <c r="QFD80" s="573"/>
      <c r="QFE80" s="573"/>
      <c r="QFF80" s="573"/>
      <c r="QFG80" s="573"/>
      <c r="QFH80" s="573"/>
      <c r="QFI80" s="573"/>
      <c r="QFJ80" s="573"/>
      <c r="QFK80" s="573"/>
      <c r="QFL80" s="573"/>
      <c r="QFM80" s="573"/>
      <c r="QFN80" s="573"/>
      <c r="QFO80" s="573"/>
      <c r="QFP80" s="573"/>
      <c r="QFQ80" s="573"/>
      <c r="QFR80" s="573"/>
      <c r="QFS80" s="573"/>
      <c r="QFT80" s="573"/>
      <c r="QFU80" s="573"/>
      <c r="QFV80" s="573"/>
      <c r="QFW80" s="573"/>
      <c r="QFX80" s="573"/>
      <c r="QFY80" s="573"/>
      <c r="QFZ80" s="573"/>
      <c r="QGA80" s="573"/>
      <c r="QGB80" s="573"/>
      <c r="QGC80" s="573"/>
      <c r="QGD80" s="573"/>
      <c r="QGE80" s="573"/>
      <c r="QGF80" s="573"/>
      <c r="QGG80" s="573"/>
      <c r="QGH80" s="573"/>
      <c r="QGI80" s="573"/>
      <c r="QGJ80" s="573"/>
      <c r="QGK80" s="573"/>
      <c r="QGL80" s="573"/>
      <c r="QGM80" s="573"/>
      <c r="QGN80" s="573"/>
      <c r="QGO80" s="573"/>
      <c r="QGP80" s="573"/>
      <c r="QGQ80" s="573"/>
      <c r="QGR80" s="573"/>
      <c r="QGS80" s="573"/>
      <c r="QGT80" s="573"/>
      <c r="QGU80" s="573"/>
      <c r="QGV80" s="573"/>
      <c r="QGW80" s="573"/>
      <c r="QGX80" s="573"/>
      <c r="QGY80" s="573"/>
      <c r="QGZ80" s="573"/>
      <c r="QHA80" s="573"/>
      <c r="QHB80" s="573"/>
      <c r="QHC80" s="573"/>
      <c r="QHD80" s="573"/>
      <c r="QHE80" s="573"/>
      <c r="QHF80" s="573"/>
      <c r="QHG80" s="573"/>
      <c r="QHH80" s="573"/>
      <c r="QHI80" s="573"/>
      <c r="QHJ80" s="573"/>
      <c r="QHK80" s="573"/>
      <c r="QHL80" s="573"/>
      <c r="QHM80" s="573"/>
      <c r="QHN80" s="573"/>
      <c r="QHO80" s="573"/>
      <c r="QHP80" s="573"/>
      <c r="QHQ80" s="573"/>
      <c r="QHR80" s="573"/>
      <c r="QHS80" s="573"/>
      <c r="QHT80" s="573"/>
      <c r="QHU80" s="573"/>
      <c r="QHV80" s="573"/>
      <c r="QHW80" s="573"/>
      <c r="QHX80" s="573"/>
      <c r="QHY80" s="573"/>
      <c r="QHZ80" s="573"/>
      <c r="QIA80" s="573"/>
      <c r="QIB80" s="573"/>
      <c r="QIC80" s="573"/>
      <c r="QID80" s="573"/>
      <c r="QIE80" s="573"/>
      <c r="QIF80" s="573"/>
      <c r="QIG80" s="573"/>
      <c r="QIH80" s="573"/>
      <c r="QII80" s="573"/>
      <c r="QIJ80" s="573"/>
      <c r="QIK80" s="573"/>
      <c r="QIL80" s="573"/>
      <c r="QIM80" s="573"/>
      <c r="QIN80" s="573"/>
      <c r="QIO80" s="573"/>
      <c r="QIP80" s="573"/>
      <c r="QIQ80" s="573"/>
      <c r="QIR80" s="573"/>
      <c r="QIS80" s="573"/>
      <c r="QIT80" s="573"/>
      <c r="QIU80" s="573"/>
      <c r="QIV80" s="573"/>
      <c r="QIW80" s="573"/>
      <c r="QIX80" s="573"/>
      <c r="QIY80" s="573"/>
      <c r="QIZ80" s="573"/>
      <c r="QJA80" s="573"/>
      <c r="QJB80" s="573"/>
      <c r="QJC80" s="573"/>
      <c r="QJD80" s="573"/>
      <c r="QJE80" s="573"/>
      <c r="QJF80" s="573"/>
      <c r="QJG80" s="573"/>
      <c r="QJH80" s="573"/>
      <c r="QJI80" s="573"/>
      <c r="QJJ80" s="573"/>
      <c r="QJK80" s="573"/>
      <c r="QJL80" s="573"/>
      <c r="QJM80" s="573"/>
      <c r="QJN80" s="573"/>
      <c r="QJO80" s="573"/>
      <c r="QJP80" s="573"/>
      <c r="QJQ80" s="573"/>
      <c r="QJR80" s="573"/>
      <c r="QJS80" s="573"/>
      <c r="QJT80" s="573"/>
      <c r="QJU80" s="573"/>
      <c r="QJV80" s="573"/>
      <c r="QJW80" s="573"/>
      <c r="QJX80" s="573"/>
      <c r="QJY80" s="573"/>
      <c r="QJZ80" s="573"/>
      <c r="QKA80" s="573"/>
      <c r="QKB80" s="573"/>
      <c r="QKC80" s="573"/>
      <c r="QKD80" s="573"/>
      <c r="QKE80" s="573"/>
      <c r="QKF80" s="573"/>
      <c r="QKG80" s="573"/>
      <c r="QKH80" s="573"/>
      <c r="QKI80" s="573"/>
      <c r="QKJ80" s="573"/>
      <c r="QKK80" s="573"/>
      <c r="QKL80" s="573"/>
      <c r="QKM80" s="573"/>
      <c r="QKN80" s="573"/>
      <c r="QKO80" s="573"/>
      <c r="QKP80" s="573"/>
      <c r="QKQ80" s="573"/>
      <c r="QKR80" s="573"/>
      <c r="QKS80" s="573"/>
      <c r="QKT80" s="573"/>
      <c r="QKU80" s="573"/>
      <c r="QKV80" s="573"/>
      <c r="QKW80" s="573"/>
      <c r="QKX80" s="573"/>
      <c r="QKY80" s="573"/>
      <c r="QKZ80" s="573"/>
      <c r="QLA80" s="573"/>
      <c r="QLB80" s="573"/>
      <c r="QLC80" s="573"/>
      <c r="QLD80" s="573"/>
      <c r="QLE80" s="573"/>
      <c r="QLF80" s="573"/>
      <c r="QLG80" s="573"/>
      <c r="QLH80" s="573"/>
      <c r="QLI80" s="573"/>
      <c r="QLJ80" s="573"/>
      <c r="QLK80" s="573"/>
      <c r="QLL80" s="573"/>
      <c r="QLM80" s="573"/>
      <c r="QLN80" s="573"/>
      <c r="QLO80" s="573"/>
      <c r="QLP80" s="573"/>
      <c r="QLQ80" s="573"/>
      <c r="QLR80" s="573"/>
      <c r="QLS80" s="573"/>
      <c r="QLT80" s="573"/>
      <c r="QLU80" s="573"/>
      <c r="QLV80" s="573"/>
      <c r="QLW80" s="573"/>
      <c r="QLX80" s="573"/>
      <c r="QLY80" s="573"/>
      <c r="QLZ80" s="573"/>
      <c r="QMA80" s="573"/>
      <c r="QMB80" s="573"/>
      <c r="QMC80" s="573"/>
      <c r="QMD80" s="573"/>
      <c r="QME80" s="573"/>
      <c r="QMF80" s="573"/>
      <c r="QMG80" s="573"/>
      <c r="QMH80" s="573"/>
      <c r="QMI80" s="573"/>
      <c r="QMJ80" s="573"/>
      <c r="QMK80" s="573"/>
      <c r="QML80" s="573"/>
      <c r="QMM80" s="573"/>
      <c r="QMN80" s="573"/>
      <c r="QMO80" s="573"/>
      <c r="QMP80" s="573"/>
      <c r="QMQ80" s="573"/>
      <c r="QMR80" s="573"/>
      <c r="QMS80" s="573"/>
      <c r="QMT80" s="573"/>
      <c r="QMU80" s="573"/>
      <c r="QMV80" s="573"/>
      <c r="QMW80" s="573"/>
      <c r="QMX80" s="573"/>
      <c r="QMY80" s="573"/>
      <c r="QMZ80" s="573"/>
      <c r="QNA80" s="573"/>
      <c r="QNB80" s="573"/>
      <c r="QNC80" s="573"/>
      <c r="QND80" s="573"/>
      <c r="QNE80" s="573"/>
      <c r="QNF80" s="573"/>
      <c r="QNG80" s="573"/>
      <c r="QNH80" s="573"/>
      <c r="QNI80" s="573"/>
      <c r="QNJ80" s="573"/>
      <c r="QNK80" s="573"/>
      <c r="QNL80" s="573"/>
      <c r="QNM80" s="573"/>
      <c r="QNN80" s="573"/>
      <c r="QNO80" s="573"/>
      <c r="QNP80" s="573"/>
      <c r="QNQ80" s="573"/>
      <c r="QNR80" s="573"/>
      <c r="QNS80" s="573"/>
      <c r="QNT80" s="573"/>
      <c r="QNU80" s="573"/>
      <c r="QNV80" s="573"/>
      <c r="QNW80" s="573"/>
      <c r="QNX80" s="573"/>
      <c r="QNY80" s="573"/>
      <c r="QNZ80" s="573"/>
      <c r="QOA80" s="573"/>
      <c r="QOB80" s="573"/>
      <c r="QOC80" s="573"/>
      <c r="QOD80" s="573"/>
      <c r="QOE80" s="573"/>
      <c r="QOF80" s="573"/>
      <c r="QOG80" s="573"/>
      <c r="QOH80" s="573"/>
      <c r="QOI80" s="573"/>
      <c r="QOJ80" s="573"/>
      <c r="QOK80" s="573"/>
      <c r="QOL80" s="573"/>
      <c r="QOM80" s="573"/>
      <c r="QON80" s="573"/>
      <c r="QOO80" s="573"/>
      <c r="QOP80" s="573"/>
      <c r="QOQ80" s="573"/>
      <c r="QOR80" s="573"/>
      <c r="QOS80" s="573"/>
      <c r="QOT80" s="573"/>
      <c r="QOU80" s="573"/>
      <c r="QOV80" s="573"/>
      <c r="QOW80" s="573"/>
      <c r="QOX80" s="573"/>
      <c r="QOY80" s="573"/>
      <c r="QOZ80" s="573"/>
      <c r="QPA80" s="573"/>
      <c r="QPB80" s="573"/>
      <c r="QPC80" s="573"/>
      <c r="QPD80" s="573"/>
      <c r="QPE80" s="573"/>
      <c r="QPF80" s="573"/>
      <c r="QPG80" s="573"/>
      <c r="QPH80" s="573"/>
      <c r="QPI80" s="573"/>
      <c r="QPJ80" s="573"/>
      <c r="QPK80" s="573"/>
      <c r="QPL80" s="573"/>
      <c r="QPM80" s="573"/>
      <c r="QPN80" s="573"/>
      <c r="QPO80" s="573"/>
      <c r="QPP80" s="573"/>
      <c r="QPQ80" s="573"/>
      <c r="QPR80" s="573"/>
      <c r="QPS80" s="573"/>
      <c r="QPT80" s="573"/>
      <c r="QPU80" s="573"/>
      <c r="QPV80" s="573"/>
      <c r="QPW80" s="573"/>
      <c r="QPX80" s="573"/>
      <c r="QPY80" s="573"/>
      <c r="QPZ80" s="573"/>
      <c r="QQA80" s="573"/>
      <c r="QQB80" s="573"/>
      <c r="QQC80" s="573"/>
      <c r="QQD80" s="573"/>
      <c r="QQE80" s="573"/>
      <c r="QQF80" s="573"/>
      <c r="QQG80" s="573"/>
      <c r="QQH80" s="573"/>
      <c r="QQI80" s="573"/>
      <c r="QQJ80" s="573"/>
      <c r="QQK80" s="573"/>
      <c r="QQL80" s="573"/>
      <c r="QQM80" s="573"/>
      <c r="QQN80" s="573"/>
      <c r="QQO80" s="573"/>
      <c r="QQP80" s="573"/>
      <c r="QQQ80" s="573"/>
      <c r="QQR80" s="573"/>
      <c r="QQS80" s="573"/>
      <c r="QQT80" s="573"/>
      <c r="QQU80" s="573"/>
      <c r="QQV80" s="573"/>
      <c r="QQW80" s="573"/>
      <c r="QQX80" s="573"/>
      <c r="QQY80" s="573"/>
      <c r="QQZ80" s="573"/>
      <c r="QRA80" s="573"/>
      <c r="QRB80" s="573"/>
      <c r="QRC80" s="573"/>
      <c r="QRD80" s="573"/>
      <c r="QRE80" s="573"/>
      <c r="QRF80" s="573"/>
      <c r="QRG80" s="573"/>
      <c r="QRH80" s="573"/>
      <c r="QRI80" s="573"/>
      <c r="QRJ80" s="573"/>
      <c r="QRK80" s="573"/>
      <c r="QRL80" s="573"/>
      <c r="QRM80" s="573"/>
      <c r="QRN80" s="573"/>
      <c r="QRO80" s="573"/>
      <c r="QRP80" s="573"/>
      <c r="QRQ80" s="573"/>
      <c r="QRR80" s="573"/>
      <c r="QRS80" s="573"/>
      <c r="QRT80" s="573"/>
      <c r="QRU80" s="573"/>
      <c r="QRV80" s="573"/>
      <c r="QRW80" s="573"/>
      <c r="QRX80" s="573"/>
      <c r="QRY80" s="573"/>
      <c r="QRZ80" s="573"/>
      <c r="QSA80" s="573"/>
      <c r="QSB80" s="573"/>
      <c r="QSC80" s="573"/>
      <c r="QSD80" s="573"/>
      <c r="QSE80" s="573"/>
      <c r="QSF80" s="573"/>
      <c r="QSG80" s="573"/>
      <c r="QSH80" s="573"/>
      <c r="QSI80" s="573"/>
      <c r="QSJ80" s="573"/>
      <c r="QSK80" s="573"/>
      <c r="QSL80" s="573"/>
      <c r="QSM80" s="573"/>
      <c r="QSN80" s="573"/>
      <c r="QSO80" s="573"/>
      <c r="QSP80" s="573"/>
      <c r="QSQ80" s="573"/>
      <c r="QSR80" s="573"/>
      <c r="QSS80" s="573"/>
      <c r="QST80" s="573"/>
      <c r="QSU80" s="573"/>
      <c r="QSV80" s="573"/>
      <c r="QSW80" s="573"/>
      <c r="QSX80" s="573"/>
      <c r="QSY80" s="573"/>
      <c r="QSZ80" s="573"/>
      <c r="QTA80" s="573"/>
      <c r="QTB80" s="573"/>
      <c r="QTC80" s="573"/>
      <c r="QTD80" s="573"/>
      <c r="QTE80" s="573"/>
      <c r="QTF80" s="573"/>
      <c r="QTG80" s="573"/>
      <c r="QTH80" s="573"/>
      <c r="QTI80" s="573"/>
      <c r="QTJ80" s="573"/>
      <c r="QTK80" s="573"/>
      <c r="QTL80" s="573"/>
      <c r="QTM80" s="573"/>
      <c r="QTN80" s="573"/>
      <c r="QTO80" s="573"/>
      <c r="QTP80" s="573"/>
      <c r="QTQ80" s="573"/>
      <c r="QTR80" s="573"/>
      <c r="QTS80" s="573"/>
      <c r="QTT80" s="573"/>
      <c r="QTU80" s="573"/>
      <c r="QTV80" s="573"/>
      <c r="QTW80" s="573"/>
      <c r="QTX80" s="573"/>
      <c r="QTY80" s="573"/>
      <c r="QTZ80" s="573"/>
      <c r="QUA80" s="573"/>
      <c r="QUB80" s="573"/>
      <c r="QUC80" s="573"/>
      <c r="QUD80" s="573"/>
      <c r="QUE80" s="573"/>
      <c r="QUF80" s="573"/>
      <c r="QUG80" s="573"/>
      <c r="QUH80" s="573"/>
      <c r="QUI80" s="573"/>
      <c r="QUJ80" s="573"/>
      <c r="QUK80" s="573"/>
      <c r="QUL80" s="573"/>
      <c r="QUM80" s="573"/>
      <c r="QUN80" s="573"/>
      <c r="QUO80" s="573"/>
      <c r="QUP80" s="573"/>
      <c r="QUQ80" s="573"/>
      <c r="QUR80" s="573"/>
      <c r="QUS80" s="573"/>
      <c r="QUT80" s="573"/>
      <c r="QUU80" s="573"/>
      <c r="QUV80" s="573"/>
      <c r="QUW80" s="573"/>
      <c r="QUX80" s="573"/>
      <c r="QUY80" s="573"/>
      <c r="QUZ80" s="573"/>
      <c r="QVA80" s="573"/>
      <c r="QVB80" s="573"/>
      <c r="QVC80" s="573"/>
      <c r="QVD80" s="573"/>
      <c r="QVE80" s="573"/>
      <c r="QVF80" s="573"/>
      <c r="QVG80" s="573"/>
      <c r="QVH80" s="573"/>
      <c r="QVI80" s="573"/>
      <c r="QVJ80" s="573"/>
      <c r="QVK80" s="573"/>
      <c r="QVL80" s="573"/>
      <c r="QVM80" s="573"/>
      <c r="QVN80" s="573"/>
      <c r="QVO80" s="573"/>
      <c r="QVP80" s="573"/>
      <c r="QVQ80" s="573"/>
      <c r="QVR80" s="573"/>
      <c r="QVS80" s="573"/>
      <c r="QVT80" s="573"/>
      <c r="QVU80" s="573"/>
      <c r="QVV80" s="573"/>
      <c r="QVW80" s="573"/>
      <c r="QVX80" s="573"/>
      <c r="QVY80" s="573"/>
      <c r="QVZ80" s="573"/>
      <c r="QWA80" s="573"/>
      <c r="QWB80" s="573"/>
      <c r="QWC80" s="573"/>
      <c r="QWD80" s="573"/>
      <c r="QWE80" s="573"/>
      <c r="QWF80" s="573"/>
      <c r="QWG80" s="573"/>
      <c r="QWH80" s="573"/>
      <c r="QWI80" s="573"/>
      <c r="QWJ80" s="573"/>
      <c r="QWK80" s="573"/>
      <c r="QWL80" s="573"/>
      <c r="QWM80" s="573"/>
      <c r="QWN80" s="573"/>
      <c r="QWO80" s="573"/>
      <c r="QWP80" s="573"/>
      <c r="QWQ80" s="573"/>
      <c r="QWR80" s="573"/>
      <c r="QWS80" s="573"/>
      <c r="QWT80" s="573"/>
      <c r="QWU80" s="573"/>
      <c r="QWV80" s="573"/>
      <c r="QWW80" s="573"/>
      <c r="QWX80" s="573"/>
      <c r="QWY80" s="573"/>
      <c r="QWZ80" s="573"/>
      <c r="QXA80" s="573"/>
      <c r="QXB80" s="573"/>
      <c r="QXC80" s="573"/>
      <c r="QXD80" s="573"/>
      <c r="QXE80" s="573"/>
      <c r="QXF80" s="573"/>
      <c r="QXG80" s="573"/>
      <c r="QXH80" s="573"/>
      <c r="QXI80" s="573"/>
      <c r="QXJ80" s="573"/>
      <c r="QXK80" s="573"/>
      <c r="QXL80" s="573"/>
      <c r="QXM80" s="573"/>
      <c r="QXN80" s="573"/>
      <c r="QXO80" s="573"/>
      <c r="QXP80" s="573"/>
      <c r="QXQ80" s="573"/>
      <c r="QXR80" s="573"/>
      <c r="QXS80" s="573"/>
      <c r="QXT80" s="573"/>
      <c r="QXU80" s="573"/>
      <c r="QXV80" s="573"/>
      <c r="QXW80" s="573"/>
      <c r="QXX80" s="573"/>
      <c r="QXY80" s="573"/>
      <c r="QXZ80" s="573"/>
      <c r="QYA80" s="573"/>
      <c r="QYB80" s="573"/>
      <c r="QYC80" s="573"/>
      <c r="QYD80" s="573"/>
      <c r="QYE80" s="573"/>
      <c r="QYF80" s="573"/>
      <c r="QYG80" s="573"/>
      <c r="QYH80" s="573"/>
      <c r="QYI80" s="573"/>
      <c r="QYJ80" s="573"/>
      <c r="QYK80" s="573"/>
      <c r="QYL80" s="573"/>
      <c r="QYM80" s="573"/>
      <c r="QYN80" s="573"/>
      <c r="QYO80" s="573"/>
      <c r="QYP80" s="573"/>
      <c r="QYQ80" s="573"/>
      <c r="QYR80" s="573"/>
      <c r="QYS80" s="573"/>
      <c r="QYT80" s="573"/>
      <c r="QYU80" s="573"/>
      <c r="QYV80" s="573"/>
      <c r="QYW80" s="573"/>
      <c r="QYX80" s="573"/>
      <c r="QYY80" s="573"/>
      <c r="QYZ80" s="573"/>
      <c r="QZA80" s="573"/>
      <c r="QZB80" s="573"/>
      <c r="QZC80" s="573"/>
      <c r="QZD80" s="573"/>
      <c r="QZE80" s="573"/>
      <c r="QZF80" s="573"/>
      <c r="QZG80" s="573"/>
      <c r="QZH80" s="573"/>
      <c r="QZI80" s="573"/>
      <c r="QZJ80" s="573"/>
      <c r="QZK80" s="573"/>
      <c r="QZL80" s="573"/>
      <c r="QZM80" s="573"/>
      <c r="QZN80" s="573"/>
      <c r="QZO80" s="573"/>
      <c r="QZP80" s="573"/>
      <c r="QZQ80" s="573"/>
      <c r="QZR80" s="573"/>
      <c r="QZS80" s="573"/>
      <c r="QZT80" s="573"/>
      <c r="QZU80" s="573"/>
      <c r="QZV80" s="573"/>
      <c r="QZW80" s="573"/>
      <c r="QZX80" s="573"/>
      <c r="QZY80" s="573"/>
      <c r="QZZ80" s="573"/>
      <c r="RAA80" s="573"/>
      <c r="RAB80" s="573"/>
      <c r="RAC80" s="573"/>
      <c r="RAD80" s="573"/>
      <c r="RAE80" s="573"/>
      <c r="RAF80" s="573"/>
      <c r="RAG80" s="573"/>
      <c r="RAH80" s="573"/>
      <c r="RAI80" s="573"/>
      <c r="RAJ80" s="573"/>
      <c r="RAK80" s="573"/>
      <c r="RAL80" s="573"/>
      <c r="RAM80" s="573"/>
      <c r="RAN80" s="573"/>
      <c r="RAO80" s="573"/>
      <c r="RAP80" s="573"/>
      <c r="RAQ80" s="573"/>
      <c r="RAR80" s="573"/>
      <c r="RAS80" s="573"/>
      <c r="RAT80" s="573"/>
      <c r="RAU80" s="573"/>
      <c r="RAV80" s="573"/>
      <c r="RAW80" s="573"/>
      <c r="RAX80" s="573"/>
      <c r="RAY80" s="573"/>
      <c r="RAZ80" s="573"/>
      <c r="RBA80" s="573"/>
      <c r="RBB80" s="573"/>
      <c r="RBC80" s="573"/>
      <c r="RBD80" s="573"/>
      <c r="RBE80" s="573"/>
      <c r="RBF80" s="573"/>
      <c r="RBG80" s="573"/>
      <c r="RBH80" s="573"/>
      <c r="RBI80" s="573"/>
      <c r="RBJ80" s="573"/>
      <c r="RBK80" s="573"/>
      <c r="RBL80" s="573"/>
      <c r="RBM80" s="573"/>
      <c r="RBN80" s="573"/>
      <c r="RBO80" s="573"/>
      <c r="RBP80" s="573"/>
      <c r="RBQ80" s="573"/>
      <c r="RBR80" s="573"/>
      <c r="RBS80" s="573"/>
      <c r="RBT80" s="573"/>
      <c r="RBU80" s="573"/>
      <c r="RBV80" s="573"/>
      <c r="RBW80" s="573"/>
      <c r="RBX80" s="573"/>
      <c r="RBY80" s="573"/>
      <c r="RBZ80" s="573"/>
      <c r="RCA80" s="573"/>
      <c r="RCB80" s="573"/>
      <c r="RCC80" s="573"/>
      <c r="RCD80" s="573"/>
      <c r="RCE80" s="573"/>
      <c r="RCF80" s="573"/>
      <c r="RCG80" s="573"/>
      <c r="RCH80" s="573"/>
      <c r="RCI80" s="573"/>
      <c r="RCJ80" s="573"/>
      <c r="RCK80" s="573"/>
      <c r="RCL80" s="573"/>
      <c r="RCM80" s="573"/>
      <c r="RCN80" s="573"/>
      <c r="RCO80" s="573"/>
      <c r="RCP80" s="573"/>
      <c r="RCQ80" s="573"/>
      <c r="RCR80" s="573"/>
      <c r="RCS80" s="573"/>
      <c r="RCT80" s="573"/>
      <c r="RCU80" s="573"/>
      <c r="RCV80" s="573"/>
      <c r="RCW80" s="573"/>
      <c r="RCX80" s="573"/>
      <c r="RCY80" s="573"/>
      <c r="RCZ80" s="573"/>
      <c r="RDA80" s="573"/>
      <c r="RDB80" s="573"/>
      <c r="RDC80" s="573"/>
      <c r="RDD80" s="573"/>
      <c r="RDE80" s="573"/>
      <c r="RDF80" s="573"/>
      <c r="RDG80" s="573"/>
      <c r="RDH80" s="573"/>
      <c r="RDI80" s="573"/>
      <c r="RDJ80" s="573"/>
      <c r="RDK80" s="573"/>
      <c r="RDL80" s="573"/>
      <c r="RDM80" s="573"/>
      <c r="RDN80" s="573"/>
      <c r="RDO80" s="573"/>
      <c r="RDP80" s="573"/>
      <c r="RDQ80" s="573"/>
      <c r="RDR80" s="573"/>
      <c r="RDS80" s="573"/>
      <c r="RDT80" s="573"/>
      <c r="RDU80" s="573"/>
      <c r="RDV80" s="573"/>
      <c r="RDW80" s="573"/>
      <c r="RDX80" s="573"/>
      <c r="RDY80" s="573"/>
      <c r="RDZ80" s="573"/>
      <c r="REA80" s="573"/>
      <c r="REB80" s="573"/>
      <c r="REC80" s="573"/>
      <c r="RED80" s="573"/>
      <c r="REE80" s="573"/>
      <c r="REF80" s="573"/>
      <c r="REG80" s="573"/>
      <c r="REH80" s="573"/>
      <c r="REI80" s="573"/>
      <c r="REJ80" s="573"/>
      <c r="REK80" s="573"/>
      <c r="REL80" s="573"/>
      <c r="REM80" s="573"/>
      <c r="REN80" s="573"/>
      <c r="REO80" s="573"/>
      <c r="REP80" s="573"/>
      <c r="REQ80" s="573"/>
      <c r="RER80" s="573"/>
      <c r="RES80" s="573"/>
      <c r="RET80" s="573"/>
      <c r="REU80" s="573"/>
      <c r="REV80" s="573"/>
      <c r="REW80" s="573"/>
      <c r="REX80" s="573"/>
      <c r="REY80" s="573"/>
      <c r="REZ80" s="573"/>
      <c r="RFA80" s="573"/>
      <c r="RFB80" s="573"/>
      <c r="RFC80" s="573"/>
      <c r="RFD80" s="573"/>
      <c r="RFE80" s="573"/>
      <c r="RFF80" s="573"/>
      <c r="RFG80" s="573"/>
      <c r="RFH80" s="573"/>
      <c r="RFI80" s="573"/>
      <c r="RFJ80" s="573"/>
      <c r="RFK80" s="573"/>
      <c r="RFL80" s="573"/>
      <c r="RFM80" s="573"/>
      <c r="RFN80" s="573"/>
      <c r="RFO80" s="573"/>
      <c r="RFP80" s="573"/>
      <c r="RFQ80" s="573"/>
      <c r="RFR80" s="573"/>
      <c r="RFS80" s="573"/>
      <c r="RFT80" s="573"/>
      <c r="RFU80" s="573"/>
      <c r="RFV80" s="573"/>
      <c r="RFW80" s="573"/>
      <c r="RFX80" s="573"/>
      <c r="RFY80" s="573"/>
      <c r="RFZ80" s="573"/>
      <c r="RGA80" s="573"/>
      <c r="RGB80" s="573"/>
      <c r="RGC80" s="573"/>
      <c r="RGD80" s="573"/>
      <c r="RGE80" s="573"/>
      <c r="RGF80" s="573"/>
      <c r="RGG80" s="573"/>
      <c r="RGH80" s="573"/>
      <c r="RGI80" s="573"/>
      <c r="RGJ80" s="573"/>
      <c r="RGK80" s="573"/>
      <c r="RGL80" s="573"/>
      <c r="RGM80" s="573"/>
      <c r="RGN80" s="573"/>
      <c r="RGO80" s="573"/>
      <c r="RGP80" s="573"/>
      <c r="RGQ80" s="573"/>
      <c r="RGR80" s="573"/>
      <c r="RGS80" s="573"/>
      <c r="RGT80" s="573"/>
      <c r="RGU80" s="573"/>
      <c r="RGV80" s="573"/>
      <c r="RGW80" s="573"/>
      <c r="RGX80" s="573"/>
      <c r="RGY80" s="573"/>
      <c r="RGZ80" s="573"/>
      <c r="RHA80" s="573"/>
      <c r="RHB80" s="573"/>
      <c r="RHC80" s="573"/>
      <c r="RHD80" s="573"/>
      <c r="RHE80" s="573"/>
      <c r="RHF80" s="573"/>
      <c r="RHG80" s="573"/>
      <c r="RHH80" s="573"/>
      <c r="RHI80" s="573"/>
      <c r="RHJ80" s="573"/>
      <c r="RHK80" s="573"/>
      <c r="RHL80" s="573"/>
      <c r="RHM80" s="573"/>
      <c r="RHN80" s="573"/>
      <c r="RHO80" s="573"/>
      <c r="RHP80" s="573"/>
      <c r="RHQ80" s="573"/>
      <c r="RHR80" s="573"/>
      <c r="RHS80" s="573"/>
      <c r="RHT80" s="573"/>
      <c r="RHU80" s="573"/>
      <c r="RHV80" s="573"/>
      <c r="RHW80" s="573"/>
      <c r="RHX80" s="573"/>
      <c r="RHY80" s="573"/>
      <c r="RHZ80" s="573"/>
      <c r="RIA80" s="573"/>
      <c r="RIB80" s="573"/>
      <c r="RIC80" s="573"/>
      <c r="RID80" s="573"/>
      <c r="RIE80" s="573"/>
      <c r="RIF80" s="573"/>
      <c r="RIG80" s="573"/>
      <c r="RIH80" s="573"/>
      <c r="RII80" s="573"/>
      <c r="RIJ80" s="573"/>
      <c r="RIK80" s="573"/>
      <c r="RIL80" s="573"/>
      <c r="RIM80" s="573"/>
      <c r="RIN80" s="573"/>
      <c r="RIO80" s="573"/>
      <c r="RIP80" s="573"/>
      <c r="RIQ80" s="573"/>
      <c r="RIR80" s="573"/>
      <c r="RIS80" s="573"/>
      <c r="RIT80" s="573"/>
      <c r="RIU80" s="573"/>
      <c r="RIV80" s="573"/>
      <c r="RIW80" s="573"/>
      <c r="RIX80" s="573"/>
      <c r="RIY80" s="573"/>
      <c r="RIZ80" s="573"/>
      <c r="RJA80" s="573"/>
      <c r="RJB80" s="573"/>
      <c r="RJC80" s="573"/>
      <c r="RJD80" s="573"/>
      <c r="RJE80" s="573"/>
      <c r="RJF80" s="573"/>
      <c r="RJG80" s="573"/>
      <c r="RJH80" s="573"/>
      <c r="RJI80" s="573"/>
      <c r="RJJ80" s="573"/>
      <c r="RJK80" s="573"/>
      <c r="RJL80" s="573"/>
      <c r="RJM80" s="573"/>
      <c r="RJN80" s="573"/>
      <c r="RJO80" s="573"/>
      <c r="RJP80" s="573"/>
      <c r="RJQ80" s="573"/>
      <c r="RJR80" s="573"/>
      <c r="RJS80" s="573"/>
      <c r="RJT80" s="573"/>
      <c r="RJU80" s="573"/>
      <c r="RJV80" s="573"/>
      <c r="RJW80" s="573"/>
      <c r="RJX80" s="573"/>
      <c r="RJY80" s="573"/>
      <c r="RJZ80" s="573"/>
      <c r="RKA80" s="573"/>
      <c r="RKB80" s="573"/>
      <c r="RKC80" s="573"/>
      <c r="RKD80" s="573"/>
      <c r="RKE80" s="573"/>
      <c r="RKF80" s="573"/>
      <c r="RKG80" s="573"/>
      <c r="RKH80" s="573"/>
      <c r="RKI80" s="573"/>
      <c r="RKJ80" s="573"/>
      <c r="RKK80" s="573"/>
      <c r="RKL80" s="573"/>
      <c r="RKM80" s="573"/>
      <c r="RKN80" s="573"/>
      <c r="RKO80" s="573"/>
      <c r="RKP80" s="573"/>
      <c r="RKQ80" s="573"/>
      <c r="RKR80" s="573"/>
      <c r="RKS80" s="573"/>
      <c r="RKT80" s="573"/>
      <c r="RKU80" s="573"/>
      <c r="RKV80" s="573"/>
      <c r="RKW80" s="573"/>
      <c r="RKX80" s="573"/>
      <c r="RKY80" s="573"/>
      <c r="RKZ80" s="573"/>
      <c r="RLA80" s="573"/>
      <c r="RLB80" s="573"/>
      <c r="RLC80" s="573"/>
      <c r="RLD80" s="573"/>
      <c r="RLE80" s="573"/>
      <c r="RLF80" s="573"/>
      <c r="RLG80" s="573"/>
      <c r="RLH80" s="573"/>
      <c r="RLI80" s="573"/>
      <c r="RLJ80" s="573"/>
      <c r="RLK80" s="573"/>
      <c r="RLL80" s="573"/>
      <c r="RLM80" s="573"/>
      <c r="RLN80" s="573"/>
      <c r="RLO80" s="573"/>
      <c r="RLP80" s="573"/>
      <c r="RLQ80" s="573"/>
      <c r="RLR80" s="573"/>
      <c r="RLS80" s="573"/>
      <c r="RLT80" s="573"/>
      <c r="RLU80" s="573"/>
      <c r="RLV80" s="573"/>
      <c r="RLW80" s="573"/>
      <c r="RLX80" s="573"/>
      <c r="RLY80" s="573"/>
      <c r="RLZ80" s="573"/>
      <c r="RMA80" s="573"/>
      <c r="RMB80" s="573"/>
      <c r="RMC80" s="573"/>
      <c r="RMD80" s="573"/>
      <c r="RME80" s="573"/>
      <c r="RMF80" s="573"/>
      <c r="RMG80" s="573"/>
      <c r="RMH80" s="573"/>
      <c r="RMI80" s="573"/>
      <c r="RMJ80" s="573"/>
      <c r="RMK80" s="573"/>
      <c r="RML80" s="573"/>
      <c r="RMM80" s="573"/>
      <c r="RMN80" s="573"/>
      <c r="RMO80" s="573"/>
      <c r="RMP80" s="573"/>
      <c r="RMQ80" s="573"/>
      <c r="RMR80" s="573"/>
      <c r="RMS80" s="573"/>
      <c r="RMT80" s="573"/>
      <c r="RMU80" s="573"/>
      <c r="RMV80" s="573"/>
      <c r="RMW80" s="573"/>
      <c r="RMX80" s="573"/>
      <c r="RMY80" s="573"/>
      <c r="RMZ80" s="573"/>
      <c r="RNA80" s="573"/>
      <c r="RNB80" s="573"/>
      <c r="RNC80" s="573"/>
      <c r="RND80" s="573"/>
      <c r="RNE80" s="573"/>
      <c r="RNF80" s="573"/>
      <c r="RNG80" s="573"/>
      <c r="RNH80" s="573"/>
      <c r="RNI80" s="573"/>
      <c r="RNJ80" s="573"/>
      <c r="RNK80" s="573"/>
      <c r="RNL80" s="573"/>
      <c r="RNM80" s="573"/>
      <c r="RNN80" s="573"/>
      <c r="RNO80" s="573"/>
      <c r="RNP80" s="573"/>
      <c r="RNQ80" s="573"/>
      <c r="RNR80" s="573"/>
      <c r="RNS80" s="573"/>
      <c r="RNT80" s="573"/>
      <c r="RNU80" s="573"/>
      <c r="RNV80" s="573"/>
      <c r="RNW80" s="573"/>
      <c r="RNX80" s="573"/>
      <c r="RNY80" s="573"/>
      <c r="RNZ80" s="573"/>
      <c r="ROA80" s="573"/>
      <c r="ROB80" s="573"/>
      <c r="ROC80" s="573"/>
      <c r="ROD80" s="573"/>
      <c r="ROE80" s="573"/>
      <c r="ROF80" s="573"/>
      <c r="ROG80" s="573"/>
      <c r="ROH80" s="573"/>
      <c r="ROI80" s="573"/>
      <c r="ROJ80" s="573"/>
      <c r="ROK80" s="573"/>
      <c r="ROL80" s="573"/>
      <c r="ROM80" s="573"/>
      <c r="RON80" s="573"/>
      <c r="ROO80" s="573"/>
      <c r="ROP80" s="573"/>
      <c r="ROQ80" s="573"/>
      <c r="ROR80" s="573"/>
      <c r="ROS80" s="573"/>
      <c r="ROT80" s="573"/>
      <c r="ROU80" s="573"/>
      <c r="ROV80" s="573"/>
      <c r="ROW80" s="573"/>
      <c r="ROX80" s="573"/>
      <c r="ROY80" s="573"/>
      <c r="ROZ80" s="573"/>
      <c r="RPA80" s="573"/>
      <c r="RPB80" s="573"/>
      <c r="RPC80" s="573"/>
      <c r="RPD80" s="573"/>
      <c r="RPE80" s="573"/>
      <c r="RPF80" s="573"/>
      <c r="RPG80" s="573"/>
      <c r="RPH80" s="573"/>
      <c r="RPI80" s="573"/>
      <c r="RPJ80" s="573"/>
      <c r="RPK80" s="573"/>
      <c r="RPL80" s="573"/>
      <c r="RPM80" s="573"/>
      <c r="RPN80" s="573"/>
      <c r="RPO80" s="573"/>
      <c r="RPP80" s="573"/>
      <c r="RPQ80" s="573"/>
      <c r="RPR80" s="573"/>
      <c r="RPS80" s="573"/>
      <c r="RPT80" s="573"/>
      <c r="RPU80" s="573"/>
      <c r="RPV80" s="573"/>
      <c r="RPW80" s="573"/>
      <c r="RPX80" s="573"/>
      <c r="RPY80" s="573"/>
      <c r="RPZ80" s="573"/>
      <c r="RQA80" s="573"/>
      <c r="RQB80" s="573"/>
      <c r="RQC80" s="573"/>
      <c r="RQD80" s="573"/>
      <c r="RQE80" s="573"/>
      <c r="RQF80" s="573"/>
      <c r="RQG80" s="573"/>
      <c r="RQH80" s="573"/>
      <c r="RQI80" s="573"/>
      <c r="RQJ80" s="573"/>
      <c r="RQK80" s="573"/>
      <c r="RQL80" s="573"/>
      <c r="RQM80" s="573"/>
      <c r="RQN80" s="573"/>
      <c r="RQO80" s="573"/>
      <c r="RQP80" s="573"/>
      <c r="RQQ80" s="573"/>
      <c r="RQR80" s="573"/>
      <c r="RQS80" s="573"/>
      <c r="RQT80" s="573"/>
      <c r="RQU80" s="573"/>
      <c r="RQV80" s="573"/>
      <c r="RQW80" s="573"/>
      <c r="RQX80" s="573"/>
      <c r="RQY80" s="573"/>
      <c r="RQZ80" s="573"/>
      <c r="RRA80" s="573"/>
      <c r="RRB80" s="573"/>
      <c r="RRC80" s="573"/>
      <c r="RRD80" s="573"/>
      <c r="RRE80" s="573"/>
      <c r="RRF80" s="573"/>
      <c r="RRG80" s="573"/>
      <c r="RRH80" s="573"/>
      <c r="RRI80" s="573"/>
      <c r="RRJ80" s="573"/>
      <c r="RRK80" s="573"/>
      <c r="RRL80" s="573"/>
      <c r="RRM80" s="573"/>
      <c r="RRN80" s="573"/>
      <c r="RRO80" s="573"/>
      <c r="RRP80" s="573"/>
      <c r="RRQ80" s="573"/>
      <c r="RRR80" s="573"/>
      <c r="RRS80" s="573"/>
      <c r="RRT80" s="573"/>
      <c r="RRU80" s="573"/>
      <c r="RRV80" s="573"/>
      <c r="RRW80" s="573"/>
      <c r="RRX80" s="573"/>
      <c r="RRY80" s="573"/>
      <c r="RRZ80" s="573"/>
      <c r="RSA80" s="573"/>
      <c r="RSB80" s="573"/>
      <c r="RSC80" s="573"/>
      <c r="RSD80" s="573"/>
      <c r="RSE80" s="573"/>
      <c r="RSF80" s="573"/>
      <c r="RSG80" s="573"/>
      <c r="RSH80" s="573"/>
      <c r="RSI80" s="573"/>
      <c r="RSJ80" s="573"/>
      <c r="RSK80" s="573"/>
      <c r="RSL80" s="573"/>
      <c r="RSM80" s="573"/>
      <c r="RSN80" s="573"/>
      <c r="RSO80" s="573"/>
      <c r="RSP80" s="573"/>
      <c r="RSQ80" s="573"/>
      <c r="RSR80" s="573"/>
      <c r="RSS80" s="573"/>
      <c r="RST80" s="573"/>
      <c r="RSU80" s="573"/>
      <c r="RSV80" s="573"/>
      <c r="RSW80" s="573"/>
      <c r="RSX80" s="573"/>
      <c r="RSY80" s="573"/>
      <c r="RSZ80" s="573"/>
      <c r="RTA80" s="573"/>
      <c r="RTB80" s="573"/>
      <c r="RTC80" s="573"/>
      <c r="RTD80" s="573"/>
      <c r="RTE80" s="573"/>
      <c r="RTF80" s="573"/>
      <c r="RTG80" s="573"/>
      <c r="RTH80" s="573"/>
      <c r="RTI80" s="573"/>
      <c r="RTJ80" s="573"/>
      <c r="RTK80" s="573"/>
      <c r="RTL80" s="573"/>
      <c r="RTM80" s="573"/>
      <c r="RTN80" s="573"/>
      <c r="RTO80" s="573"/>
      <c r="RTP80" s="573"/>
      <c r="RTQ80" s="573"/>
      <c r="RTR80" s="573"/>
      <c r="RTS80" s="573"/>
      <c r="RTT80" s="573"/>
      <c r="RTU80" s="573"/>
      <c r="RTV80" s="573"/>
      <c r="RTW80" s="573"/>
      <c r="RTX80" s="573"/>
      <c r="RTY80" s="573"/>
      <c r="RTZ80" s="573"/>
      <c r="RUA80" s="573"/>
      <c r="RUB80" s="573"/>
      <c r="RUC80" s="573"/>
      <c r="RUD80" s="573"/>
      <c r="RUE80" s="573"/>
      <c r="RUF80" s="573"/>
      <c r="RUG80" s="573"/>
      <c r="RUH80" s="573"/>
      <c r="RUI80" s="573"/>
      <c r="RUJ80" s="573"/>
      <c r="RUK80" s="573"/>
      <c r="RUL80" s="573"/>
      <c r="RUM80" s="573"/>
      <c r="RUN80" s="573"/>
      <c r="RUO80" s="573"/>
      <c r="RUP80" s="573"/>
      <c r="RUQ80" s="573"/>
      <c r="RUR80" s="573"/>
      <c r="RUS80" s="573"/>
      <c r="RUT80" s="573"/>
      <c r="RUU80" s="573"/>
      <c r="RUV80" s="573"/>
      <c r="RUW80" s="573"/>
      <c r="RUX80" s="573"/>
      <c r="RUY80" s="573"/>
      <c r="RUZ80" s="573"/>
      <c r="RVA80" s="573"/>
      <c r="RVB80" s="573"/>
      <c r="RVC80" s="573"/>
      <c r="RVD80" s="573"/>
      <c r="RVE80" s="573"/>
      <c r="RVF80" s="573"/>
      <c r="RVG80" s="573"/>
      <c r="RVH80" s="573"/>
      <c r="RVI80" s="573"/>
      <c r="RVJ80" s="573"/>
      <c r="RVK80" s="573"/>
      <c r="RVL80" s="573"/>
      <c r="RVM80" s="573"/>
      <c r="RVN80" s="573"/>
      <c r="RVO80" s="573"/>
      <c r="RVP80" s="573"/>
      <c r="RVQ80" s="573"/>
      <c r="RVR80" s="573"/>
      <c r="RVS80" s="573"/>
      <c r="RVT80" s="573"/>
      <c r="RVU80" s="573"/>
      <c r="RVV80" s="573"/>
      <c r="RVW80" s="573"/>
      <c r="RVX80" s="573"/>
      <c r="RVY80" s="573"/>
      <c r="RVZ80" s="573"/>
      <c r="RWA80" s="573"/>
      <c r="RWB80" s="573"/>
      <c r="RWC80" s="573"/>
      <c r="RWD80" s="573"/>
      <c r="RWE80" s="573"/>
      <c r="RWF80" s="573"/>
      <c r="RWG80" s="573"/>
      <c r="RWH80" s="573"/>
      <c r="RWI80" s="573"/>
      <c r="RWJ80" s="573"/>
      <c r="RWK80" s="573"/>
      <c r="RWL80" s="573"/>
      <c r="RWM80" s="573"/>
      <c r="RWN80" s="573"/>
      <c r="RWO80" s="573"/>
      <c r="RWP80" s="573"/>
      <c r="RWQ80" s="573"/>
      <c r="RWR80" s="573"/>
      <c r="RWS80" s="573"/>
      <c r="RWT80" s="573"/>
      <c r="RWU80" s="573"/>
      <c r="RWV80" s="573"/>
      <c r="RWW80" s="573"/>
      <c r="RWX80" s="573"/>
      <c r="RWY80" s="573"/>
      <c r="RWZ80" s="573"/>
      <c r="RXA80" s="573"/>
      <c r="RXB80" s="573"/>
      <c r="RXC80" s="573"/>
      <c r="RXD80" s="573"/>
      <c r="RXE80" s="573"/>
      <c r="RXF80" s="573"/>
      <c r="RXG80" s="573"/>
      <c r="RXH80" s="573"/>
      <c r="RXI80" s="573"/>
      <c r="RXJ80" s="573"/>
      <c r="RXK80" s="573"/>
      <c r="RXL80" s="573"/>
      <c r="RXM80" s="573"/>
      <c r="RXN80" s="573"/>
      <c r="RXO80" s="573"/>
      <c r="RXP80" s="573"/>
      <c r="RXQ80" s="573"/>
      <c r="RXR80" s="573"/>
      <c r="RXS80" s="573"/>
      <c r="RXT80" s="573"/>
      <c r="RXU80" s="573"/>
      <c r="RXV80" s="573"/>
      <c r="RXW80" s="573"/>
      <c r="RXX80" s="573"/>
      <c r="RXY80" s="573"/>
      <c r="RXZ80" s="573"/>
      <c r="RYA80" s="573"/>
      <c r="RYB80" s="573"/>
      <c r="RYC80" s="573"/>
      <c r="RYD80" s="573"/>
      <c r="RYE80" s="573"/>
      <c r="RYF80" s="573"/>
      <c r="RYG80" s="573"/>
      <c r="RYH80" s="573"/>
      <c r="RYI80" s="573"/>
      <c r="RYJ80" s="573"/>
      <c r="RYK80" s="573"/>
      <c r="RYL80" s="573"/>
      <c r="RYM80" s="573"/>
      <c r="RYN80" s="573"/>
      <c r="RYO80" s="573"/>
      <c r="RYP80" s="573"/>
      <c r="RYQ80" s="573"/>
      <c r="RYR80" s="573"/>
      <c r="RYS80" s="573"/>
      <c r="RYT80" s="573"/>
      <c r="RYU80" s="573"/>
      <c r="RYV80" s="573"/>
      <c r="RYW80" s="573"/>
      <c r="RYX80" s="573"/>
      <c r="RYY80" s="573"/>
      <c r="RYZ80" s="573"/>
      <c r="RZA80" s="573"/>
      <c r="RZB80" s="573"/>
      <c r="RZC80" s="573"/>
      <c r="RZD80" s="573"/>
      <c r="RZE80" s="573"/>
      <c r="RZF80" s="573"/>
      <c r="RZG80" s="573"/>
      <c r="RZH80" s="573"/>
      <c r="RZI80" s="573"/>
      <c r="RZJ80" s="573"/>
      <c r="RZK80" s="573"/>
      <c r="RZL80" s="573"/>
      <c r="RZM80" s="573"/>
      <c r="RZN80" s="573"/>
      <c r="RZO80" s="573"/>
      <c r="RZP80" s="573"/>
      <c r="RZQ80" s="573"/>
      <c r="RZR80" s="573"/>
      <c r="RZS80" s="573"/>
      <c r="RZT80" s="573"/>
      <c r="RZU80" s="573"/>
      <c r="RZV80" s="573"/>
      <c r="RZW80" s="573"/>
      <c r="RZX80" s="573"/>
      <c r="RZY80" s="573"/>
      <c r="RZZ80" s="573"/>
      <c r="SAA80" s="573"/>
      <c r="SAB80" s="573"/>
      <c r="SAC80" s="573"/>
      <c r="SAD80" s="573"/>
      <c r="SAE80" s="573"/>
      <c r="SAF80" s="573"/>
      <c r="SAG80" s="573"/>
      <c r="SAH80" s="573"/>
      <c r="SAI80" s="573"/>
      <c r="SAJ80" s="573"/>
      <c r="SAK80" s="573"/>
      <c r="SAL80" s="573"/>
      <c r="SAM80" s="573"/>
      <c r="SAN80" s="573"/>
      <c r="SAO80" s="573"/>
      <c r="SAP80" s="573"/>
      <c r="SAQ80" s="573"/>
      <c r="SAR80" s="573"/>
      <c r="SAS80" s="573"/>
      <c r="SAT80" s="573"/>
      <c r="SAU80" s="573"/>
      <c r="SAV80" s="573"/>
      <c r="SAW80" s="573"/>
      <c r="SAX80" s="573"/>
      <c r="SAY80" s="573"/>
      <c r="SAZ80" s="573"/>
      <c r="SBA80" s="573"/>
      <c r="SBB80" s="573"/>
      <c r="SBC80" s="573"/>
      <c r="SBD80" s="573"/>
      <c r="SBE80" s="573"/>
      <c r="SBF80" s="573"/>
      <c r="SBG80" s="573"/>
      <c r="SBH80" s="573"/>
      <c r="SBI80" s="573"/>
      <c r="SBJ80" s="573"/>
      <c r="SBK80" s="573"/>
      <c r="SBL80" s="573"/>
      <c r="SBM80" s="573"/>
      <c r="SBN80" s="573"/>
      <c r="SBO80" s="573"/>
      <c r="SBP80" s="573"/>
      <c r="SBQ80" s="573"/>
      <c r="SBR80" s="573"/>
      <c r="SBS80" s="573"/>
      <c r="SBT80" s="573"/>
      <c r="SBU80" s="573"/>
      <c r="SBV80" s="573"/>
      <c r="SBW80" s="573"/>
      <c r="SBX80" s="573"/>
      <c r="SBY80" s="573"/>
      <c r="SBZ80" s="573"/>
      <c r="SCA80" s="573"/>
      <c r="SCB80" s="573"/>
      <c r="SCC80" s="573"/>
      <c r="SCD80" s="573"/>
      <c r="SCE80" s="573"/>
      <c r="SCF80" s="573"/>
      <c r="SCG80" s="573"/>
      <c r="SCH80" s="573"/>
      <c r="SCI80" s="573"/>
      <c r="SCJ80" s="573"/>
      <c r="SCK80" s="573"/>
      <c r="SCL80" s="573"/>
      <c r="SCM80" s="573"/>
      <c r="SCN80" s="573"/>
      <c r="SCO80" s="573"/>
      <c r="SCP80" s="573"/>
      <c r="SCQ80" s="573"/>
      <c r="SCR80" s="573"/>
      <c r="SCS80" s="573"/>
      <c r="SCT80" s="573"/>
      <c r="SCU80" s="573"/>
      <c r="SCV80" s="573"/>
      <c r="SCW80" s="573"/>
      <c r="SCX80" s="573"/>
      <c r="SCY80" s="573"/>
      <c r="SCZ80" s="573"/>
      <c r="SDA80" s="573"/>
      <c r="SDB80" s="573"/>
      <c r="SDC80" s="573"/>
      <c r="SDD80" s="573"/>
      <c r="SDE80" s="573"/>
      <c r="SDF80" s="573"/>
      <c r="SDG80" s="573"/>
      <c r="SDH80" s="573"/>
      <c r="SDI80" s="573"/>
      <c r="SDJ80" s="573"/>
      <c r="SDK80" s="573"/>
      <c r="SDL80" s="573"/>
      <c r="SDM80" s="573"/>
      <c r="SDN80" s="573"/>
      <c r="SDO80" s="573"/>
      <c r="SDP80" s="573"/>
      <c r="SDQ80" s="573"/>
      <c r="SDR80" s="573"/>
      <c r="SDS80" s="573"/>
      <c r="SDT80" s="573"/>
      <c r="SDU80" s="573"/>
      <c r="SDV80" s="573"/>
      <c r="SDW80" s="573"/>
      <c r="SDX80" s="573"/>
      <c r="SDY80" s="573"/>
      <c r="SDZ80" s="573"/>
      <c r="SEA80" s="573"/>
      <c r="SEB80" s="573"/>
      <c r="SEC80" s="573"/>
      <c r="SED80" s="573"/>
      <c r="SEE80" s="573"/>
      <c r="SEF80" s="573"/>
      <c r="SEG80" s="573"/>
      <c r="SEH80" s="573"/>
      <c r="SEI80" s="573"/>
      <c r="SEJ80" s="573"/>
      <c r="SEK80" s="573"/>
      <c r="SEL80" s="573"/>
      <c r="SEM80" s="573"/>
      <c r="SEN80" s="573"/>
      <c r="SEO80" s="573"/>
      <c r="SEP80" s="573"/>
      <c r="SEQ80" s="573"/>
      <c r="SER80" s="573"/>
      <c r="SES80" s="573"/>
      <c r="SET80" s="573"/>
      <c r="SEU80" s="573"/>
      <c r="SEV80" s="573"/>
      <c r="SEW80" s="573"/>
      <c r="SEX80" s="573"/>
      <c r="SEY80" s="573"/>
      <c r="SEZ80" s="573"/>
      <c r="SFA80" s="573"/>
      <c r="SFB80" s="573"/>
      <c r="SFC80" s="573"/>
      <c r="SFD80" s="573"/>
      <c r="SFE80" s="573"/>
      <c r="SFF80" s="573"/>
      <c r="SFG80" s="573"/>
      <c r="SFH80" s="573"/>
      <c r="SFI80" s="573"/>
      <c r="SFJ80" s="573"/>
      <c r="SFK80" s="573"/>
      <c r="SFL80" s="573"/>
      <c r="SFM80" s="573"/>
      <c r="SFN80" s="573"/>
      <c r="SFO80" s="573"/>
      <c r="SFP80" s="573"/>
      <c r="SFQ80" s="573"/>
      <c r="SFR80" s="573"/>
      <c r="SFS80" s="573"/>
      <c r="SFT80" s="573"/>
      <c r="SFU80" s="573"/>
      <c r="SFV80" s="573"/>
      <c r="SFW80" s="573"/>
      <c r="SFX80" s="573"/>
      <c r="SFY80" s="573"/>
      <c r="SFZ80" s="573"/>
      <c r="SGA80" s="573"/>
      <c r="SGB80" s="573"/>
      <c r="SGC80" s="573"/>
      <c r="SGD80" s="573"/>
      <c r="SGE80" s="573"/>
      <c r="SGF80" s="573"/>
      <c r="SGG80" s="573"/>
      <c r="SGH80" s="573"/>
      <c r="SGI80" s="573"/>
      <c r="SGJ80" s="573"/>
      <c r="SGK80" s="573"/>
      <c r="SGL80" s="573"/>
      <c r="SGM80" s="573"/>
      <c r="SGN80" s="573"/>
      <c r="SGO80" s="573"/>
      <c r="SGP80" s="573"/>
      <c r="SGQ80" s="573"/>
      <c r="SGR80" s="573"/>
      <c r="SGS80" s="573"/>
      <c r="SGT80" s="573"/>
      <c r="SGU80" s="573"/>
      <c r="SGV80" s="573"/>
      <c r="SGW80" s="573"/>
      <c r="SGX80" s="573"/>
      <c r="SGY80" s="573"/>
      <c r="SGZ80" s="573"/>
      <c r="SHA80" s="573"/>
      <c r="SHB80" s="573"/>
      <c r="SHC80" s="573"/>
      <c r="SHD80" s="573"/>
      <c r="SHE80" s="573"/>
      <c r="SHF80" s="573"/>
      <c r="SHG80" s="573"/>
      <c r="SHH80" s="573"/>
      <c r="SHI80" s="573"/>
      <c r="SHJ80" s="573"/>
      <c r="SHK80" s="573"/>
      <c r="SHL80" s="573"/>
      <c r="SHM80" s="573"/>
      <c r="SHN80" s="573"/>
      <c r="SHO80" s="573"/>
      <c r="SHP80" s="573"/>
      <c r="SHQ80" s="573"/>
      <c r="SHR80" s="573"/>
      <c r="SHS80" s="573"/>
      <c r="SHT80" s="573"/>
      <c r="SHU80" s="573"/>
      <c r="SHV80" s="573"/>
      <c r="SHW80" s="573"/>
      <c r="SHX80" s="573"/>
      <c r="SHY80" s="573"/>
      <c r="SHZ80" s="573"/>
      <c r="SIA80" s="573"/>
      <c r="SIB80" s="573"/>
      <c r="SIC80" s="573"/>
      <c r="SID80" s="573"/>
      <c r="SIE80" s="573"/>
      <c r="SIF80" s="573"/>
      <c r="SIG80" s="573"/>
      <c r="SIH80" s="573"/>
      <c r="SII80" s="573"/>
      <c r="SIJ80" s="573"/>
      <c r="SIK80" s="573"/>
      <c r="SIL80" s="573"/>
      <c r="SIM80" s="573"/>
      <c r="SIN80" s="573"/>
      <c r="SIO80" s="573"/>
      <c r="SIP80" s="573"/>
      <c r="SIQ80" s="573"/>
      <c r="SIR80" s="573"/>
      <c r="SIS80" s="573"/>
      <c r="SIT80" s="573"/>
      <c r="SIU80" s="573"/>
      <c r="SIV80" s="573"/>
      <c r="SIW80" s="573"/>
      <c r="SIX80" s="573"/>
      <c r="SIY80" s="573"/>
      <c r="SIZ80" s="573"/>
      <c r="SJA80" s="573"/>
      <c r="SJB80" s="573"/>
      <c r="SJC80" s="573"/>
      <c r="SJD80" s="573"/>
      <c r="SJE80" s="573"/>
      <c r="SJF80" s="573"/>
      <c r="SJG80" s="573"/>
      <c r="SJH80" s="573"/>
      <c r="SJI80" s="573"/>
      <c r="SJJ80" s="573"/>
      <c r="SJK80" s="573"/>
      <c r="SJL80" s="573"/>
      <c r="SJM80" s="573"/>
      <c r="SJN80" s="573"/>
      <c r="SJO80" s="573"/>
      <c r="SJP80" s="573"/>
      <c r="SJQ80" s="573"/>
      <c r="SJR80" s="573"/>
      <c r="SJS80" s="573"/>
      <c r="SJT80" s="573"/>
      <c r="SJU80" s="573"/>
      <c r="SJV80" s="573"/>
      <c r="SJW80" s="573"/>
      <c r="SJX80" s="573"/>
      <c r="SJY80" s="573"/>
      <c r="SJZ80" s="573"/>
      <c r="SKA80" s="573"/>
      <c r="SKB80" s="573"/>
      <c r="SKC80" s="573"/>
      <c r="SKD80" s="573"/>
      <c r="SKE80" s="573"/>
      <c r="SKF80" s="573"/>
      <c r="SKG80" s="573"/>
      <c r="SKH80" s="573"/>
      <c r="SKI80" s="573"/>
      <c r="SKJ80" s="573"/>
      <c r="SKK80" s="573"/>
      <c r="SKL80" s="573"/>
      <c r="SKM80" s="573"/>
      <c r="SKN80" s="573"/>
      <c r="SKO80" s="573"/>
      <c r="SKP80" s="573"/>
      <c r="SKQ80" s="573"/>
      <c r="SKR80" s="573"/>
      <c r="SKS80" s="573"/>
      <c r="SKT80" s="573"/>
      <c r="SKU80" s="573"/>
      <c r="SKV80" s="573"/>
      <c r="SKW80" s="573"/>
      <c r="SKX80" s="573"/>
      <c r="SKY80" s="573"/>
      <c r="SKZ80" s="573"/>
      <c r="SLA80" s="573"/>
      <c r="SLB80" s="573"/>
      <c r="SLC80" s="573"/>
      <c r="SLD80" s="573"/>
      <c r="SLE80" s="573"/>
      <c r="SLF80" s="573"/>
      <c r="SLG80" s="573"/>
      <c r="SLH80" s="573"/>
      <c r="SLI80" s="573"/>
      <c r="SLJ80" s="573"/>
      <c r="SLK80" s="573"/>
      <c r="SLL80" s="573"/>
      <c r="SLM80" s="573"/>
      <c r="SLN80" s="573"/>
      <c r="SLO80" s="573"/>
      <c r="SLP80" s="573"/>
      <c r="SLQ80" s="573"/>
      <c r="SLR80" s="573"/>
      <c r="SLS80" s="573"/>
      <c r="SLT80" s="573"/>
      <c r="SLU80" s="573"/>
      <c r="SLV80" s="573"/>
      <c r="SLW80" s="573"/>
      <c r="SLX80" s="573"/>
      <c r="SLY80" s="573"/>
      <c r="SLZ80" s="573"/>
      <c r="SMA80" s="573"/>
      <c r="SMB80" s="573"/>
      <c r="SMC80" s="573"/>
      <c r="SMD80" s="573"/>
      <c r="SME80" s="573"/>
      <c r="SMF80" s="573"/>
      <c r="SMG80" s="573"/>
      <c r="SMH80" s="573"/>
      <c r="SMI80" s="573"/>
      <c r="SMJ80" s="573"/>
      <c r="SMK80" s="573"/>
      <c r="SML80" s="573"/>
      <c r="SMM80" s="573"/>
      <c r="SMN80" s="573"/>
      <c r="SMO80" s="573"/>
      <c r="SMP80" s="573"/>
      <c r="SMQ80" s="573"/>
      <c r="SMR80" s="573"/>
      <c r="SMS80" s="573"/>
      <c r="SMT80" s="573"/>
      <c r="SMU80" s="573"/>
      <c r="SMV80" s="573"/>
      <c r="SMW80" s="573"/>
      <c r="SMX80" s="573"/>
      <c r="SMY80" s="573"/>
      <c r="SMZ80" s="573"/>
      <c r="SNA80" s="573"/>
      <c r="SNB80" s="573"/>
      <c r="SNC80" s="573"/>
      <c r="SND80" s="573"/>
      <c r="SNE80" s="573"/>
      <c r="SNF80" s="573"/>
      <c r="SNG80" s="573"/>
      <c r="SNH80" s="573"/>
      <c r="SNI80" s="573"/>
      <c r="SNJ80" s="573"/>
      <c r="SNK80" s="573"/>
      <c r="SNL80" s="573"/>
      <c r="SNM80" s="573"/>
      <c r="SNN80" s="573"/>
      <c r="SNO80" s="573"/>
      <c r="SNP80" s="573"/>
      <c r="SNQ80" s="573"/>
      <c r="SNR80" s="573"/>
      <c r="SNS80" s="573"/>
      <c r="SNT80" s="573"/>
      <c r="SNU80" s="573"/>
      <c r="SNV80" s="573"/>
      <c r="SNW80" s="573"/>
      <c r="SNX80" s="573"/>
      <c r="SNY80" s="573"/>
      <c r="SNZ80" s="573"/>
      <c r="SOA80" s="573"/>
      <c r="SOB80" s="573"/>
      <c r="SOC80" s="573"/>
      <c r="SOD80" s="573"/>
      <c r="SOE80" s="573"/>
      <c r="SOF80" s="573"/>
      <c r="SOG80" s="573"/>
      <c r="SOH80" s="573"/>
      <c r="SOI80" s="573"/>
      <c r="SOJ80" s="573"/>
      <c r="SOK80" s="573"/>
      <c r="SOL80" s="573"/>
      <c r="SOM80" s="573"/>
      <c r="SON80" s="573"/>
      <c r="SOO80" s="573"/>
      <c r="SOP80" s="573"/>
      <c r="SOQ80" s="573"/>
      <c r="SOR80" s="573"/>
      <c r="SOS80" s="573"/>
      <c r="SOT80" s="573"/>
      <c r="SOU80" s="573"/>
      <c r="SOV80" s="573"/>
      <c r="SOW80" s="573"/>
      <c r="SOX80" s="573"/>
      <c r="SOY80" s="573"/>
      <c r="SOZ80" s="573"/>
      <c r="SPA80" s="573"/>
      <c r="SPB80" s="573"/>
      <c r="SPC80" s="573"/>
      <c r="SPD80" s="573"/>
      <c r="SPE80" s="573"/>
      <c r="SPF80" s="573"/>
      <c r="SPG80" s="573"/>
      <c r="SPH80" s="573"/>
      <c r="SPI80" s="573"/>
      <c r="SPJ80" s="573"/>
      <c r="SPK80" s="573"/>
      <c r="SPL80" s="573"/>
      <c r="SPM80" s="573"/>
      <c r="SPN80" s="573"/>
      <c r="SPO80" s="573"/>
      <c r="SPP80" s="573"/>
      <c r="SPQ80" s="573"/>
      <c r="SPR80" s="573"/>
      <c r="SPS80" s="573"/>
      <c r="SPT80" s="573"/>
      <c r="SPU80" s="573"/>
      <c r="SPV80" s="573"/>
      <c r="SPW80" s="573"/>
      <c r="SPX80" s="573"/>
      <c r="SPY80" s="573"/>
      <c r="SPZ80" s="573"/>
      <c r="SQA80" s="573"/>
      <c r="SQB80" s="573"/>
      <c r="SQC80" s="573"/>
      <c r="SQD80" s="573"/>
      <c r="SQE80" s="573"/>
      <c r="SQF80" s="573"/>
      <c r="SQG80" s="573"/>
      <c r="SQH80" s="573"/>
      <c r="SQI80" s="573"/>
      <c r="SQJ80" s="573"/>
      <c r="SQK80" s="573"/>
      <c r="SQL80" s="573"/>
      <c r="SQM80" s="573"/>
      <c r="SQN80" s="573"/>
      <c r="SQO80" s="573"/>
      <c r="SQP80" s="573"/>
      <c r="SQQ80" s="573"/>
      <c r="SQR80" s="573"/>
      <c r="SQS80" s="573"/>
      <c r="SQT80" s="573"/>
      <c r="SQU80" s="573"/>
      <c r="SQV80" s="573"/>
      <c r="SQW80" s="573"/>
      <c r="SQX80" s="573"/>
      <c r="SQY80" s="573"/>
      <c r="SQZ80" s="573"/>
      <c r="SRA80" s="573"/>
      <c r="SRB80" s="573"/>
      <c r="SRC80" s="573"/>
      <c r="SRD80" s="573"/>
      <c r="SRE80" s="573"/>
      <c r="SRF80" s="573"/>
      <c r="SRG80" s="573"/>
      <c r="SRH80" s="573"/>
      <c r="SRI80" s="573"/>
      <c r="SRJ80" s="573"/>
      <c r="SRK80" s="573"/>
      <c r="SRL80" s="573"/>
      <c r="SRM80" s="573"/>
      <c r="SRN80" s="573"/>
      <c r="SRO80" s="573"/>
      <c r="SRP80" s="573"/>
      <c r="SRQ80" s="573"/>
      <c r="SRR80" s="573"/>
      <c r="SRS80" s="573"/>
      <c r="SRT80" s="573"/>
      <c r="SRU80" s="573"/>
      <c r="SRV80" s="573"/>
      <c r="SRW80" s="573"/>
      <c r="SRX80" s="573"/>
      <c r="SRY80" s="573"/>
      <c r="SRZ80" s="573"/>
      <c r="SSA80" s="573"/>
      <c r="SSB80" s="573"/>
      <c r="SSC80" s="573"/>
      <c r="SSD80" s="573"/>
      <c r="SSE80" s="573"/>
      <c r="SSF80" s="573"/>
      <c r="SSG80" s="573"/>
      <c r="SSH80" s="573"/>
      <c r="SSI80" s="573"/>
      <c r="SSJ80" s="573"/>
      <c r="SSK80" s="573"/>
      <c r="SSL80" s="573"/>
      <c r="SSM80" s="573"/>
      <c r="SSN80" s="573"/>
      <c r="SSO80" s="573"/>
      <c r="SSP80" s="573"/>
      <c r="SSQ80" s="573"/>
      <c r="SSR80" s="573"/>
      <c r="SSS80" s="573"/>
      <c r="SST80" s="573"/>
      <c r="SSU80" s="573"/>
      <c r="SSV80" s="573"/>
      <c r="SSW80" s="573"/>
      <c r="SSX80" s="573"/>
      <c r="SSY80" s="573"/>
      <c r="SSZ80" s="573"/>
      <c r="STA80" s="573"/>
      <c r="STB80" s="573"/>
      <c r="STC80" s="573"/>
      <c r="STD80" s="573"/>
      <c r="STE80" s="573"/>
      <c r="STF80" s="573"/>
      <c r="STG80" s="573"/>
      <c r="STH80" s="573"/>
      <c r="STI80" s="573"/>
      <c r="STJ80" s="573"/>
      <c r="STK80" s="573"/>
      <c r="STL80" s="573"/>
      <c r="STM80" s="573"/>
      <c r="STN80" s="573"/>
      <c r="STO80" s="573"/>
      <c r="STP80" s="573"/>
      <c r="STQ80" s="573"/>
      <c r="STR80" s="573"/>
      <c r="STS80" s="573"/>
      <c r="STT80" s="573"/>
      <c r="STU80" s="573"/>
      <c r="STV80" s="573"/>
      <c r="STW80" s="573"/>
      <c r="STX80" s="573"/>
      <c r="STY80" s="573"/>
      <c r="STZ80" s="573"/>
      <c r="SUA80" s="573"/>
      <c r="SUB80" s="573"/>
      <c r="SUC80" s="573"/>
      <c r="SUD80" s="573"/>
      <c r="SUE80" s="573"/>
      <c r="SUF80" s="573"/>
      <c r="SUG80" s="573"/>
      <c r="SUH80" s="573"/>
      <c r="SUI80" s="573"/>
      <c r="SUJ80" s="573"/>
      <c r="SUK80" s="573"/>
      <c r="SUL80" s="573"/>
      <c r="SUM80" s="573"/>
      <c r="SUN80" s="573"/>
      <c r="SUO80" s="573"/>
      <c r="SUP80" s="573"/>
      <c r="SUQ80" s="573"/>
      <c r="SUR80" s="573"/>
      <c r="SUS80" s="573"/>
      <c r="SUT80" s="573"/>
      <c r="SUU80" s="573"/>
      <c r="SUV80" s="573"/>
      <c r="SUW80" s="573"/>
      <c r="SUX80" s="573"/>
      <c r="SUY80" s="573"/>
      <c r="SUZ80" s="573"/>
      <c r="SVA80" s="573"/>
      <c r="SVB80" s="573"/>
      <c r="SVC80" s="573"/>
      <c r="SVD80" s="573"/>
      <c r="SVE80" s="573"/>
      <c r="SVF80" s="573"/>
      <c r="SVG80" s="573"/>
      <c r="SVH80" s="573"/>
      <c r="SVI80" s="573"/>
      <c r="SVJ80" s="573"/>
      <c r="SVK80" s="573"/>
      <c r="SVL80" s="573"/>
      <c r="SVM80" s="573"/>
      <c r="SVN80" s="573"/>
      <c r="SVO80" s="573"/>
      <c r="SVP80" s="573"/>
      <c r="SVQ80" s="573"/>
      <c r="SVR80" s="573"/>
      <c r="SVS80" s="573"/>
      <c r="SVT80" s="573"/>
      <c r="SVU80" s="573"/>
      <c r="SVV80" s="573"/>
      <c r="SVW80" s="573"/>
      <c r="SVX80" s="573"/>
      <c r="SVY80" s="573"/>
      <c r="SVZ80" s="573"/>
      <c r="SWA80" s="573"/>
      <c r="SWB80" s="573"/>
      <c r="SWC80" s="573"/>
      <c r="SWD80" s="573"/>
      <c r="SWE80" s="573"/>
      <c r="SWF80" s="573"/>
      <c r="SWG80" s="573"/>
      <c r="SWH80" s="573"/>
      <c r="SWI80" s="573"/>
      <c r="SWJ80" s="573"/>
      <c r="SWK80" s="573"/>
      <c r="SWL80" s="573"/>
      <c r="SWM80" s="573"/>
      <c r="SWN80" s="573"/>
      <c r="SWO80" s="573"/>
      <c r="SWP80" s="573"/>
      <c r="SWQ80" s="573"/>
      <c r="SWR80" s="573"/>
      <c r="SWS80" s="573"/>
      <c r="SWT80" s="573"/>
      <c r="SWU80" s="573"/>
      <c r="SWV80" s="573"/>
      <c r="SWW80" s="573"/>
      <c r="SWX80" s="573"/>
      <c r="SWY80" s="573"/>
      <c r="SWZ80" s="573"/>
      <c r="SXA80" s="573"/>
      <c r="SXB80" s="573"/>
      <c r="SXC80" s="573"/>
      <c r="SXD80" s="573"/>
      <c r="SXE80" s="573"/>
      <c r="SXF80" s="573"/>
      <c r="SXG80" s="573"/>
      <c r="SXH80" s="573"/>
      <c r="SXI80" s="573"/>
      <c r="SXJ80" s="573"/>
      <c r="SXK80" s="573"/>
      <c r="SXL80" s="573"/>
      <c r="SXM80" s="573"/>
      <c r="SXN80" s="573"/>
      <c r="SXO80" s="573"/>
      <c r="SXP80" s="573"/>
      <c r="SXQ80" s="573"/>
      <c r="SXR80" s="573"/>
      <c r="SXS80" s="573"/>
      <c r="SXT80" s="573"/>
      <c r="SXU80" s="573"/>
      <c r="SXV80" s="573"/>
      <c r="SXW80" s="573"/>
      <c r="SXX80" s="573"/>
      <c r="SXY80" s="573"/>
      <c r="SXZ80" s="573"/>
      <c r="SYA80" s="573"/>
      <c r="SYB80" s="573"/>
      <c r="SYC80" s="573"/>
      <c r="SYD80" s="573"/>
      <c r="SYE80" s="573"/>
      <c r="SYF80" s="573"/>
      <c r="SYG80" s="573"/>
      <c r="SYH80" s="573"/>
      <c r="SYI80" s="573"/>
      <c r="SYJ80" s="573"/>
      <c r="SYK80" s="573"/>
      <c r="SYL80" s="573"/>
      <c r="SYM80" s="573"/>
      <c r="SYN80" s="573"/>
      <c r="SYO80" s="573"/>
      <c r="SYP80" s="573"/>
      <c r="SYQ80" s="573"/>
      <c r="SYR80" s="573"/>
      <c r="SYS80" s="573"/>
      <c r="SYT80" s="573"/>
      <c r="SYU80" s="573"/>
      <c r="SYV80" s="573"/>
      <c r="SYW80" s="573"/>
      <c r="SYX80" s="573"/>
      <c r="SYY80" s="573"/>
      <c r="SYZ80" s="573"/>
      <c r="SZA80" s="573"/>
      <c r="SZB80" s="573"/>
      <c r="SZC80" s="573"/>
      <c r="SZD80" s="573"/>
      <c r="SZE80" s="573"/>
      <c r="SZF80" s="573"/>
      <c r="SZG80" s="573"/>
      <c r="SZH80" s="573"/>
      <c r="SZI80" s="573"/>
      <c r="SZJ80" s="573"/>
      <c r="SZK80" s="573"/>
      <c r="SZL80" s="573"/>
      <c r="SZM80" s="573"/>
      <c r="SZN80" s="573"/>
      <c r="SZO80" s="573"/>
      <c r="SZP80" s="573"/>
      <c r="SZQ80" s="573"/>
      <c r="SZR80" s="573"/>
      <c r="SZS80" s="573"/>
      <c r="SZT80" s="573"/>
      <c r="SZU80" s="573"/>
      <c r="SZV80" s="573"/>
      <c r="SZW80" s="573"/>
      <c r="SZX80" s="573"/>
      <c r="SZY80" s="573"/>
      <c r="SZZ80" s="573"/>
      <c r="TAA80" s="573"/>
      <c r="TAB80" s="573"/>
      <c r="TAC80" s="573"/>
      <c r="TAD80" s="573"/>
      <c r="TAE80" s="573"/>
      <c r="TAF80" s="573"/>
      <c r="TAG80" s="573"/>
      <c r="TAH80" s="573"/>
      <c r="TAI80" s="573"/>
      <c r="TAJ80" s="573"/>
      <c r="TAK80" s="573"/>
      <c r="TAL80" s="573"/>
      <c r="TAM80" s="573"/>
      <c r="TAN80" s="573"/>
      <c r="TAO80" s="573"/>
      <c r="TAP80" s="573"/>
      <c r="TAQ80" s="573"/>
      <c r="TAR80" s="573"/>
      <c r="TAS80" s="573"/>
      <c r="TAT80" s="573"/>
      <c r="TAU80" s="573"/>
      <c r="TAV80" s="573"/>
      <c r="TAW80" s="573"/>
      <c r="TAX80" s="573"/>
      <c r="TAY80" s="573"/>
      <c r="TAZ80" s="573"/>
      <c r="TBA80" s="573"/>
      <c r="TBB80" s="573"/>
      <c r="TBC80" s="573"/>
      <c r="TBD80" s="573"/>
      <c r="TBE80" s="573"/>
      <c r="TBF80" s="573"/>
      <c r="TBG80" s="573"/>
      <c r="TBH80" s="573"/>
      <c r="TBI80" s="573"/>
      <c r="TBJ80" s="573"/>
      <c r="TBK80" s="573"/>
      <c r="TBL80" s="573"/>
      <c r="TBM80" s="573"/>
      <c r="TBN80" s="573"/>
      <c r="TBO80" s="573"/>
      <c r="TBP80" s="573"/>
      <c r="TBQ80" s="573"/>
      <c r="TBR80" s="573"/>
      <c r="TBS80" s="573"/>
      <c r="TBT80" s="573"/>
      <c r="TBU80" s="573"/>
      <c r="TBV80" s="573"/>
      <c r="TBW80" s="573"/>
      <c r="TBX80" s="573"/>
      <c r="TBY80" s="573"/>
      <c r="TBZ80" s="573"/>
      <c r="TCA80" s="573"/>
      <c r="TCB80" s="573"/>
      <c r="TCC80" s="573"/>
      <c r="TCD80" s="573"/>
      <c r="TCE80" s="573"/>
      <c r="TCF80" s="573"/>
      <c r="TCG80" s="573"/>
      <c r="TCH80" s="573"/>
      <c r="TCI80" s="573"/>
      <c r="TCJ80" s="573"/>
      <c r="TCK80" s="573"/>
      <c r="TCL80" s="573"/>
      <c r="TCM80" s="573"/>
      <c r="TCN80" s="573"/>
      <c r="TCO80" s="573"/>
      <c r="TCP80" s="573"/>
      <c r="TCQ80" s="573"/>
      <c r="TCR80" s="573"/>
      <c r="TCS80" s="573"/>
      <c r="TCT80" s="573"/>
      <c r="TCU80" s="573"/>
      <c r="TCV80" s="573"/>
      <c r="TCW80" s="573"/>
      <c r="TCX80" s="573"/>
      <c r="TCY80" s="573"/>
      <c r="TCZ80" s="573"/>
      <c r="TDA80" s="573"/>
      <c r="TDB80" s="573"/>
      <c r="TDC80" s="573"/>
      <c r="TDD80" s="573"/>
      <c r="TDE80" s="573"/>
      <c r="TDF80" s="573"/>
      <c r="TDG80" s="573"/>
      <c r="TDH80" s="573"/>
      <c r="TDI80" s="573"/>
      <c r="TDJ80" s="573"/>
      <c r="TDK80" s="573"/>
      <c r="TDL80" s="573"/>
      <c r="TDM80" s="573"/>
      <c r="TDN80" s="573"/>
      <c r="TDO80" s="573"/>
      <c r="TDP80" s="573"/>
      <c r="TDQ80" s="573"/>
      <c r="TDR80" s="573"/>
      <c r="TDS80" s="573"/>
      <c r="TDT80" s="573"/>
      <c r="TDU80" s="573"/>
      <c r="TDV80" s="573"/>
      <c r="TDW80" s="573"/>
      <c r="TDX80" s="573"/>
      <c r="TDY80" s="573"/>
      <c r="TDZ80" s="573"/>
      <c r="TEA80" s="573"/>
      <c r="TEB80" s="573"/>
      <c r="TEC80" s="573"/>
      <c r="TED80" s="573"/>
      <c r="TEE80" s="573"/>
      <c r="TEF80" s="573"/>
      <c r="TEG80" s="573"/>
      <c r="TEH80" s="573"/>
      <c r="TEI80" s="573"/>
      <c r="TEJ80" s="573"/>
      <c r="TEK80" s="573"/>
      <c r="TEL80" s="573"/>
      <c r="TEM80" s="573"/>
      <c r="TEN80" s="573"/>
      <c r="TEO80" s="573"/>
      <c r="TEP80" s="573"/>
      <c r="TEQ80" s="573"/>
      <c r="TER80" s="573"/>
      <c r="TES80" s="573"/>
      <c r="TET80" s="573"/>
      <c r="TEU80" s="573"/>
      <c r="TEV80" s="573"/>
      <c r="TEW80" s="573"/>
      <c r="TEX80" s="573"/>
      <c r="TEY80" s="573"/>
      <c r="TEZ80" s="573"/>
      <c r="TFA80" s="573"/>
      <c r="TFB80" s="573"/>
      <c r="TFC80" s="573"/>
      <c r="TFD80" s="573"/>
      <c r="TFE80" s="573"/>
      <c r="TFF80" s="573"/>
      <c r="TFG80" s="573"/>
      <c r="TFH80" s="573"/>
      <c r="TFI80" s="573"/>
      <c r="TFJ80" s="573"/>
      <c r="TFK80" s="573"/>
      <c r="TFL80" s="573"/>
      <c r="TFM80" s="573"/>
      <c r="TFN80" s="573"/>
      <c r="TFO80" s="573"/>
      <c r="TFP80" s="573"/>
      <c r="TFQ80" s="573"/>
      <c r="TFR80" s="573"/>
      <c r="TFS80" s="573"/>
      <c r="TFT80" s="573"/>
      <c r="TFU80" s="573"/>
      <c r="TFV80" s="573"/>
      <c r="TFW80" s="573"/>
      <c r="TFX80" s="573"/>
      <c r="TFY80" s="573"/>
      <c r="TFZ80" s="573"/>
      <c r="TGA80" s="573"/>
      <c r="TGB80" s="573"/>
      <c r="TGC80" s="573"/>
      <c r="TGD80" s="573"/>
      <c r="TGE80" s="573"/>
      <c r="TGF80" s="573"/>
      <c r="TGG80" s="573"/>
      <c r="TGH80" s="573"/>
      <c r="TGI80" s="573"/>
      <c r="TGJ80" s="573"/>
      <c r="TGK80" s="573"/>
      <c r="TGL80" s="573"/>
      <c r="TGM80" s="573"/>
      <c r="TGN80" s="573"/>
      <c r="TGO80" s="573"/>
      <c r="TGP80" s="573"/>
      <c r="TGQ80" s="573"/>
      <c r="TGR80" s="573"/>
      <c r="TGS80" s="573"/>
      <c r="TGT80" s="573"/>
      <c r="TGU80" s="573"/>
      <c r="TGV80" s="573"/>
      <c r="TGW80" s="573"/>
      <c r="TGX80" s="573"/>
      <c r="TGY80" s="573"/>
      <c r="TGZ80" s="573"/>
      <c r="THA80" s="573"/>
      <c r="THB80" s="573"/>
      <c r="THC80" s="573"/>
      <c r="THD80" s="573"/>
      <c r="THE80" s="573"/>
      <c r="THF80" s="573"/>
      <c r="THG80" s="573"/>
      <c r="THH80" s="573"/>
      <c r="THI80" s="573"/>
      <c r="THJ80" s="573"/>
      <c r="THK80" s="573"/>
      <c r="THL80" s="573"/>
      <c r="THM80" s="573"/>
      <c r="THN80" s="573"/>
      <c r="THO80" s="573"/>
      <c r="THP80" s="573"/>
      <c r="THQ80" s="573"/>
      <c r="THR80" s="573"/>
      <c r="THS80" s="573"/>
      <c r="THT80" s="573"/>
      <c r="THU80" s="573"/>
      <c r="THV80" s="573"/>
      <c r="THW80" s="573"/>
      <c r="THX80" s="573"/>
      <c r="THY80" s="573"/>
      <c r="THZ80" s="573"/>
      <c r="TIA80" s="573"/>
      <c r="TIB80" s="573"/>
      <c r="TIC80" s="573"/>
      <c r="TID80" s="573"/>
      <c r="TIE80" s="573"/>
      <c r="TIF80" s="573"/>
      <c r="TIG80" s="573"/>
      <c r="TIH80" s="573"/>
      <c r="TII80" s="573"/>
      <c r="TIJ80" s="573"/>
      <c r="TIK80" s="573"/>
      <c r="TIL80" s="573"/>
      <c r="TIM80" s="573"/>
      <c r="TIN80" s="573"/>
      <c r="TIO80" s="573"/>
      <c r="TIP80" s="573"/>
      <c r="TIQ80" s="573"/>
      <c r="TIR80" s="573"/>
      <c r="TIS80" s="573"/>
      <c r="TIT80" s="573"/>
      <c r="TIU80" s="573"/>
      <c r="TIV80" s="573"/>
      <c r="TIW80" s="573"/>
      <c r="TIX80" s="573"/>
      <c r="TIY80" s="573"/>
      <c r="TIZ80" s="573"/>
      <c r="TJA80" s="573"/>
      <c r="TJB80" s="573"/>
      <c r="TJC80" s="573"/>
      <c r="TJD80" s="573"/>
      <c r="TJE80" s="573"/>
      <c r="TJF80" s="573"/>
      <c r="TJG80" s="573"/>
      <c r="TJH80" s="573"/>
      <c r="TJI80" s="573"/>
      <c r="TJJ80" s="573"/>
      <c r="TJK80" s="573"/>
      <c r="TJL80" s="573"/>
      <c r="TJM80" s="573"/>
      <c r="TJN80" s="573"/>
      <c r="TJO80" s="573"/>
      <c r="TJP80" s="573"/>
      <c r="TJQ80" s="573"/>
      <c r="TJR80" s="573"/>
      <c r="TJS80" s="573"/>
      <c r="TJT80" s="573"/>
      <c r="TJU80" s="573"/>
      <c r="TJV80" s="573"/>
      <c r="TJW80" s="573"/>
      <c r="TJX80" s="573"/>
      <c r="TJY80" s="573"/>
      <c r="TJZ80" s="573"/>
      <c r="TKA80" s="573"/>
      <c r="TKB80" s="573"/>
      <c r="TKC80" s="573"/>
      <c r="TKD80" s="573"/>
      <c r="TKE80" s="573"/>
      <c r="TKF80" s="573"/>
      <c r="TKG80" s="573"/>
      <c r="TKH80" s="573"/>
      <c r="TKI80" s="573"/>
      <c r="TKJ80" s="573"/>
      <c r="TKK80" s="573"/>
      <c r="TKL80" s="573"/>
      <c r="TKM80" s="573"/>
      <c r="TKN80" s="573"/>
      <c r="TKO80" s="573"/>
      <c r="TKP80" s="573"/>
      <c r="TKQ80" s="573"/>
      <c r="TKR80" s="573"/>
      <c r="TKS80" s="573"/>
      <c r="TKT80" s="573"/>
      <c r="TKU80" s="573"/>
      <c r="TKV80" s="573"/>
      <c r="TKW80" s="573"/>
      <c r="TKX80" s="573"/>
      <c r="TKY80" s="573"/>
      <c r="TKZ80" s="573"/>
      <c r="TLA80" s="573"/>
      <c r="TLB80" s="573"/>
      <c r="TLC80" s="573"/>
      <c r="TLD80" s="573"/>
      <c r="TLE80" s="573"/>
      <c r="TLF80" s="573"/>
      <c r="TLG80" s="573"/>
      <c r="TLH80" s="573"/>
      <c r="TLI80" s="573"/>
      <c r="TLJ80" s="573"/>
      <c r="TLK80" s="573"/>
      <c r="TLL80" s="573"/>
      <c r="TLM80" s="573"/>
      <c r="TLN80" s="573"/>
      <c r="TLO80" s="573"/>
      <c r="TLP80" s="573"/>
      <c r="TLQ80" s="573"/>
      <c r="TLR80" s="573"/>
      <c r="TLS80" s="573"/>
      <c r="TLT80" s="573"/>
      <c r="TLU80" s="573"/>
      <c r="TLV80" s="573"/>
      <c r="TLW80" s="573"/>
      <c r="TLX80" s="573"/>
      <c r="TLY80" s="573"/>
      <c r="TLZ80" s="573"/>
      <c r="TMA80" s="573"/>
      <c r="TMB80" s="573"/>
      <c r="TMC80" s="573"/>
      <c r="TMD80" s="573"/>
      <c r="TME80" s="573"/>
      <c r="TMF80" s="573"/>
      <c r="TMG80" s="573"/>
      <c r="TMH80" s="573"/>
      <c r="TMI80" s="573"/>
      <c r="TMJ80" s="573"/>
      <c r="TMK80" s="573"/>
      <c r="TML80" s="573"/>
      <c r="TMM80" s="573"/>
      <c r="TMN80" s="573"/>
      <c r="TMO80" s="573"/>
      <c r="TMP80" s="573"/>
      <c r="TMQ80" s="573"/>
      <c r="TMR80" s="573"/>
      <c r="TMS80" s="573"/>
      <c r="TMT80" s="573"/>
      <c r="TMU80" s="573"/>
      <c r="TMV80" s="573"/>
      <c r="TMW80" s="573"/>
      <c r="TMX80" s="573"/>
      <c r="TMY80" s="573"/>
      <c r="TMZ80" s="573"/>
      <c r="TNA80" s="573"/>
      <c r="TNB80" s="573"/>
      <c r="TNC80" s="573"/>
      <c r="TND80" s="573"/>
      <c r="TNE80" s="573"/>
      <c r="TNF80" s="573"/>
      <c r="TNG80" s="573"/>
      <c r="TNH80" s="573"/>
      <c r="TNI80" s="573"/>
      <c r="TNJ80" s="573"/>
      <c r="TNK80" s="573"/>
      <c r="TNL80" s="573"/>
      <c r="TNM80" s="573"/>
      <c r="TNN80" s="573"/>
      <c r="TNO80" s="573"/>
      <c r="TNP80" s="573"/>
      <c r="TNQ80" s="573"/>
      <c r="TNR80" s="573"/>
      <c r="TNS80" s="573"/>
      <c r="TNT80" s="573"/>
      <c r="TNU80" s="573"/>
      <c r="TNV80" s="573"/>
      <c r="TNW80" s="573"/>
      <c r="TNX80" s="573"/>
      <c r="TNY80" s="573"/>
      <c r="TNZ80" s="573"/>
      <c r="TOA80" s="573"/>
      <c r="TOB80" s="573"/>
      <c r="TOC80" s="573"/>
      <c r="TOD80" s="573"/>
      <c r="TOE80" s="573"/>
      <c r="TOF80" s="573"/>
      <c r="TOG80" s="573"/>
      <c r="TOH80" s="573"/>
      <c r="TOI80" s="573"/>
      <c r="TOJ80" s="573"/>
      <c r="TOK80" s="573"/>
      <c r="TOL80" s="573"/>
      <c r="TOM80" s="573"/>
      <c r="TON80" s="573"/>
      <c r="TOO80" s="573"/>
      <c r="TOP80" s="573"/>
      <c r="TOQ80" s="573"/>
      <c r="TOR80" s="573"/>
      <c r="TOS80" s="573"/>
      <c r="TOT80" s="573"/>
      <c r="TOU80" s="573"/>
      <c r="TOV80" s="573"/>
      <c r="TOW80" s="573"/>
      <c r="TOX80" s="573"/>
      <c r="TOY80" s="573"/>
      <c r="TOZ80" s="573"/>
      <c r="TPA80" s="573"/>
      <c r="TPB80" s="573"/>
      <c r="TPC80" s="573"/>
      <c r="TPD80" s="573"/>
      <c r="TPE80" s="573"/>
      <c r="TPF80" s="573"/>
      <c r="TPG80" s="573"/>
      <c r="TPH80" s="573"/>
      <c r="TPI80" s="573"/>
      <c r="TPJ80" s="573"/>
      <c r="TPK80" s="573"/>
      <c r="TPL80" s="573"/>
      <c r="TPM80" s="573"/>
      <c r="TPN80" s="573"/>
      <c r="TPO80" s="573"/>
      <c r="TPP80" s="573"/>
      <c r="TPQ80" s="573"/>
      <c r="TPR80" s="573"/>
      <c r="TPS80" s="573"/>
      <c r="TPT80" s="573"/>
      <c r="TPU80" s="573"/>
      <c r="TPV80" s="573"/>
      <c r="TPW80" s="573"/>
      <c r="TPX80" s="573"/>
      <c r="TPY80" s="573"/>
      <c r="TPZ80" s="573"/>
      <c r="TQA80" s="573"/>
      <c r="TQB80" s="573"/>
      <c r="TQC80" s="573"/>
      <c r="TQD80" s="573"/>
      <c r="TQE80" s="573"/>
      <c r="TQF80" s="573"/>
      <c r="TQG80" s="573"/>
      <c r="TQH80" s="573"/>
      <c r="TQI80" s="573"/>
      <c r="TQJ80" s="573"/>
      <c r="TQK80" s="573"/>
      <c r="TQL80" s="573"/>
      <c r="TQM80" s="573"/>
      <c r="TQN80" s="573"/>
      <c r="TQO80" s="573"/>
      <c r="TQP80" s="573"/>
      <c r="TQQ80" s="573"/>
      <c r="TQR80" s="573"/>
      <c r="TQS80" s="573"/>
      <c r="TQT80" s="573"/>
      <c r="TQU80" s="573"/>
      <c r="TQV80" s="573"/>
      <c r="TQW80" s="573"/>
      <c r="TQX80" s="573"/>
      <c r="TQY80" s="573"/>
      <c r="TQZ80" s="573"/>
      <c r="TRA80" s="573"/>
      <c r="TRB80" s="573"/>
      <c r="TRC80" s="573"/>
      <c r="TRD80" s="573"/>
      <c r="TRE80" s="573"/>
      <c r="TRF80" s="573"/>
      <c r="TRG80" s="573"/>
      <c r="TRH80" s="573"/>
      <c r="TRI80" s="573"/>
      <c r="TRJ80" s="573"/>
      <c r="TRK80" s="573"/>
      <c r="TRL80" s="573"/>
      <c r="TRM80" s="573"/>
      <c r="TRN80" s="573"/>
      <c r="TRO80" s="573"/>
      <c r="TRP80" s="573"/>
      <c r="TRQ80" s="573"/>
      <c r="TRR80" s="573"/>
      <c r="TRS80" s="573"/>
      <c r="TRT80" s="573"/>
      <c r="TRU80" s="573"/>
      <c r="TRV80" s="573"/>
      <c r="TRW80" s="573"/>
      <c r="TRX80" s="573"/>
      <c r="TRY80" s="573"/>
      <c r="TRZ80" s="573"/>
      <c r="TSA80" s="573"/>
      <c r="TSB80" s="573"/>
      <c r="TSC80" s="573"/>
      <c r="TSD80" s="573"/>
      <c r="TSE80" s="573"/>
      <c r="TSF80" s="573"/>
      <c r="TSG80" s="573"/>
      <c r="TSH80" s="573"/>
      <c r="TSI80" s="573"/>
      <c r="TSJ80" s="573"/>
      <c r="TSK80" s="573"/>
      <c r="TSL80" s="573"/>
      <c r="TSM80" s="573"/>
      <c r="TSN80" s="573"/>
      <c r="TSO80" s="573"/>
      <c r="TSP80" s="573"/>
      <c r="TSQ80" s="573"/>
      <c r="TSR80" s="573"/>
      <c r="TSS80" s="573"/>
      <c r="TST80" s="573"/>
      <c r="TSU80" s="573"/>
      <c r="TSV80" s="573"/>
      <c r="TSW80" s="573"/>
      <c r="TSX80" s="573"/>
      <c r="TSY80" s="573"/>
      <c r="TSZ80" s="573"/>
      <c r="TTA80" s="573"/>
      <c r="TTB80" s="573"/>
      <c r="TTC80" s="573"/>
      <c r="TTD80" s="573"/>
      <c r="TTE80" s="573"/>
      <c r="TTF80" s="573"/>
      <c r="TTG80" s="573"/>
      <c r="TTH80" s="573"/>
      <c r="TTI80" s="573"/>
      <c r="TTJ80" s="573"/>
      <c r="TTK80" s="573"/>
      <c r="TTL80" s="573"/>
      <c r="TTM80" s="573"/>
      <c r="TTN80" s="573"/>
      <c r="TTO80" s="573"/>
      <c r="TTP80" s="573"/>
      <c r="TTQ80" s="573"/>
      <c r="TTR80" s="573"/>
      <c r="TTS80" s="573"/>
      <c r="TTT80" s="573"/>
      <c r="TTU80" s="573"/>
      <c r="TTV80" s="573"/>
      <c r="TTW80" s="573"/>
      <c r="TTX80" s="573"/>
      <c r="TTY80" s="573"/>
      <c r="TTZ80" s="573"/>
      <c r="TUA80" s="573"/>
      <c r="TUB80" s="573"/>
      <c r="TUC80" s="573"/>
      <c r="TUD80" s="573"/>
      <c r="TUE80" s="573"/>
      <c r="TUF80" s="573"/>
      <c r="TUG80" s="573"/>
      <c r="TUH80" s="573"/>
      <c r="TUI80" s="573"/>
      <c r="TUJ80" s="573"/>
      <c r="TUK80" s="573"/>
      <c r="TUL80" s="573"/>
      <c r="TUM80" s="573"/>
      <c r="TUN80" s="573"/>
      <c r="TUO80" s="573"/>
      <c r="TUP80" s="573"/>
      <c r="TUQ80" s="573"/>
      <c r="TUR80" s="573"/>
      <c r="TUS80" s="573"/>
      <c r="TUT80" s="573"/>
      <c r="TUU80" s="573"/>
      <c r="TUV80" s="573"/>
      <c r="TUW80" s="573"/>
      <c r="TUX80" s="573"/>
      <c r="TUY80" s="573"/>
      <c r="TUZ80" s="573"/>
      <c r="TVA80" s="573"/>
      <c r="TVB80" s="573"/>
      <c r="TVC80" s="573"/>
      <c r="TVD80" s="573"/>
      <c r="TVE80" s="573"/>
      <c r="TVF80" s="573"/>
      <c r="TVG80" s="573"/>
      <c r="TVH80" s="573"/>
      <c r="TVI80" s="573"/>
      <c r="TVJ80" s="573"/>
      <c r="TVK80" s="573"/>
      <c r="TVL80" s="573"/>
      <c r="TVM80" s="573"/>
      <c r="TVN80" s="573"/>
      <c r="TVO80" s="573"/>
      <c r="TVP80" s="573"/>
      <c r="TVQ80" s="573"/>
      <c r="TVR80" s="573"/>
      <c r="TVS80" s="573"/>
      <c r="TVT80" s="573"/>
      <c r="TVU80" s="573"/>
      <c r="TVV80" s="573"/>
      <c r="TVW80" s="573"/>
      <c r="TVX80" s="573"/>
      <c r="TVY80" s="573"/>
      <c r="TVZ80" s="573"/>
      <c r="TWA80" s="573"/>
      <c r="TWB80" s="573"/>
      <c r="TWC80" s="573"/>
      <c r="TWD80" s="573"/>
      <c r="TWE80" s="573"/>
      <c r="TWF80" s="573"/>
      <c r="TWG80" s="573"/>
      <c r="TWH80" s="573"/>
      <c r="TWI80" s="573"/>
      <c r="TWJ80" s="573"/>
      <c r="TWK80" s="573"/>
      <c r="TWL80" s="573"/>
      <c r="TWM80" s="573"/>
      <c r="TWN80" s="573"/>
      <c r="TWO80" s="573"/>
      <c r="TWP80" s="573"/>
      <c r="TWQ80" s="573"/>
      <c r="TWR80" s="573"/>
      <c r="TWS80" s="573"/>
      <c r="TWT80" s="573"/>
      <c r="TWU80" s="573"/>
      <c r="TWV80" s="573"/>
      <c r="TWW80" s="573"/>
      <c r="TWX80" s="573"/>
      <c r="TWY80" s="573"/>
      <c r="TWZ80" s="573"/>
      <c r="TXA80" s="573"/>
      <c r="TXB80" s="573"/>
      <c r="TXC80" s="573"/>
      <c r="TXD80" s="573"/>
      <c r="TXE80" s="573"/>
      <c r="TXF80" s="573"/>
      <c r="TXG80" s="573"/>
      <c r="TXH80" s="573"/>
      <c r="TXI80" s="573"/>
      <c r="TXJ80" s="573"/>
      <c r="TXK80" s="573"/>
      <c r="TXL80" s="573"/>
      <c r="TXM80" s="573"/>
      <c r="TXN80" s="573"/>
      <c r="TXO80" s="573"/>
      <c r="TXP80" s="573"/>
      <c r="TXQ80" s="573"/>
      <c r="TXR80" s="573"/>
      <c r="TXS80" s="573"/>
      <c r="TXT80" s="573"/>
      <c r="TXU80" s="573"/>
      <c r="TXV80" s="573"/>
      <c r="TXW80" s="573"/>
      <c r="TXX80" s="573"/>
      <c r="TXY80" s="573"/>
      <c r="TXZ80" s="573"/>
      <c r="TYA80" s="573"/>
      <c r="TYB80" s="573"/>
      <c r="TYC80" s="573"/>
      <c r="TYD80" s="573"/>
      <c r="TYE80" s="573"/>
      <c r="TYF80" s="573"/>
      <c r="TYG80" s="573"/>
      <c r="TYH80" s="573"/>
      <c r="TYI80" s="573"/>
      <c r="TYJ80" s="573"/>
      <c r="TYK80" s="573"/>
      <c r="TYL80" s="573"/>
      <c r="TYM80" s="573"/>
      <c r="TYN80" s="573"/>
      <c r="TYO80" s="573"/>
      <c r="TYP80" s="573"/>
      <c r="TYQ80" s="573"/>
      <c r="TYR80" s="573"/>
      <c r="TYS80" s="573"/>
      <c r="TYT80" s="573"/>
      <c r="TYU80" s="573"/>
      <c r="TYV80" s="573"/>
      <c r="TYW80" s="573"/>
      <c r="TYX80" s="573"/>
      <c r="TYY80" s="573"/>
      <c r="TYZ80" s="573"/>
      <c r="TZA80" s="573"/>
      <c r="TZB80" s="573"/>
      <c r="TZC80" s="573"/>
      <c r="TZD80" s="573"/>
      <c r="TZE80" s="573"/>
      <c r="TZF80" s="573"/>
      <c r="TZG80" s="573"/>
      <c r="TZH80" s="573"/>
      <c r="TZI80" s="573"/>
      <c r="TZJ80" s="573"/>
      <c r="TZK80" s="573"/>
      <c r="TZL80" s="573"/>
      <c r="TZM80" s="573"/>
      <c r="TZN80" s="573"/>
      <c r="TZO80" s="573"/>
      <c r="TZP80" s="573"/>
      <c r="TZQ80" s="573"/>
      <c r="TZR80" s="573"/>
      <c r="TZS80" s="573"/>
      <c r="TZT80" s="573"/>
      <c r="TZU80" s="573"/>
      <c r="TZV80" s="573"/>
      <c r="TZW80" s="573"/>
      <c r="TZX80" s="573"/>
      <c r="TZY80" s="573"/>
      <c r="TZZ80" s="573"/>
      <c r="UAA80" s="573"/>
      <c r="UAB80" s="573"/>
      <c r="UAC80" s="573"/>
      <c r="UAD80" s="573"/>
      <c r="UAE80" s="573"/>
      <c r="UAF80" s="573"/>
      <c r="UAG80" s="573"/>
      <c r="UAH80" s="573"/>
      <c r="UAI80" s="573"/>
      <c r="UAJ80" s="573"/>
      <c r="UAK80" s="573"/>
      <c r="UAL80" s="573"/>
      <c r="UAM80" s="573"/>
      <c r="UAN80" s="573"/>
      <c r="UAO80" s="573"/>
      <c r="UAP80" s="573"/>
      <c r="UAQ80" s="573"/>
      <c r="UAR80" s="573"/>
      <c r="UAS80" s="573"/>
      <c r="UAT80" s="573"/>
      <c r="UAU80" s="573"/>
      <c r="UAV80" s="573"/>
      <c r="UAW80" s="573"/>
      <c r="UAX80" s="573"/>
      <c r="UAY80" s="573"/>
      <c r="UAZ80" s="573"/>
      <c r="UBA80" s="573"/>
      <c r="UBB80" s="573"/>
      <c r="UBC80" s="573"/>
      <c r="UBD80" s="573"/>
      <c r="UBE80" s="573"/>
      <c r="UBF80" s="573"/>
      <c r="UBG80" s="573"/>
      <c r="UBH80" s="573"/>
      <c r="UBI80" s="573"/>
      <c r="UBJ80" s="573"/>
      <c r="UBK80" s="573"/>
      <c r="UBL80" s="573"/>
      <c r="UBM80" s="573"/>
      <c r="UBN80" s="573"/>
      <c r="UBO80" s="573"/>
      <c r="UBP80" s="573"/>
      <c r="UBQ80" s="573"/>
      <c r="UBR80" s="573"/>
      <c r="UBS80" s="573"/>
      <c r="UBT80" s="573"/>
      <c r="UBU80" s="573"/>
      <c r="UBV80" s="573"/>
      <c r="UBW80" s="573"/>
      <c r="UBX80" s="573"/>
      <c r="UBY80" s="573"/>
      <c r="UBZ80" s="573"/>
      <c r="UCA80" s="573"/>
      <c r="UCB80" s="573"/>
      <c r="UCC80" s="573"/>
      <c r="UCD80" s="573"/>
      <c r="UCE80" s="573"/>
      <c r="UCF80" s="573"/>
      <c r="UCG80" s="573"/>
      <c r="UCH80" s="573"/>
      <c r="UCI80" s="573"/>
      <c r="UCJ80" s="573"/>
      <c r="UCK80" s="573"/>
      <c r="UCL80" s="573"/>
      <c r="UCM80" s="573"/>
      <c r="UCN80" s="573"/>
      <c r="UCO80" s="573"/>
      <c r="UCP80" s="573"/>
      <c r="UCQ80" s="573"/>
      <c r="UCR80" s="573"/>
      <c r="UCS80" s="573"/>
      <c r="UCT80" s="573"/>
      <c r="UCU80" s="573"/>
      <c r="UCV80" s="573"/>
      <c r="UCW80" s="573"/>
      <c r="UCX80" s="573"/>
      <c r="UCY80" s="573"/>
      <c r="UCZ80" s="573"/>
      <c r="UDA80" s="573"/>
      <c r="UDB80" s="573"/>
      <c r="UDC80" s="573"/>
      <c r="UDD80" s="573"/>
      <c r="UDE80" s="573"/>
      <c r="UDF80" s="573"/>
      <c r="UDG80" s="573"/>
      <c r="UDH80" s="573"/>
      <c r="UDI80" s="573"/>
      <c r="UDJ80" s="573"/>
      <c r="UDK80" s="573"/>
      <c r="UDL80" s="573"/>
      <c r="UDM80" s="573"/>
      <c r="UDN80" s="573"/>
      <c r="UDO80" s="573"/>
      <c r="UDP80" s="573"/>
      <c r="UDQ80" s="573"/>
      <c r="UDR80" s="573"/>
      <c r="UDS80" s="573"/>
      <c r="UDT80" s="573"/>
      <c r="UDU80" s="573"/>
      <c r="UDV80" s="573"/>
      <c r="UDW80" s="573"/>
      <c r="UDX80" s="573"/>
      <c r="UDY80" s="573"/>
      <c r="UDZ80" s="573"/>
      <c r="UEA80" s="573"/>
      <c r="UEB80" s="573"/>
      <c r="UEC80" s="573"/>
      <c r="UED80" s="573"/>
      <c r="UEE80" s="573"/>
      <c r="UEF80" s="573"/>
      <c r="UEG80" s="573"/>
      <c r="UEH80" s="573"/>
      <c r="UEI80" s="573"/>
      <c r="UEJ80" s="573"/>
      <c r="UEK80" s="573"/>
      <c r="UEL80" s="573"/>
      <c r="UEM80" s="573"/>
      <c r="UEN80" s="573"/>
      <c r="UEO80" s="573"/>
      <c r="UEP80" s="573"/>
      <c r="UEQ80" s="573"/>
      <c r="UER80" s="573"/>
      <c r="UES80" s="573"/>
      <c r="UET80" s="573"/>
      <c r="UEU80" s="573"/>
      <c r="UEV80" s="573"/>
      <c r="UEW80" s="573"/>
      <c r="UEX80" s="573"/>
      <c r="UEY80" s="573"/>
      <c r="UEZ80" s="573"/>
      <c r="UFA80" s="573"/>
      <c r="UFB80" s="573"/>
      <c r="UFC80" s="573"/>
      <c r="UFD80" s="573"/>
      <c r="UFE80" s="573"/>
      <c r="UFF80" s="573"/>
      <c r="UFG80" s="573"/>
      <c r="UFH80" s="573"/>
      <c r="UFI80" s="573"/>
      <c r="UFJ80" s="573"/>
      <c r="UFK80" s="573"/>
      <c r="UFL80" s="573"/>
      <c r="UFM80" s="573"/>
      <c r="UFN80" s="573"/>
      <c r="UFO80" s="573"/>
      <c r="UFP80" s="573"/>
      <c r="UFQ80" s="573"/>
      <c r="UFR80" s="573"/>
      <c r="UFS80" s="573"/>
      <c r="UFT80" s="573"/>
      <c r="UFU80" s="573"/>
      <c r="UFV80" s="573"/>
      <c r="UFW80" s="573"/>
      <c r="UFX80" s="573"/>
      <c r="UFY80" s="573"/>
      <c r="UFZ80" s="573"/>
      <c r="UGA80" s="573"/>
      <c r="UGB80" s="573"/>
      <c r="UGC80" s="573"/>
      <c r="UGD80" s="573"/>
      <c r="UGE80" s="573"/>
      <c r="UGF80" s="573"/>
      <c r="UGG80" s="573"/>
      <c r="UGH80" s="573"/>
      <c r="UGI80" s="573"/>
      <c r="UGJ80" s="573"/>
      <c r="UGK80" s="573"/>
      <c r="UGL80" s="573"/>
      <c r="UGM80" s="573"/>
      <c r="UGN80" s="573"/>
      <c r="UGO80" s="573"/>
      <c r="UGP80" s="573"/>
      <c r="UGQ80" s="573"/>
      <c r="UGR80" s="573"/>
      <c r="UGS80" s="573"/>
      <c r="UGT80" s="573"/>
      <c r="UGU80" s="573"/>
      <c r="UGV80" s="573"/>
      <c r="UGW80" s="573"/>
      <c r="UGX80" s="573"/>
      <c r="UGY80" s="573"/>
      <c r="UGZ80" s="573"/>
      <c r="UHA80" s="573"/>
      <c r="UHB80" s="573"/>
      <c r="UHC80" s="573"/>
      <c r="UHD80" s="573"/>
      <c r="UHE80" s="573"/>
      <c r="UHF80" s="573"/>
      <c r="UHG80" s="573"/>
      <c r="UHH80" s="573"/>
      <c r="UHI80" s="573"/>
      <c r="UHJ80" s="573"/>
      <c r="UHK80" s="573"/>
      <c r="UHL80" s="573"/>
      <c r="UHM80" s="573"/>
      <c r="UHN80" s="573"/>
      <c r="UHO80" s="573"/>
      <c r="UHP80" s="573"/>
      <c r="UHQ80" s="573"/>
      <c r="UHR80" s="573"/>
      <c r="UHS80" s="573"/>
      <c r="UHT80" s="573"/>
      <c r="UHU80" s="573"/>
      <c r="UHV80" s="573"/>
      <c r="UHW80" s="573"/>
      <c r="UHX80" s="573"/>
      <c r="UHY80" s="573"/>
      <c r="UHZ80" s="573"/>
      <c r="UIA80" s="573"/>
      <c r="UIB80" s="573"/>
      <c r="UIC80" s="573"/>
      <c r="UID80" s="573"/>
      <c r="UIE80" s="573"/>
      <c r="UIF80" s="573"/>
      <c r="UIG80" s="573"/>
      <c r="UIH80" s="573"/>
      <c r="UII80" s="573"/>
      <c r="UIJ80" s="573"/>
      <c r="UIK80" s="573"/>
      <c r="UIL80" s="573"/>
      <c r="UIM80" s="573"/>
      <c r="UIN80" s="573"/>
      <c r="UIO80" s="573"/>
      <c r="UIP80" s="573"/>
      <c r="UIQ80" s="573"/>
      <c r="UIR80" s="573"/>
      <c r="UIS80" s="573"/>
      <c r="UIT80" s="573"/>
      <c r="UIU80" s="573"/>
      <c r="UIV80" s="573"/>
      <c r="UIW80" s="573"/>
      <c r="UIX80" s="573"/>
      <c r="UIY80" s="573"/>
      <c r="UIZ80" s="573"/>
      <c r="UJA80" s="573"/>
      <c r="UJB80" s="573"/>
      <c r="UJC80" s="573"/>
      <c r="UJD80" s="573"/>
      <c r="UJE80" s="573"/>
      <c r="UJF80" s="573"/>
      <c r="UJG80" s="573"/>
      <c r="UJH80" s="573"/>
      <c r="UJI80" s="573"/>
      <c r="UJJ80" s="573"/>
      <c r="UJK80" s="573"/>
      <c r="UJL80" s="573"/>
      <c r="UJM80" s="573"/>
      <c r="UJN80" s="573"/>
      <c r="UJO80" s="573"/>
      <c r="UJP80" s="573"/>
      <c r="UJQ80" s="573"/>
      <c r="UJR80" s="573"/>
      <c r="UJS80" s="573"/>
      <c r="UJT80" s="573"/>
      <c r="UJU80" s="573"/>
      <c r="UJV80" s="573"/>
      <c r="UJW80" s="573"/>
      <c r="UJX80" s="573"/>
      <c r="UJY80" s="573"/>
      <c r="UJZ80" s="573"/>
      <c r="UKA80" s="573"/>
      <c r="UKB80" s="573"/>
      <c r="UKC80" s="573"/>
      <c r="UKD80" s="573"/>
      <c r="UKE80" s="573"/>
      <c r="UKF80" s="573"/>
      <c r="UKG80" s="573"/>
      <c r="UKH80" s="573"/>
      <c r="UKI80" s="573"/>
      <c r="UKJ80" s="573"/>
      <c r="UKK80" s="573"/>
      <c r="UKL80" s="573"/>
      <c r="UKM80" s="573"/>
      <c r="UKN80" s="573"/>
      <c r="UKO80" s="573"/>
      <c r="UKP80" s="573"/>
      <c r="UKQ80" s="573"/>
      <c r="UKR80" s="573"/>
      <c r="UKS80" s="573"/>
      <c r="UKT80" s="573"/>
      <c r="UKU80" s="573"/>
      <c r="UKV80" s="573"/>
      <c r="UKW80" s="573"/>
      <c r="UKX80" s="573"/>
      <c r="UKY80" s="573"/>
      <c r="UKZ80" s="573"/>
      <c r="ULA80" s="573"/>
      <c r="ULB80" s="573"/>
      <c r="ULC80" s="573"/>
      <c r="ULD80" s="573"/>
      <c r="ULE80" s="573"/>
      <c r="ULF80" s="573"/>
      <c r="ULG80" s="573"/>
      <c r="ULH80" s="573"/>
      <c r="ULI80" s="573"/>
      <c r="ULJ80" s="573"/>
      <c r="ULK80" s="573"/>
      <c r="ULL80" s="573"/>
      <c r="ULM80" s="573"/>
      <c r="ULN80" s="573"/>
      <c r="ULO80" s="573"/>
      <c r="ULP80" s="573"/>
      <c r="ULQ80" s="573"/>
      <c r="ULR80" s="573"/>
      <c r="ULS80" s="573"/>
      <c r="ULT80" s="573"/>
      <c r="ULU80" s="573"/>
      <c r="ULV80" s="573"/>
      <c r="ULW80" s="573"/>
      <c r="ULX80" s="573"/>
      <c r="ULY80" s="573"/>
      <c r="ULZ80" s="573"/>
      <c r="UMA80" s="573"/>
      <c r="UMB80" s="573"/>
      <c r="UMC80" s="573"/>
      <c r="UMD80" s="573"/>
      <c r="UME80" s="573"/>
      <c r="UMF80" s="573"/>
      <c r="UMG80" s="573"/>
      <c r="UMH80" s="573"/>
      <c r="UMI80" s="573"/>
      <c r="UMJ80" s="573"/>
      <c r="UMK80" s="573"/>
      <c r="UML80" s="573"/>
      <c r="UMM80" s="573"/>
      <c r="UMN80" s="573"/>
      <c r="UMO80" s="573"/>
      <c r="UMP80" s="573"/>
      <c r="UMQ80" s="573"/>
      <c r="UMR80" s="573"/>
      <c r="UMS80" s="573"/>
      <c r="UMT80" s="573"/>
      <c r="UMU80" s="573"/>
      <c r="UMV80" s="573"/>
      <c r="UMW80" s="573"/>
      <c r="UMX80" s="573"/>
      <c r="UMY80" s="573"/>
      <c r="UMZ80" s="573"/>
      <c r="UNA80" s="573"/>
      <c r="UNB80" s="573"/>
      <c r="UNC80" s="573"/>
      <c r="UND80" s="573"/>
      <c r="UNE80" s="573"/>
      <c r="UNF80" s="573"/>
      <c r="UNG80" s="573"/>
      <c r="UNH80" s="573"/>
      <c r="UNI80" s="573"/>
      <c r="UNJ80" s="573"/>
      <c r="UNK80" s="573"/>
      <c r="UNL80" s="573"/>
      <c r="UNM80" s="573"/>
      <c r="UNN80" s="573"/>
      <c r="UNO80" s="573"/>
      <c r="UNP80" s="573"/>
      <c r="UNQ80" s="573"/>
      <c r="UNR80" s="573"/>
      <c r="UNS80" s="573"/>
      <c r="UNT80" s="573"/>
      <c r="UNU80" s="573"/>
      <c r="UNV80" s="573"/>
      <c r="UNW80" s="573"/>
      <c r="UNX80" s="573"/>
      <c r="UNY80" s="573"/>
      <c r="UNZ80" s="573"/>
      <c r="UOA80" s="573"/>
      <c r="UOB80" s="573"/>
      <c r="UOC80" s="573"/>
      <c r="UOD80" s="573"/>
      <c r="UOE80" s="573"/>
      <c r="UOF80" s="573"/>
      <c r="UOG80" s="573"/>
      <c r="UOH80" s="573"/>
      <c r="UOI80" s="573"/>
      <c r="UOJ80" s="573"/>
      <c r="UOK80" s="573"/>
      <c r="UOL80" s="573"/>
      <c r="UOM80" s="573"/>
      <c r="UON80" s="573"/>
      <c r="UOO80" s="573"/>
      <c r="UOP80" s="573"/>
      <c r="UOQ80" s="573"/>
      <c r="UOR80" s="573"/>
      <c r="UOS80" s="573"/>
      <c r="UOT80" s="573"/>
      <c r="UOU80" s="573"/>
      <c r="UOV80" s="573"/>
      <c r="UOW80" s="573"/>
      <c r="UOX80" s="573"/>
      <c r="UOY80" s="573"/>
      <c r="UOZ80" s="573"/>
      <c r="UPA80" s="573"/>
      <c r="UPB80" s="573"/>
      <c r="UPC80" s="573"/>
      <c r="UPD80" s="573"/>
      <c r="UPE80" s="573"/>
      <c r="UPF80" s="573"/>
      <c r="UPG80" s="573"/>
      <c r="UPH80" s="573"/>
      <c r="UPI80" s="573"/>
      <c r="UPJ80" s="573"/>
      <c r="UPK80" s="573"/>
      <c r="UPL80" s="573"/>
      <c r="UPM80" s="573"/>
      <c r="UPN80" s="573"/>
      <c r="UPO80" s="573"/>
      <c r="UPP80" s="573"/>
      <c r="UPQ80" s="573"/>
      <c r="UPR80" s="573"/>
      <c r="UPS80" s="573"/>
      <c r="UPT80" s="573"/>
      <c r="UPU80" s="573"/>
      <c r="UPV80" s="573"/>
      <c r="UPW80" s="573"/>
      <c r="UPX80" s="573"/>
      <c r="UPY80" s="573"/>
      <c r="UPZ80" s="573"/>
      <c r="UQA80" s="573"/>
      <c r="UQB80" s="573"/>
      <c r="UQC80" s="573"/>
      <c r="UQD80" s="573"/>
      <c r="UQE80" s="573"/>
      <c r="UQF80" s="573"/>
      <c r="UQG80" s="573"/>
      <c r="UQH80" s="573"/>
      <c r="UQI80" s="573"/>
      <c r="UQJ80" s="573"/>
      <c r="UQK80" s="573"/>
      <c r="UQL80" s="573"/>
      <c r="UQM80" s="573"/>
      <c r="UQN80" s="573"/>
      <c r="UQO80" s="573"/>
      <c r="UQP80" s="573"/>
      <c r="UQQ80" s="573"/>
      <c r="UQR80" s="573"/>
      <c r="UQS80" s="573"/>
      <c r="UQT80" s="573"/>
      <c r="UQU80" s="573"/>
      <c r="UQV80" s="573"/>
      <c r="UQW80" s="573"/>
      <c r="UQX80" s="573"/>
      <c r="UQY80" s="573"/>
      <c r="UQZ80" s="573"/>
      <c r="URA80" s="573"/>
      <c r="URB80" s="573"/>
      <c r="URC80" s="573"/>
      <c r="URD80" s="573"/>
      <c r="URE80" s="573"/>
      <c r="URF80" s="573"/>
      <c r="URG80" s="573"/>
      <c r="URH80" s="573"/>
      <c r="URI80" s="573"/>
      <c r="URJ80" s="573"/>
      <c r="URK80" s="573"/>
      <c r="URL80" s="573"/>
      <c r="URM80" s="573"/>
      <c r="URN80" s="573"/>
      <c r="URO80" s="573"/>
      <c r="URP80" s="573"/>
      <c r="URQ80" s="573"/>
      <c r="URR80" s="573"/>
      <c r="URS80" s="573"/>
      <c r="URT80" s="573"/>
      <c r="URU80" s="573"/>
      <c r="URV80" s="573"/>
      <c r="URW80" s="573"/>
      <c r="URX80" s="573"/>
      <c r="URY80" s="573"/>
      <c r="URZ80" s="573"/>
      <c r="USA80" s="573"/>
      <c r="USB80" s="573"/>
      <c r="USC80" s="573"/>
      <c r="USD80" s="573"/>
      <c r="USE80" s="573"/>
      <c r="USF80" s="573"/>
      <c r="USG80" s="573"/>
      <c r="USH80" s="573"/>
      <c r="USI80" s="573"/>
      <c r="USJ80" s="573"/>
      <c r="USK80" s="573"/>
      <c r="USL80" s="573"/>
      <c r="USM80" s="573"/>
      <c r="USN80" s="573"/>
      <c r="USO80" s="573"/>
      <c r="USP80" s="573"/>
      <c r="USQ80" s="573"/>
      <c r="USR80" s="573"/>
      <c r="USS80" s="573"/>
      <c r="UST80" s="573"/>
      <c r="USU80" s="573"/>
      <c r="USV80" s="573"/>
      <c r="USW80" s="573"/>
      <c r="USX80" s="573"/>
      <c r="USY80" s="573"/>
      <c r="USZ80" s="573"/>
      <c r="UTA80" s="573"/>
      <c r="UTB80" s="573"/>
      <c r="UTC80" s="573"/>
      <c r="UTD80" s="573"/>
      <c r="UTE80" s="573"/>
      <c r="UTF80" s="573"/>
      <c r="UTG80" s="573"/>
      <c r="UTH80" s="573"/>
      <c r="UTI80" s="573"/>
      <c r="UTJ80" s="573"/>
      <c r="UTK80" s="573"/>
      <c r="UTL80" s="573"/>
      <c r="UTM80" s="573"/>
      <c r="UTN80" s="573"/>
      <c r="UTO80" s="573"/>
      <c r="UTP80" s="573"/>
      <c r="UTQ80" s="573"/>
      <c r="UTR80" s="573"/>
      <c r="UTS80" s="573"/>
      <c r="UTT80" s="573"/>
      <c r="UTU80" s="573"/>
      <c r="UTV80" s="573"/>
      <c r="UTW80" s="573"/>
      <c r="UTX80" s="573"/>
      <c r="UTY80" s="573"/>
      <c r="UTZ80" s="573"/>
      <c r="UUA80" s="573"/>
      <c r="UUB80" s="573"/>
      <c r="UUC80" s="573"/>
      <c r="UUD80" s="573"/>
      <c r="UUE80" s="573"/>
      <c r="UUF80" s="573"/>
      <c r="UUG80" s="573"/>
      <c r="UUH80" s="573"/>
      <c r="UUI80" s="573"/>
      <c r="UUJ80" s="573"/>
      <c r="UUK80" s="573"/>
      <c r="UUL80" s="573"/>
      <c r="UUM80" s="573"/>
      <c r="UUN80" s="573"/>
      <c r="UUO80" s="573"/>
      <c r="UUP80" s="573"/>
      <c r="UUQ80" s="573"/>
      <c r="UUR80" s="573"/>
      <c r="UUS80" s="573"/>
      <c r="UUT80" s="573"/>
      <c r="UUU80" s="573"/>
      <c r="UUV80" s="573"/>
      <c r="UUW80" s="573"/>
      <c r="UUX80" s="573"/>
      <c r="UUY80" s="573"/>
      <c r="UUZ80" s="573"/>
      <c r="UVA80" s="573"/>
      <c r="UVB80" s="573"/>
      <c r="UVC80" s="573"/>
      <c r="UVD80" s="573"/>
      <c r="UVE80" s="573"/>
      <c r="UVF80" s="573"/>
      <c r="UVG80" s="573"/>
      <c r="UVH80" s="573"/>
      <c r="UVI80" s="573"/>
      <c r="UVJ80" s="573"/>
      <c r="UVK80" s="573"/>
      <c r="UVL80" s="573"/>
      <c r="UVM80" s="573"/>
      <c r="UVN80" s="573"/>
      <c r="UVO80" s="573"/>
      <c r="UVP80" s="573"/>
      <c r="UVQ80" s="573"/>
      <c r="UVR80" s="573"/>
      <c r="UVS80" s="573"/>
      <c r="UVT80" s="573"/>
      <c r="UVU80" s="573"/>
      <c r="UVV80" s="573"/>
      <c r="UVW80" s="573"/>
      <c r="UVX80" s="573"/>
      <c r="UVY80" s="573"/>
      <c r="UVZ80" s="573"/>
      <c r="UWA80" s="573"/>
      <c r="UWB80" s="573"/>
      <c r="UWC80" s="573"/>
      <c r="UWD80" s="573"/>
      <c r="UWE80" s="573"/>
      <c r="UWF80" s="573"/>
      <c r="UWG80" s="573"/>
      <c r="UWH80" s="573"/>
      <c r="UWI80" s="573"/>
      <c r="UWJ80" s="573"/>
      <c r="UWK80" s="573"/>
      <c r="UWL80" s="573"/>
      <c r="UWM80" s="573"/>
      <c r="UWN80" s="573"/>
      <c r="UWO80" s="573"/>
      <c r="UWP80" s="573"/>
      <c r="UWQ80" s="573"/>
      <c r="UWR80" s="573"/>
      <c r="UWS80" s="573"/>
      <c r="UWT80" s="573"/>
      <c r="UWU80" s="573"/>
      <c r="UWV80" s="573"/>
      <c r="UWW80" s="573"/>
      <c r="UWX80" s="573"/>
      <c r="UWY80" s="573"/>
      <c r="UWZ80" s="573"/>
      <c r="UXA80" s="573"/>
      <c r="UXB80" s="573"/>
      <c r="UXC80" s="573"/>
      <c r="UXD80" s="573"/>
      <c r="UXE80" s="573"/>
      <c r="UXF80" s="573"/>
      <c r="UXG80" s="573"/>
      <c r="UXH80" s="573"/>
      <c r="UXI80" s="573"/>
      <c r="UXJ80" s="573"/>
      <c r="UXK80" s="573"/>
      <c r="UXL80" s="573"/>
      <c r="UXM80" s="573"/>
      <c r="UXN80" s="573"/>
      <c r="UXO80" s="573"/>
      <c r="UXP80" s="573"/>
      <c r="UXQ80" s="573"/>
      <c r="UXR80" s="573"/>
      <c r="UXS80" s="573"/>
      <c r="UXT80" s="573"/>
      <c r="UXU80" s="573"/>
      <c r="UXV80" s="573"/>
      <c r="UXW80" s="573"/>
      <c r="UXX80" s="573"/>
      <c r="UXY80" s="573"/>
      <c r="UXZ80" s="573"/>
      <c r="UYA80" s="573"/>
      <c r="UYB80" s="573"/>
      <c r="UYC80" s="573"/>
      <c r="UYD80" s="573"/>
      <c r="UYE80" s="573"/>
      <c r="UYF80" s="573"/>
      <c r="UYG80" s="573"/>
      <c r="UYH80" s="573"/>
      <c r="UYI80" s="573"/>
      <c r="UYJ80" s="573"/>
      <c r="UYK80" s="573"/>
      <c r="UYL80" s="573"/>
      <c r="UYM80" s="573"/>
      <c r="UYN80" s="573"/>
      <c r="UYO80" s="573"/>
      <c r="UYP80" s="573"/>
      <c r="UYQ80" s="573"/>
      <c r="UYR80" s="573"/>
      <c r="UYS80" s="573"/>
      <c r="UYT80" s="573"/>
      <c r="UYU80" s="573"/>
      <c r="UYV80" s="573"/>
      <c r="UYW80" s="573"/>
      <c r="UYX80" s="573"/>
      <c r="UYY80" s="573"/>
      <c r="UYZ80" s="573"/>
      <c r="UZA80" s="573"/>
      <c r="UZB80" s="573"/>
      <c r="UZC80" s="573"/>
      <c r="UZD80" s="573"/>
      <c r="UZE80" s="573"/>
      <c r="UZF80" s="573"/>
      <c r="UZG80" s="573"/>
      <c r="UZH80" s="573"/>
      <c r="UZI80" s="573"/>
      <c r="UZJ80" s="573"/>
      <c r="UZK80" s="573"/>
      <c r="UZL80" s="573"/>
      <c r="UZM80" s="573"/>
      <c r="UZN80" s="573"/>
      <c r="UZO80" s="573"/>
      <c r="UZP80" s="573"/>
      <c r="UZQ80" s="573"/>
      <c r="UZR80" s="573"/>
      <c r="UZS80" s="573"/>
      <c r="UZT80" s="573"/>
      <c r="UZU80" s="573"/>
      <c r="UZV80" s="573"/>
      <c r="UZW80" s="573"/>
      <c r="UZX80" s="573"/>
      <c r="UZY80" s="573"/>
      <c r="UZZ80" s="573"/>
      <c r="VAA80" s="573"/>
      <c r="VAB80" s="573"/>
      <c r="VAC80" s="573"/>
      <c r="VAD80" s="573"/>
      <c r="VAE80" s="573"/>
      <c r="VAF80" s="573"/>
      <c r="VAG80" s="573"/>
      <c r="VAH80" s="573"/>
      <c r="VAI80" s="573"/>
      <c r="VAJ80" s="573"/>
      <c r="VAK80" s="573"/>
      <c r="VAL80" s="573"/>
      <c r="VAM80" s="573"/>
      <c r="VAN80" s="573"/>
      <c r="VAO80" s="573"/>
      <c r="VAP80" s="573"/>
      <c r="VAQ80" s="573"/>
      <c r="VAR80" s="573"/>
      <c r="VAS80" s="573"/>
      <c r="VAT80" s="573"/>
      <c r="VAU80" s="573"/>
      <c r="VAV80" s="573"/>
      <c r="VAW80" s="573"/>
      <c r="VAX80" s="573"/>
      <c r="VAY80" s="573"/>
      <c r="VAZ80" s="573"/>
      <c r="VBA80" s="573"/>
      <c r="VBB80" s="573"/>
      <c r="VBC80" s="573"/>
      <c r="VBD80" s="573"/>
      <c r="VBE80" s="573"/>
      <c r="VBF80" s="573"/>
      <c r="VBG80" s="573"/>
      <c r="VBH80" s="573"/>
      <c r="VBI80" s="573"/>
      <c r="VBJ80" s="573"/>
      <c r="VBK80" s="573"/>
      <c r="VBL80" s="573"/>
      <c r="VBM80" s="573"/>
      <c r="VBN80" s="573"/>
      <c r="VBO80" s="573"/>
      <c r="VBP80" s="573"/>
      <c r="VBQ80" s="573"/>
      <c r="VBR80" s="573"/>
      <c r="VBS80" s="573"/>
      <c r="VBT80" s="573"/>
      <c r="VBU80" s="573"/>
      <c r="VBV80" s="573"/>
      <c r="VBW80" s="573"/>
      <c r="VBX80" s="573"/>
      <c r="VBY80" s="573"/>
      <c r="VBZ80" s="573"/>
      <c r="VCA80" s="573"/>
      <c r="VCB80" s="573"/>
      <c r="VCC80" s="573"/>
      <c r="VCD80" s="573"/>
      <c r="VCE80" s="573"/>
      <c r="VCF80" s="573"/>
      <c r="VCG80" s="573"/>
      <c r="VCH80" s="573"/>
      <c r="VCI80" s="573"/>
      <c r="VCJ80" s="573"/>
      <c r="VCK80" s="573"/>
      <c r="VCL80" s="573"/>
      <c r="VCM80" s="573"/>
      <c r="VCN80" s="573"/>
      <c r="VCO80" s="573"/>
      <c r="VCP80" s="573"/>
      <c r="VCQ80" s="573"/>
      <c r="VCR80" s="573"/>
      <c r="VCS80" s="573"/>
      <c r="VCT80" s="573"/>
      <c r="VCU80" s="573"/>
      <c r="VCV80" s="573"/>
      <c r="VCW80" s="573"/>
      <c r="VCX80" s="573"/>
      <c r="VCY80" s="573"/>
      <c r="VCZ80" s="573"/>
      <c r="VDA80" s="573"/>
      <c r="VDB80" s="573"/>
      <c r="VDC80" s="573"/>
      <c r="VDD80" s="573"/>
      <c r="VDE80" s="573"/>
      <c r="VDF80" s="573"/>
      <c r="VDG80" s="573"/>
      <c r="VDH80" s="573"/>
      <c r="VDI80" s="573"/>
      <c r="VDJ80" s="573"/>
      <c r="VDK80" s="573"/>
      <c r="VDL80" s="573"/>
      <c r="VDM80" s="573"/>
      <c r="VDN80" s="573"/>
      <c r="VDO80" s="573"/>
      <c r="VDP80" s="573"/>
      <c r="VDQ80" s="573"/>
      <c r="VDR80" s="573"/>
      <c r="VDS80" s="573"/>
      <c r="VDT80" s="573"/>
      <c r="VDU80" s="573"/>
      <c r="VDV80" s="573"/>
      <c r="VDW80" s="573"/>
      <c r="VDX80" s="573"/>
      <c r="VDY80" s="573"/>
      <c r="VDZ80" s="573"/>
      <c r="VEA80" s="573"/>
      <c r="VEB80" s="573"/>
      <c r="VEC80" s="573"/>
      <c r="VED80" s="573"/>
      <c r="VEE80" s="573"/>
      <c r="VEF80" s="573"/>
      <c r="VEG80" s="573"/>
      <c r="VEH80" s="573"/>
      <c r="VEI80" s="573"/>
      <c r="VEJ80" s="573"/>
      <c r="VEK80" s="573"/>
      <c r="VEL80" s="573"/>
      <c r="VEM80" s="573"/>
      <c r="VEN80" s="573"/>
      <c r="VEO80" s="573"/>
      <c r="VEP80" s="573"/>
      <c r="VEQ80" s="573"/>
      <c r="VER80" s="573"/>
      <c r="VES80" s="573"/>
      <c r="VET80" s="573"/>
      <c r="VEU80" s="573"/>
      <c r="VEV80" s="573"/>
      <c r="VEW80" s="573"/>
      <c r="VEX80" s="573"/>
      <c r="VEY80" s="573"/>
      <c r="VEZ80" s="573"/>
      <c r="VFA80" s="573"/>
      <c r="VFB80" s="573"/>
      <c r="VFC80" s="573"/>
      <c r="VFD80" s="573"/>
      <c r="VFE80" s="573"/>
      <c r="VFF80" s="573"/>
      <c r="VFG80" s="573"/>
      <c r="VFH80" s="573"/>
      <c r="VFI80" s="573"/>
      <c r="VFJ80" s="573"/>
      <c r="VFK80" s="573"/>
      <c r="VFL80" s="573"/>
      <c r="VFM80" s="573"/>
      <c r="VFN80" s="573"/>
      <c r="VFO80" s="573"/>
      <c r="VFP80" s="573"/>
      <c r="VFQ80" s="573"/>
      <c r="VFR80" s="573"/>
      <c r="VFS80" s="573"/>
      <c r="VFT80" s="573"/>
      <c r="VFU80" s="573"/>
      <c r="VFV80" s="573"/>
      <c r="VFW80" s="573"/>
      <c r="VFX80" s="573"/>
      <c r="VFY80" s="573"/>
      <c r="VFZ80" s="573"/>
      <c r="VGA80" s="573"/>
      <c r="VGB80" s="573"/>
      <c r="VGC80" s="573"/>
      <c r="VGD80" s="573"/>
      <c r="VGE80" s="573"/>
      <c r="VGF80" s="573"/>
      <c r="VGG80" s="573"/>
      <c r="VGH80" s="573"/>
      <c r="VGI80" s="573"/>
      <c r="VGJ80" s="573"/>
      <c r="VGK80" s="573"/>
      <c r="VGL80" s="573"/>
      <c r="VGM80" s="573"/>
      <c r="VGN80" s="573"/>
      <c r="VGO80" s="573"/>
      <c r="VGP80" s="573"/>
      <c r="VGQ80" s="573"/>
      <c r="VGR80" s="573"/>
      <c r="VGS80" s="573"/>
      <c r="VGT80" s="573"/>
      <c r="VGU80" s="573"/>
      <c r="VGV80" s="573"/>
      <c r="VGW80" s="573"/>
      <c r="VGX80" s="573"/>
      <c r="VGY80" s="573"/>
      <c r="VGZ80" s="573"/>
      <c r="VHA80" s="573"/>
      <c r="VHB80" s="573"/>
      <c r="VHC80" s="573"/>
      <c r="VHD80" s="573"/>
      <c r="VHE80" s="573"/>
      <c r="VHF80" s="573"/>
      <c r="VHG80" s="573"/>
      <c r="VHH80" s="573"/>
      <c r="VHI80" s="573"/>
      <c r="VHJ80" s="573"/>
      <c r="VHK80" s="573"/>
      <c r="VHL80" s="573"/>
      <c r="VHM80" s="573"/>
      <c r="VHN80" s="573"/>
      <c r="VHO80" s="573"/>
      <c r="VHP80" s="573"/>
      <c r="VHQ80" s="573"/>
      <c r="VHR80" s="573"/>
      <c r="VHS80" s="573"/>
      <c r="VHT80" s="573"/>
      <c r="VHU80" s="573"/>
      <c r="VHV80" s="573"/>
      <c r="VHW80" s="573"/>
      <c r="VHX80" s="573"/>
      <c r="VHY80" s="573"/>
      <c r="VHZ80" s="573"/>
      <c r="VIA80" s="573"/>
      <c r="VIB80" s="573"/>
      <c r="VIC80" s="573"/>
      <c r="VID80" s="573"/>
      <c r="VIE80" s="573"/>
      <c r="VIF80" s="573"/>
      <c r="VIG80" s="573"/>
      <c r="VIH80" s="573"/>
      <c r="VII80" s="573"/>
      <c r="VIJ80" s="573"/>
      <c r="VIK80" s="573"/>
      <c r="VIL80" s="573"/>
      <c r="VIM80" s="573"/>
      <c r="VIN80" s="573"/>
      <c r="VIO80" s="573"/>
      <c r="VIP80" s="573"/>
      <c r="VIQ80" s="573"/>
      <c r="VIR80" s="573"/>
      <c r="VIS80" s="573"/>
      <c r="VIT80" s="573"/>
      <c r="VIU80" s="573"/>
      <c r="VIV80" s="573"/>
      <c r="VIW80" s="573"/>
      <c r="VIX80" s="573"/>
      <c r="VIY80" s="573"/>
      <c r="VIZ80" s="573"/>
      <c r="VJA80" s="573"/>
      <c r="VJB80" s="573"/>
      <c r="VJC80" s="573"/>
      <c r="VJD80" s="573"/>
      <c r="VJE80" s="573"/>
      <c r="VJF80" s="573"/>
      <c r="VJG80" s="573"/>
      <c r="VJH80" s="573"/>
      <c r="VJI80" s="573"/>
      <c r="VJJ80" s="573"/>
      <c r="VJK80" s="573"/>
      <c r="VJL80" s="573"/>
      <c r="VJM80" s="573"/>
      <c r="VJN80" s="573"/>
      <c r="VJO80" s="573"/>
      <c r="VJP80" s="573"/>
      <c r="VJQ80" s="573"/>
      <c r="VJR80" s="573"/>
      <c r="VJS80" s="573"/>
      <c r="VJT80" s="573"/>
      <c r="VJU80" s="573"/>
      <c r="VJV80" s="573"/>
      <c r="VJW80" s="573"/>
      <c r="VJX80" s="573"/>
      <c r="VJY80" s="573"/>
      <c r="VJZ80" s="573"/>
      <c r="VKA80" s="573"/>
      <c r="VKB80" s="573"/>
      <c r="VKC80" s="573"/>
      <c r="VKD80" s="573"/>
      <c r="VKE80" s="573"/>
      <c r="VKF80" s="573"/>
      <c r="VKG80" s="573"/>
      <c r="VKH80" s="573"/>
      <c r="VKI80" s="573"/>
      <c r="VKJ80" s="573"/>
      <c r="VKK80" s="573"/>
      <c r="VKL80" s="573"/>
      <c r="VKM80" s="573"/>
      <c r="VKN80" s="573"/>
      <c r="VKO80" s="573"/>
      <c r="VKP80" s="573"/>
      <c r="VKQ80" s="573"/>
      <c r="VKR80" s="573"/>
      <c r="VKS80" s="573"/>
      <c r="VKT80" s="573"/>
      <c r="VKU80" s="573"/>
      <c r="VKV80" s="573"/>
      <c r="VKW80" s="573"/>
      <c r="VKX80" s="573"/>
      <c r="VKY80" s="573"/>
      <c r="VKZ80" s="573"/>
      <c r="VLA80" s="573"/>
      <c r="VLB80" s="573"/>
      <c r="VLC80" s="573"/>
      <c r="VLD80" s="573"/>
      <c r="VLE80" s="573"/>
      <c r="VLF80" s="573"/>
      <c r="VLG80" s="573"/>
      <c r="VLH80" s="573"/>
      <c r="VLI80" s="573"/>
      <c r="VLJ80" s="573"/>
      <c r="VLK80" s="573"/>
      <c r="VLL80" s="573"/>
      <c r="VLM80" s="573"/>
      <c r="VLN80" s="573"/>
      <c r="VLO80" s="573"/>
      <c r="VLP80" s="573"/>
      <c r="VLQ80" s="573"/>
      <c r="VLR80" s="573"/>
      <c r="VLS80" s="573"/>
      <c r="VLT80" s="573"/>
      <c r="VLU80" s="573"/>
      <c r="VLV80" s="573"/>
      <c r="VLW80" s="573"/>
      <c r="VLX80" s="573"/>
      <c r="VLY80" s="573"/>
      <c r="VLZ80" s="573"/>
      <c r="VMA80" s="573"/>
      <c r="VMB80" s="573"/>
      <c r="VMC80" s="573"/>
      <c r="VMD80" s="573"/>
      <c r="VME80" s="573"/>
      <c r="VMF80" s="573"/>
      <c r="VMG80" s="573"/>
      <c r="VMH80" s="573"/>
      <c r="VMI80" s="573"/>
      <c r="VMJ80" s="573"/>
      <c r="VMK80" s="573"/>
      <c r="VML80" s="573"/>
      <c r="VMM80" s="573"/>
      <c r="VMN80" s="573"/>
      <c r="VMO80" s="573"/>
      <c r="VMP80" s="573"/>
      <c r="VMQ80" s="573"/>
      <c r="VMR80" s="573"/>
      <c r="VMS80" s="573"/>
      <c r="VMT80" s="573"/>
      <c r="VMU80" s="573"/>
      <c r="VMV80" s="573"/>
      <c r="VMW80" s="573"/>
      <c r="VMX80" s="573"/>
      <c r="VMY80" s="573"/>
      <c r="VMZ80" s="573"/>
      <c r="VNA80" s="573"/>
      <c r="VNB80" s="573"/>
      <c r="VNC80" s="573"/>
      <c r="VND80" s="573"/>
      <c r="VNE80" s="573"/>
      <c r="VNF80" s="573"/>
      <c r="VNG80" s="573"/>
      <c r="VNH80" s="573"/>
      <c r="VNI80" s="573"/>
      <c r="VNJ80" s="573"/>
      <c r="VNK80" s="573"/>
      <c r="VNL80" s="573"/>
      <c r="VNM80" s="573"/>
      <c r="VNN80" s="573"/>
      <c r="VNO80" s="573"/>
      <c r="VNP80" s="573"/>
      <c r="VNQ80" s="573"/>
      <c r="VNR80" s="573"/>
      <c r="VNS80" s="573"/>
      <c r="VNT80" s="573"/>
      <c r="VNU80" s="573"/>
      <c r="VNV80" s="573"/>
      <c r="VNW80" s="573"/>
      <c r="VNX80" s="573"/>
      <c r="VNY80" s="573"/>
      <c r="VNZ80" s="573"/>
      <c r="VOA80" s="573"/>
      <c r="VOB80" s="573"/>
      <c r="VOC80" s="573"/>
      <c r="VOD80" s="573"/>
      <c r="VOE80" s="573"/>
      <c r="VOF80" s="573"/>
      <c r="VOG80" s="573"/>
      <c r="VOH80" s="573"/>
      <c r="VOI80" s="573"/>
      <c r="VOJ80" s="573"/>
      <c r="VOK80" s="573"/>
      <c r="VOL80" s="573"/>
      <c r="VOM80" s="573"/>
      <c r="VON80" s="573"/>
      <c r="VOO80" s="573"/>
      <c r="VOP80" s="573"/>
      <c r="VOQ80" s="573"/>
      <c r="VOR80" s="573"/>
      <c r="VOS80" s="573"/>
      <c r="VOT80" s="573"/>
      <c r="VOU80" s="573"/>
      <c r="VOV80" s="573"/>
      <c r="VOW80" s="573"/>
      <c r="VOX80" s="573"/>
      <c r="VOY80" s="573"/>
      <c r="VOZ80" s="573"/>
      <c r="VPA80" s="573"/>
      <c r="VPB80" s="573"/>
      <c r="VPC80" s="573"/>
      <c r="VPD80" s="573"/>
      <c r="VPE80" s="573"/>
      <c r="VPF80" s="573"/>
      <c r="VPG80" s="573"/>
      <c r="VPH80" s="573"/>
      <c r="VPI80" s="573"/>
      <c r="VPJ80" s="573"/>
      <c r="VPK80" s="573"/>
      <c r="VPL80" s="573"/>
      <c r="VPM80" s="573"/>
      <c r="VPN80" s="573"/>
      <c r="VPO80" s="573"/>
      <c r="VPP80" s="573"/>
      <c r="VPQ80" s="573"/>
      <c r="VPR80" s="573"/>
      <c r="VPS80" s="573"/>
      <c r="VPT80" s="573"/>
      <c r="VPU80" s="573"/>
      <c r="VPV80" s="573"/>
      <c r="VPW80" s="573"/>
      <c r="VPX80" s="573"/>
      <c r="VPY80" s="573"/>
      <c r="VPZ80" s="573"/>
      <c r="VQA80" s="573"/>
      <c r="VQB80" s="573"/>
      <c r="VQC80" s="573"/>
      <c r="VQD80" s="573"/>
      <c r="VQE80" s="573"/>
      <c r="VQF80" s="573"/>
      <c r="VQG80" s="573"/>
      <c r="VQH80" s="573"/>
      <c r="VQI80" s="573"/>
      <c r="VQJ80" s="573"/>
      <c r="VQK80" s="573"/>
      <c r="VQL80" s="573"/>
      <c r="VQM80" s="573"/>
      <c r="VQN80" s="573"/>
      <c r="VQO80" s="573"/>
      <c r="VQP80" s="573"/>
      <c r="VQQ80" s="573"/>
      <c r="VQR80" s="573"/>
      <c r="VQS80" s="573"/>
      <c r="VQT80" s="573"/>
      <c r="VQU80" s="573"/>
      <c r="VQV80" s="573"/>
      <c r="VQW80" s="573"/>
      <c r="VQX80" s="573"/>
      <c r="VQY80" s="573"/>
      <c r="VQZ80" s="573"/>
      <c r="VRA80" s="573"/>
      <c r="VRB80" s="573"/>
      <c r="VRC80" s="573"/>
      <c r="VRD80" s="573"/>
      <c r="VRE80" s="573"/>
      <c r="VRF80" s="573"/>
      <c r="VRG80" s="573"/>
      <c r="VRH80" s="573"/>
      <c r="VRI80" s="573"/>
      <c r="VRJ80" s="573"/>
      <c r="VRK80" s="573"/>
      <c r="VRL80" s="573"/>
      <c r="VRM80" s="573"/>
      <c r="VRN80" s="573"/>
      <c r="VRO80" s="573"/>
      <c r="VRP80" s="573"/>
      <c r="VRQ80" s="573"/>
      <c r="VRR80" s="573"/>
      <c r="VRS80" s="573"/>
      <c r="VRT80" s="573"/>
      <c r="VRU80" s="573"/>
      <c r="VRV80" s="573"/>
      <c r="VRW80" s="573"/>
      <c r="VRX80" s="573"/>
      <c r="VRY80" s="573"/>
      <c r="VRZ80" s="573"/>
      <c r="VSA80" s="573"/>
      <c r="VSB80" s="573"/>
      <c r="VSC80" s="573"/>
      <c r="VSD80" s="573"/>
      <c r="VSE80" s="573"/>
      <c r="VSF80" s="573"/>
      <c r="VSG80" s="573"/>
      <c r="VSH80" s="573"/>
      <c r="VSI80" s="573"/>
      <c r="VSJ80" s="573"/>
      <c r="VSK80" s="573"/>
      <c r="VSL80" s="573"/>
      <c r="VSM80" s="573"/>
      <c r="VSN80" s="573"/>
      <c r="VSO80" s="573"/>
      <c r="VSP80" s="573"/>
      <c r="VSQ80" s="573"/>
      <c r="VSR80" s="573"/>
      <c r="VSS80" s="573"/>
      <c r="VST80" s="573"/>
      <c r="VSU80" s="573"/>
      <c r="VSV80" s="573"/>
      <c r="VSW80" s="573"/>
      <c r="VSX80" s="573"/>
      <c r="VSY80" s="573"/>
      <c r="VSZ80" s="573"/>
      <c r="VTA80" s="573"/>
      <c r="VTB80" s="573"/>
      <c r="VTC80" s="573"/>
      <c r="VTD80" s="573"/>
      <c r="VTE80" s="573"/>
      <c r="VTF80" s="573"/>
      <c r="VTG80" s="573"/>
      <c r="VTH80" s="573"/>
      <c r="VTI80" s="573"/>
      <c r="VTJ80" s="573"/>
      <c r="VTK80" s="573"/>
      <c r="VTL80" s="573"/>
      <c r="VTM80" s="573"/>
      <c r="VTN80" s="573"/>
      <c r="VTO80" s="573"/>
      <c r="VTP80" s="573"/>
      <c r="VTQ80" s="573"/>
      <c r="VTR80" s="573"/>
      <c r="VTS80" s="573"/>
      <c r="VTT80" s="573"/>
      <c r="VTU80" s="573"/>
      <c r="VTV80" s="573"/>
      <c r="VTW80" s="573"/>
      <c r="VTX80" s="573"/>
      <c r="VTY80" s="573"/>
      <c r="VTZ80" s="573"/>
      <c r="VUA80" s="573"/>
      <c r="VUB80" s="573"/>
      <c r="VUC80" s="573"/>
      <c r="VUD80" s="573"/>
      <c r="VUE80" s="573"/>
      <c r="VUF80" s="573"/>
      <c r="VUG80" s="573"/>
      <c r="VUH80" s="573"/>
      <c r="VUI80" s="573"/>
      <c r="VUJ80" s="573"/>
      <c r="VUK80" s="573"/>
      <c r="VUL80" s="573"/>
      <c r="VUM80" s="573"/>
      <c r="VUN80" s="573"/>
      <c r="VUO80" s="573"/>
      <c r="VUP80" s="573"/>
      <c r="VUQ80" s="573"/>
      <c r="VUR80" s="573"/>
      <c r="VUS80" s="573"/>
      <c r="VUT80" s="573"/>
      <c r="VUU80" s="573"/>
      <c r="VUV80" s="573"/>
      <c r="VUW80" s="573"/>
      <c r="VUX80" s="573"/>
      <c r="VUY80" s="573"/>
      <c r="VUZ80" s="573"/>
      <c r="VVA80" s="573"/>
      <c r="VVB80" s="573"/>
      <c r="VVC80" s="573"/>
      <c r="VVD80" s="573"/>
      <c r="VVE80" s="573"/>
      <c r="VVF80" s="573"/>
      <c r="VVG80" s="573"/>
      <c r="VVH80" s="573"/>
      <c r="VVI80" s="573"/>
      <c r="VVJ80" s="573"/>
      <c r="VVK80" s="573"/>
      <c r="VVL80" s="573"/>
      <c r="VVM80" s="573"/>
      <c r="VVN80" s="573"/>
      <c r="VVO80" s="573"/>
      <c r="VVP80" s="573"/>
      <c r="VVQ80" s="573"/>
      <c r="VVR80" s="573"/>
      <c r="VVS80" s="573"/>
      <c r="VVT80" s="573"/>
      <c r="VVU80" s="573"/>
      <c r="VVV80" s="573"/>
      <c r="VVW80" s="573"/>
      <c r="VVX80" s="573"/>
      <c r="VVY80" s="573"/>
      <c r="VVZ80" s="573"/>
      <c r="VWA80" s="573"/>
      <c r="VWB80" s="573"/>
      <c r="VWC80" s="573"/>
      <c r="VWD80" s="573"/>
      <c r="VWE80" s="573"/>
      <c r="VWF80" s="573"/>
      <c r="VWG80" s="573"/>
      <c r="VWH80" s="573"/>
      <c r="VWI80" s="573"/>
      <c r="VWJ80" s="573"/>
      <c r="VWK80" s="573"/>
      <c r="VWL80" s="573"/>
      <c r="VWM80" s="573"/>
      <c r="VWN80" s="573"/>
      <c r="VWO80" s="573"/>
      <c r="VWP80" s="573"/>
      <c r="VWQ80" s="573"/>
      <c r="VWR80" s="573"/>
      <c r="VWS80" s="573"/>
      <c r="VWT80" s="573"/>
      <c r="VWU80" s="573"/>
      <c r="VWV80" s="573"/>
      <c r="VWW80" s="573"/>
      <c r="VWX80" s="573"/>
      <c r="VWY80" s="573"/>
      <c r="VWZ80" s="573"/>
      <c r="VXA80" s="573"/>
      <c r="VXB80" s="573"/>
      <c r="VXC80" s="573"/>
      <c r="VXD80" s="573"/>
      <c r="VXE80" s="573"/>
      <c r="VXF80" s="573"/>
      <c r="VXG80" s="573"/>
      <c r="VXH80" s="573"/>
      <c r="VXI80" s="573"/>
      <c r="VXJ80" s="573"/>
      <c r="VXK80" s="573"/>
      <c r="VXL80" s="573"/>
      <c r="VXM80" s="573"/>
      <c r="VXN80" s="573"/>
      <c r="VXO80" s="573"/>
      <c r="VXP80" s="573"/>
      <c r="VXQ80" s="573"/>
      <c r="VXR80" s="573"/>
      <c r="VXS80" s="573"/>
      <c r="VXT80" s="573"/>
      <c r="VXU80" s="573"/>
      <c r="VXV80" s="573"/>
      <c r="VXW80" s="573"/>
      <c r="VXX80" s="573"/>
      <c r="VXY80" s="573"/>
      <c r="VXZ80" s="573"/>
      <c r="VYA80" s="573"/>
      <c r="VYB80" s="573"/>
      <c r="VYC80" s="573"/>
      <c r="VYD80" s="573"/>
      <c r="VYE80" s="573"/>
      <c r="VYF80" s="573"/>
      <c r="VYG80" s="573"/>
      <c r="VYH80" s="573"/>
      <c r="VYI80" s="573"/>
      <c r="VYJ80" s="573"/>
      <c r="VYK80" s="573"/>
      <c r="VYL80" s="573"/>
      <c r="VYM80" s="573"/>
      <c r="VYN80" s="573"/>
      <c r="VYO80" s="573"/>
      <c r="VYP80" s="573"/>
      <c r="VYQ80" s="573"/>
      <c r="VYR80" s="573"/>
      <c r="VYS80" s="573"/>
      <c r="VYT80" s="573"/>
      <c r="VYU80" s="573"/>
      <c r="VYV80" s="573"/>
      <c r="VYW80" s="573"/>
      <c r="VYX80" s="573"/>
      <c r="VYY80" s="573"/>
      <c r="VYZ80" s="573"/>
      <c r="VZA80" s="573"/>
      <c r="VZB80" s="573"/>
      <c r="VZC80" s="573"/>
      <c r="VZD80" s="573"/>
      <c r="VZE80" s="573"/>
      <c r="VZF80" s="573"/>
      <c r="VZG80" s="573"/>
      <c r="VZH80" s="573"/>
      <c r="VZI80" s="573"/>
      <c r="VZJ80" s="573"/>
      <c r="VZK80" s="573"/>
      <c r="VZL80" s="573"/>
      <c r="VZM80" s="573"/>
      <c r="VZN80" s="573"/>
      <c r="VZO80" s="573"/>
      <c r="VZP80" s="573"/>
      <c r="VZQ80" s="573"/>
      <c r="VZR80" s="573"/>
      <c r="VZS80" s="573"/>
      <c r="VZT80" s="573"/>
      <c r="VZU80" s="573"/>
      <c r="VZV80" s="573"/>
      <c r="VZW80" s="573"/>
      <c r="VZX80" s="573"/>
      <c r="VZY80" s="573"/>
      <c r="VZZ80" s="573"/>
      <c r="WAA80" s="573"/>
      <c r="WAB80" s="573"/>
      <c r="WAC80" s="573"/>
      <c r="WAD80" s="573"/>
      <c r="WAE80" s="573"/>
      <c r="WAF80" s="573"/>
      <c r="WAG80" s="573"/>
      <c r="WAH80" s="573"/>
      <c r="WAI80" s="573"/>
      <c r="WAJ80" s="573"/>
      <c r="WAK80" s="573"/>
      <c r="WAL80" s="573"/>
      <c r="WAM80" s="573"/>
      <c r="WAN80" s="573"/>
      <c r="WAO80" s="573"/>
      <c r="WAP80" s="573"/>
      <c r="WAQ80" s="573"/>
      <c r="WAR80" s="573"/>
      <c r="WAS80" s="573"/>
      <c r="WAT80" s="573"/>
      <c r="WAU80" s="573"/>
      <c r="WAV80" s="573"/>
      <c r="WAW80" s="573"/>
      <c r="WAX80" s="573"/>
      <c r="WAY80" s="573"/>
      <c r="WAZ80" s="573"/>
      <c r="WBA80" s="573"/>
      <c r="WBB80" s="573"/>
      <c r="WBC80" s="573"/>
      <c r="WBD80" s="573"/>
      <c r="WBE80" s="573"/>
      <c r="WBF80" s="573"/>
      <c r="WBG80" s="573"/>
      <c r="WBH80" s="573"/>
      <c r="WBI80" s="573"/>
      <c r="WBJ80" s="573"/>
      <c r="WBK80" s="573"/>
      <c r="WBL80" s="573"/>
      <c r="WBM80" s="573"/>
      <c r="WBN80" s="573"/>
      <c r="WBO80" s="573"/>
      <c r="WBP80" s="573"/>
      <c r="WBQ80" s="573"/>
      <c r="WBR80" s="573"/>
      <c r="WBS80" s="573"/>
      <c r="WBT80" s="573"/>
      <c r="WBU80" s="573"/>
      <c r="WBV80" s="573"/>
      <c r="WBW80" s="573"/>
      <c r="WBX80" s="573"/>
      <c r="WBY80" s="573"/>
      <c r="WBZ80" s="573"/>
      <c r="WCA80" s="573"/>
      <c r="WCB80" s="573"/>
      <c r="WCC80" s="573"/>
      <c r="WCD80" s="573"/>
      <c r="WCE80" s="573"/>
      <c r="WCF80" s="573"/>
      <c r="WCG80" s="573"/>
      <c r="WCH80" s="573"/>
      <c r="WCI80" s="573"/>
      <c r="WCJ80" s="573"/>
      <c r="WCK80" s="573"/>
      <c r="WCL80" s="573"/>
      <c r="WCM80" s="573"/>
      <c r="WCN80" s="573"/>
      <c r="WCO80" s="573"/>
      <c r="WCP80" s="573"/>
      <c r="WCQ80" s="573"/>
      <c r="WCR80" s="573"/>
      <c r="WCS80" s="573"/>
      <c r="WCT80" s="573"/>
      <c r="WCU80" s="573"/>
      <c r="WCV80" s="573"/>
      <c r="WCW80" s="573"/>
      <c r="WCX80" s="573"/>
      <c r="WCY80" s="573"/>
      <c r="WCZ80" s="573"/>
      <c r="WDA80" s="573"/>
      <c r="WDB80" s="573"/>
      <c r="WDC80" s="573"/>
      <c r="WDD80" s="573"/>
      <c r="WDE80" s="573"/>
      <c r="WDF80" s="573"/>
      <c r="WDG80" s="573"/>
      <c r="WDH80" s="573"/>
      <c r="WDI80" s="573"/>
      <c r="WDJ80" s="573"/>
      <c r="WDK80" s="573"/>
      <c r="WDL80" s="573"/>
      <c r="WDM80" s="573"/>
      <c r="WDN80" s="573"/>
      <c r="WDO80" s="573"/>
      <c r="WDP80" s="573"/>
      <c r="WDQ80" s="573"/>
      <c r="WDR80" s="573"/>
      <c r="WDS80" s="573"/>
      <c r="WDT80" s="573"/>
      <c r="WDU80" s="573"/>
      <c r="WDV80" s="573"/>
      <c r="WDW80" s="573"/>
      <c r="WDX80" s="573"/>
      <c r="WDY80" s="573"/>
      <c r="WDZ80" s="573"/>
      <c r="WEA80" s="573"/>
      <c r="WEB80" s="573"/>
      <c r="WEC80" s="573"/>
      <c r="WED80" s="573"/>
      <c r="WEE80" s="573"/>
      <c r="WEF80" s="573"/>
      <c r="WEG80" s="573"/>
      <c r="WEH80" s="573"/>
      <c r="WEI80" s="573"/>
      <c r="WEJ80" s="573"/>
      <c r="WEK80" s="573"/>
      <c r="WEL80" s="573"/>
      <c r="WEM80" s="573"/>
      <c r="WEN80" s="573"/>
      <c r="WEO80" s="573"/>
      <c r="WEP80" s="573"/>
      <c r="WEQ80" s="573"/>
      <c r="WER80" s="573"/>
      <c r="WES80" s="573"/>
      <c r="WET80" s="573"/>
      <c r="WEU80" s="573"/>
      <c r="WEV80" s="573"/>
      <c r="WEW80" s="573"/>
      <c r="WEX80" s="573"/>
      <c r="WEY80" s="573"/>
      <c r="WEZ80" s="573"/>
      <c r="WFA80" s="573"/>
      <c r="WFB80" s="573"/>
      <c r="WFC80" s="573"/>
      <c r="WFD80" s="573"/>
      <c r="WFE80" s="573"/>
      <c r="WFF80" s="573"/>
      <c r="WFG80" s="573"/>
      <c r="WFH80" s="573"/>
      <c r="WFI80" s="573"/>
      <c r="WFJ80" s="573"/>
      <c r="WFK80" s="573"/>
      <c r="WFL80" s="573"/>
      <c r="WFM80" s="573"/>
      <c r="WFN80" s="573"/>
      <c r="WFO80" s="573"/>
      <c r="WFP80" s="573"/>
      <c r="WFQ80" s="573"/>
      <c r="WFR80" s="573"/>
      <c r="WFS80" s="573"/>
      <c r="WFT80" s="573"/>
      <c r="WFU80" s="573"/>
      <c r="WFV80" s="573"/>
      <c r="WFW80" s="573"/>
      <c r="WFX80" s="573"/>
      <c r="WFY80" s="573"/>
      <c r="WFZ80" s="573"/>
      <c r="WGA80" s="573"/>
      <c r="WGB80" s="573"/>
      <c r="WGC80" s="573"/>
      <c r="WGD80" s="573"/>
      <c r="WGE80" s="573"/>
      <c r="WGF80" s="573"/>
      <c r="WGG80" s="573"/>
      <c r="WGH80" s="573"/>
      <c r="WGI80" s="573"/>
      <c r="WGJ80" s="573"/>
      <c r="WGK80" s="573"/>
      <c r="WGL80" s="573"/>
      <c r="WGM80" s="573"/>
      <c r="WGN80" s="573"/>
      <c r="WGO80" s="573"/>
      <c r="WGP80" s="573"/>
      <c r="WGQ80" s="573"/>
      <c r="WGR80" s="573"/>
      <c r="WGS80" s="573"/>
      <c r="WGT80" s="573"/>
      <c r="WGU80" s="573"/>
      <c r="WGV80" s="573"/>
      <c r="WGW80" s="573"/>
      <c r="WGX80" s="573"/>
      <c r="WGY80" s="573"/>
      <c r="WGZ80" s="573"/>
      <c r="WHA80" s="573"/>
      <c r="WHB80" s="573"/>
      <c r="WHC80" s="573"/>
      <c r="WHD80" s="573"/>
      <c r="WHE80" s="573"/>
      <c r="WHF80" s="573"/>
      <c r="WHG80" s="573"/>
      <c r="WHH80" s="573"/>
      <c r="WHI80" s="573"/>
      <c r="WHJ80" s="573"/>
      <c r="WHK80" s="573"/>
      <c r="WHL80" s="573"/>
      <c r="WHM80" s="573"/>
      <c r="WHN80" s="573"/>
      <c r="WHO80" s="573"/>
      <c r="WHP80" s="573"/>
      <c r="WHQ80" s="573"/>
      <c r="WHR80" s="573"/>
      <c r="WHS80" s="573"/>
      <c r="WHT80" s="573"/>
      <c r="WHU80" s="573"/>
      <c r="WHV80" s="573"/>
      <c r="WHW80" s="573"/>
      <c r="WHX80" s="573"/>
      <c r="WHY80" s="573"/>
      <c r="WHZ80" s="573"/>
      <c r="WIA80" s="573"/>
      <c r="WIB80" s="573"/>
      <c r="WIC80" s="573"/>
      <c r="WID80" s="573"/>
      <c r="WIE80" s="573"/>
      <c r="WIF80" s="573"/>
      <c r="WIG80" s="573"/>
      <c r="WIH80" s="573"/>
      <c r="WII80" s="573"/>
      <c r="WIJ80" s="573"/>
      <c r="WIK80" s="573"/>
      <c r="WIL80" s="573"/>
      <c r="WIM80" s="573"/>
      <c r="WIN80" s="573"/>
      <c r="WIO80" s="573"/>
      <c r="WIP80" s="573"/>
      <c r="WIQ80" s="573"/>
      <c r="WIR80" s="573"/>
      <c r="WIS80" s="573"/>
      <c r="WIT80" s="573"/>
      <c r="WIU80" s="573"/>
      <c r="WIV80" s="573"/>
      <c r="WIW80" s="573"/>
      <c r="WIX80" s="573"/>
      <c r="WIY80" s="573"/>
      <c r="WIZ80" s="573"/>
      <c r="WJA80" s="573"/>
      <c r="WJB80" s="573"/>
      <c r="WJC80" s="573"/>
      <c r="WJD80" s="573"/>
      <c r="WJE80" s="573"/>
      <c r="WJF80" s="573"/>
      <c r="WJG80" s="573"/>
      <c r="WJH80" s="573"/>
      <c r="WJI80" s="573"/>
      <c r="WJJ80" s="573"/>
      <c r="WJK80" s="573"/>
      <c r="WJL80" s="573"/>
      <c r="WJM80" s="573"/>
      <c r="WJN80" s="573"/>
      <c r="WJO80" s="573"/>
      <c r="WJP80" s="573"/>
      <c r="WJQ80" s="573"/>
      <c r="WJR80" s="573"/>
      <c r="WJS80" s="573"/>
      <c r="WJT80" s="573"/>
      <c r="WJU80" s="573"/>
      <c r="WJV80" s="573"/>
      <c r="WJW80" s="573"/>
      <c r="WJX80" s="573"/>
      <c r="WJY80" s="573"/>
      <c r="WJZ80" s="573"/>
      <c r="WKA80" s="573"/>
      <c r="WKB80" s="573"/>
      <c r="WKC80" s="573"/>
      <c r="WKD80" s="573"/>
      <c r="WKE80" s="573"/>
      <c r="WKF80" s="573"/>
      <c r="WKG80" s="573"/>
      <c r="WKH80" s="573"/>
      <c r="WKI80" s="573"/>
      <c r="WKJ80" s="573"/>
      <c r="WKK80" s="573"/>
      <c r="WKL80" s="573"/>
      <c r="WKM80" s="573"/>
      <c r="WKN80" s="573"/>
      <c r="WKO80" s="573"/>
      <c r="WKP80" s="573"/>
      <c r="WKQ80" s="573"/>
      <c r="WKR80" s="573"/>
      <c r="WKS80" s="573"/>
      <c r="WKT80" s="573"/>
      <c r="WKU80" s="573"/>
      <c r="WKV80" s="573"/>
      <c r="WKW80" s="573"/>
      <c r="WKX80" s="573"/>
      <c r="WKY80" s="573"/>
      <c r="WKZ80" s="573"/>
      <c r="WLA80" s="573"/>
      <c r="WLB80" s="573"/>
      <c r="WLC80" s="573"/>
      <c r="WLD80" s="573"/>
      <c r="WLE80" s="573"/>
      <c r="WLF80" s="573"/>
      <c r="WLG80" s="573"/>
      <c r="WLH80" s="573"/>
      <c r="WLI80" s="573"/>
      <c r="WLJ80" s="573"/>
      <c r="WLK80" s="573"/>
      <c r="WLL80" s="573"/>
      <c r="WLM80" s="573"/>
      <c r="WLN80" s="573"/>
      <c r="WLO80" s="573"/>
      <c r="WLP80" s="573"/>
      <c r="WLQ80" s="573"/>
      <c r="WLR80" s="573"/>
      <c r="WLS80" s="573"/>
      <c r="WLT80" s="573"/>
      <c r="WLU80" s="573"/>
      <c r="WLV80" s="573"/>
      <c r="WLW80" s="573"/>
      <c r="WLX80" s="573"/>
      <c r="WLY80" s="573"/>
      <c r="WLZ80" s="573"/>
      <c r="WMA80" s="573"/>
      <c r="WMB80" s="573"/>
      <c r="WMC80" s="573"/>
      <c r="WMD80" s="573"/>
      <c r="WME80" s="573"/>
      <c r="WMF80" s="573"/>
      <c r="WMG80" s="573"/>
      <c r="WMH80" s="573"/>
      <c r="WMI80" s="573"/>
      <c r="WMJ80" s="573"/>
      <c r="WMK80" s="573"/>
      <c r="WML80" s="573"/>
      <c r="WMM80" s="573"/>
      <c r="WMN80" s="573"/>
      <c r="WMO80" s="573"/>
      <c r="WMP80" s="573"/>
      <c r="WMQ80" s="573"/>
      <c r="WMR80" s="573"/>
      <c r="WMS80" s="573"/>
      <c r="WMT80" s="573"/>
      <c r="WMU80" s="573"/>
      <c r="WMV80" s="573"/>
      <c r="WMW80" s="573"/>
      <c r="WMX80" s="573"/>
      <c r="WMY80" s="573"/>
      <c r="WMZ80" s="573"/>
      <c r="WNA80" s="573"/>
      <c r="WNB80" s="573"/>
      <c r="WNC80" s="573"/>
      <c r="WND80" s="573"/>
      <c r="WNE80" s="573"/>
      <c r="WNF80" s="573"/>
      <c r="WNG80" s="573"/>
      <c r="WNH80" s="573"/>
      <c r="WNI80" s="573"/>
      <c r="WNJ80" s="573"/>
      <c r="WNK80" s="573"/>
      <c r="WNL80" s="573"/>
      <c r="WNM80" s="573"/>
      <c r="WNN80" s="573"/>
      <c r="WNO80" s="573"/>
      <c r="WNP80" s="573"/>
      <c r="WNQ80" s="573"/>
      <c r="WNR80" s="573"/>
      <c r="WNS80" s="573"/>
      <c r="WNT80" s="573"/>
      <c r="WNU80" s="573"/>
      <c r="WNV80" s="573"/>
      <c r="WNW80" s="573"/>
      <c r="WNX80" s="573"/>
      <c r="WNY80" s="573"/>
      <c r="WNZ80" s="573"/>
      <c r="WOA80" s="573"/>
      <c r="WOB80" s="573"/>
      <c r="WOC80" s="573"/>
      <c r="WOD80" s="573"/>
      <c r="WOE80" s="573"/>
      <c r="WOF80" s="573"/>
      <c r="WOG80" s="573"/>
      <c r="WOH80" s="573"/>
      <c r="WOI80" s="573"/>
      <c r="WOJ80" s="573"/>
      <c r="WOK80" s="573"/>
      <c r="WOL80" s="573"/>
      <c r="WOM80" s="573"/>
      <c r="WON80" s="573"/>
      <c r="WOO80" s="573"/>
      <c r="WOP80" s="573"/>
      <c r="WOQ80" s="573"/>
      <c r="WOR80" s="573"/>
      <c r="WOS80" s="573"/>
      <c r="WOT80" s="573"/>
      <c r="WOU80" s="573"/>
      <c r="WOV80" s="573"/>
      <c r="WOW80" s="573"/>
      <c r="WOX80" s="573"/>
      <c r="WOY80" s="573"/>
      <c r="WOZ80" s="573"/>
      <c r="WPA80" s="573"/>
      <c r="WPB80" s="573"/>
      <c r="WPC80" s="573"/>
      <c r="WPD80" s="573"/>
      <c r="WPE80" s="573"/>
      <c r="WPF80" s="573"/>
      <c r="WPG80" s="573"/>
      <c r="WPH80" s="573"/>
      <c r="WPI80" s="573"/>
      <c r="WPJ80" s="573"/>
      <c r="WPK80" s="573"/>
      <c r="WPL80" s="573"/>
      <c r="WPM80" s="573"/>
      <c r="WPN80" s="573"/>
      <c r="WPO80" s="573"/>
      <c r="WPP80" s="573"/>
      <c r="WPQ80" s="573"/>
      <c r="WPR80" s="573"/>
      <c r="WPS80" s="573"/>
      <c r="WPT80" s="573"/>
      <c r="WPU80" s="573"/>
      <c r="WPV80" s="573"/>
      <c r="WPW80" s="573"/>
      <c r="WPX80" s="573"/>
      <c r="WPY80" s="573"/>
      <c r="WPZ80" s="573"/>
      <c r="WQA80" s="573"/>
      <c r="WQB80" s="573"/>
      <c r="WQC80" s="573"/>
      <c r="WQD80" s="573"/>
      <c r="WQE80" s="573"/>
      <c r="WQF80" s="573"/>
      <c r="WQG80" s="573"/>
      <c r="WQH80" s="573"/>
      <c r="WQI80" s="573"/>
      <c r="WQJ80" s="573"/>
      <c r="WQK80" s="573"/>
      <c r="WQL80" s="573"/>
      <c r="WQM80" s="573"/>
      <c r="WQN80" s="573"/>
      <c r="WQO80" s="573"/>
      <c r="WQP80" s="573"/>
      <c r="WQQ80" s="573"/>
      <c r="WQR80" s="573"/>
      <c r="WQS80" s="573"/>
      <c r="WQT80" s="573"/>
      <c r="WQU80" s="573"/>
      <c r="WQV80" s="573"/>
      <c r="WQW80" s="573"/>
      <c r="WQX80" s="573"/>
      <c r="WQY80" s="573"/>
      <c r="WQZ80" s="573"/>
      <c r="WRA80" s="573"/>
      <c r="WRB80" s="573"/>
      <c r="WRC80" s="573"/>
      <c r="WRD80" s="573"/>
      <c r="WRE80" s="573"/>
      <c r="WRF80" s="573"/>
      <c r="WRG80" s="573"/>
      <c r="WRH80" s="573"/>
      <c r="WRI80" s="573"/>
      <c r="WRJ80" s="573"/>
      <c r="WRK80" s="573"/>
      <c r="WRL80" s="573"/>
      <c r="WRM80" s="573"/>
      <c r="WRN80" s="573"/>
      <c r="WRO80" s="573"/>
      <c r="WRP80" s="573"/>
      <c r="WRQ80" s="573"/>
      <c r="WRR80" s="573"/>
      <c r="WRS80" s="573"/>
      <c r="WRT80" s="573"/>
      <c r="WRU80" s="573"/>
      <c r="WRV80" s="573"/>
      <c r="WRW80" s="573"/>
      <c r="WRX80" s="573"/>
      <c r="WRY80" s="573"/>
      <c r="WRZ80" s="573"/>
      <c r="WSA80" s="573"/>
      <c r="WSB80" s="573"/>
      <c r="WSC80" s="573"/>
      <c r="WSD80" s="573"/>
      <c r="WSE80" s="573"/>
      <c r="WSF80" s="573"/>
      <c r="WSG80" s="573"/>
      <c r="WSH80" s="573"/>
      <c r="WSI80" s="573"/>
      <c r="WSJ80" s="573"/>
      <c r="WSK80" s="573"/>
      <c r="WSL80" s="573"/>
      <c r="WSM80" s="573"/>
      <c r="WSN80" s="573"/>
      <c r="WSO80" s="573"/>
      <c r="WSP80" s="573"/>
      <c r="WSQ80" s="573"/>
      <c r="WSR80" s="573"/>
      <c r="WSS80" s="573"/>
      <c r="WST80" s="573"/>
      <c r="WSU80" s="573"/>
      <c r="WSV80" s="573"/>
      <c r="WSW80" s="573"/>
      <c r="WSX80" s="573"/>
      <c r="WSY80" s="573"/>
      <c r="WSZ80" s="573"/>
      <c r="WTA80" s="573"/>
      <c r="WTB80" s="573"/>
      <c r="WTC80" s="573"/>
      <c r="WTD80" s="573"/>
      <c r="WTE80" s="573"/>
      <c r="WTF80" s="573"/>
      <c r="WTG80" s="573"/>
      <c r="WTH80" s="573"/>
      <c r="WTI80" s="573"/>
      <c r="WTJ80" s="573"/>
      <c r="WTK80" s="573"/>
      <c r="WTL80" s="573"/>
      <c r="WTM80" s="573"/>
      <c r="WTN80" s="573"/>
      <c r="WTO80" s="573"/>
      <c r="WTP80" s="573"/>
      <c r="WTQ80" s="573"/>
      <c r="WTR80" s="573"/>
      <c r="WTS80" s="573"/>
      <c r="WTT80" s="573"/>
      <c r="WTU80" s="573"/>
      <c r="WTV80" s="573"/>
      <c r="WTW80" s="573"/>
      <c r="WTX80" s="573"/>
      <c r="WTY80" s="573"/>
      <c r="WTZ80" s="573"/>
      <c r="WUA80" s="573"/>
      <c r="WUB80" s="573"/>
      <c r="WUC80" s="573"/>
      <c r="WUD80" s="573"/>
      <c r="WUE80" s="573"/>
      <c r="WUF80" s="573"/>
      <c r="WUG80" s="573"/>
      <c r="WUH80" s="573"/>
      <c r="WUI80" s="573"/>
      <c r="WUJ80" s="573"/>
      <c r="WUK80" s="573"/>
      <c r="WUL80" s="573"/>
      <c r="WUM80" s="573"/>
      <c r="WUN80" s="573"/>
      <c r="WUO80" s="573"/>
      <c r="WUP80" s="573"/>
      <c r="WUQ80" s="573"/>
      <c r="WUR80" s="573"/>
      <c r="WUS80" s="573"/>
      <c r="WUT80" s="573"/>
      <c r="WUU80" s="573"/>
      <c r="WUV80" s="573"/>
      <c r="WUW80" s="573"/>
      <c r="WUX80" s="573"/>
      <c r="WUY80" s="573"/>
      <c r="WUZ80" s="573"/>
      <c r="WVA80" s="573"/>
      <c r="WVB80" s="573"/>
      <c r="WVC80" s="573"/>
      <c r="WVD80" s="573"/>
      <c r="WVE80" s="573"/>
      <c r="WVF80" s="573"/>
      <c r="WVG80" s="573"/>
      <c r="WVH80" s="573"/>
      <c r="WVI80" s="573"/>
      <c r="WVJ80" s="573"/>
      <c r="WVK80" s="573"/>
      <c r="WVL80" s="573"/>
      <c r="WVM80" s="573"/>
      <c r="WVN80" s="573"/>
      <c r="WVO80" s="573"/>
      <c r="WVP80" s="573"/>
      <c r="WVQ80" s="573"/>
      <c r="WVR80" s="573"/>
      <c r="WVS80" s="573"/>
      <c r="WVT80" s="573"/>
    </row>
  </sheetData>
  <mergeCells count="9">
    <mergeCell ref="B49:F49"/>
    <mergeCell ref="D1:G1"/>
    <mergeCell ref="A2:A3"/>
    <mergeCell ref="B2:B3"/>
    <mergeCell ref="C2:C3"/>
    <mergeCell ref="D2:D3"/>
    <mergeCell ref="E2:E3"/>
    <mergeCell ref="F2:F3"/>
    <mergeCell ref="G2:G3"/>
  </mergeCells>
  <printOptions horizontalCentered="1"/>
  <pageMargins left="0.75" right="0.4" top="0.75" bottom="0.5" header="0" footer="0"/>
  <pageSetup paperSize="9" scale="70" fitToHeight="0" orientation="portrait" r:id="rId1"/>
  <rowBreaks count="1" manualBreakCount="1">
    <brk id="33"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DFA02-9C6C-4E87-9409-5395428A674D}">
  <sheetPr>
    <tabColor rgb="FFFF9933"/>
  </sheetPr>
  <dimension ref="A1:H14"/>
  <sheetViews>
    <sheetView view="pageBreakPreview" topLeftCell="A16" zoomScaleNormal="110" zoomScaleSheetLayoutView="100" workbookViewId="0">
      <selection activeCell="H1" sqref="H1:H1048576"/>
    </sheetView>
  </sheetViews>
  <sheetFormatPr defaultColWidth="9.109375" defaultRowHeight="13.2"/>
  <cols>
    <col min="1" max="1" width="7.6640625" style="31" customWidth="1"/>
    <col min="2" max="2" width="9.6640625" style="369" customWidth="1"/>
    <col min="3" max="3" width="54" style="31" customWidth="1"/>
    <col min="4" max="4" width="7.6640625" style="370" customWidth="1"/>
    <col min="5" max="5" width="8.6640625" style="689" customWidth="1"/>
    <col min="6" max="6" width="13.44140625" style="31" customWidth="1"/>
    <col min="7" max="7" width="20.109375" style="31" customWidth="1"/>
    <col min="8" max="8" width="8.109375" style="31" hidden="1" customWidth="1"/>
    <col min="9" max="9" width="9.109375" style="31"/>
    <col min="10" max="10" width="10.44140625" style="31" bestFit="1" customWidth="1"/>
    <col min="11" max="16384" width="9.109375" style="31"/>
  </cols>
  <sheetData>
    <row r="1" spans="1:8" s="27" customFormat="1" ht="70.8" customHeight="1" thickBot="1">
      <c r="A1" s="892" t="s">
        <v>701</v>
      </c>
      <c r="B1" s="893"/>
      <c r="C1" s="893"/>
      <c r="D1" s="894" t="str">
        <f>+'Bill 4.2.1 '!D1:G1</f>
        <v>BILL NO. 4.2 - REDUCTION OF LANDSLIDE VULNERABILITY BY MITIGATION MEASURES 
ISIPATHANA MAHAMEWNA ASAPUWA (SITE NO. 85-LOCATION 2)</v>
      </c>
      <c r="E1" s="894"/>
      <c r="F1" s="894"/>
      <c r="G1" s="895"/>
    </row>
    <row r="2" spans="1:8" ht="26.4">
      <c r="A2" s="754" t="s">
        <v>11</v>
      </c>
      <c r="B2" s="28" t="s">
        <v>12</v>
      </c>
      <c r="C2" s="29" t="s">
        <v>8</v>
      </c>
      <c r="D2" s="28" t="s">
        <v>13</v>
      </c>
      <c r="E2" s="686" t="s">
        <v>14</v>
      </c>
      <c r="F2" s="30" t="s">
        <v>15</v>
      </c>
      <c r="G2" s="755" t="s">
        <v>16</v>
      </c>
    </row>
    <row r="3" spans="1:8" ht="33" customHeight="1">
      <c r="A3" s="779"/>
      <c r="B3" s="361"/>
      <c r="C3" s="401" t="s">
        <v>702</v>
      </c>
      <c r="D3" s="361"/>
      <c r="E3" s="690"/>
      <c r="F3" s="363"/>
      <c r="G3" s="772"/>
    </row>
    <row r="4" spans="1:8" ht="30" customHeight="1">
      <c r="A4" s="780" t="s">
        <v>703</v>
      </c>
      <c r="B4" s="402"/>
      <c r="C4" s="403" t="s">
        <v>704</v>
      </c>
      <c r="D4" s="404"/>
      <c r="E4" s="692"/>
      <c r="F4" s="32"/>
      <c r="G4" s="757"/>
    </row>
    <row r="5" spans="1:8" ht="30" customHeight="1">
      <c r="A5" s="758" t="s">
        <v>705</v>
      </c>
      <c r="B5" s="33" t="s">
        <v>706</v>
      </c>
      <c r="C5" s="405" t="s">
        <v>707</v>
      </c>
      <c r="D5" s="33" t="s">
        <v>708</v>
      </c>
      <c r="E5" s="241"/>
      <c r="F5" s="35"/>
      <c r="G5" s="781"/>
    </row>
    <row r="6" spans="1:8" s="409" customFormat="1" ht="30" customHeight="1">
      <c r="A6" s="758" t="s">
        <v>1461</v>
      </c>
      <c r="B6" s="33" t="s">
        <v>710</v>
      </c>
      <c r="C6" s="47" t="s">
        <v>711</v>
      </c>
      <c r="D6" s="33" t="s">
        <v>5</v>
      </c>
      <c r="E6" s="241">
        <v>1026</v>
      </c>
      <c r="F6" s="35"/>
      <c r="G6" s="782"/>
      <c r="H6" s="408">
        <f>'QTY 85l2'!J113</f>
        <v>1026</v>
      </c>
    </row>
    <row r="7" spans="1:8" ht="30" customHeight="1">
      <c r="A7" s="758" t="s">
        <v>709</v>
      </c>
      <c r="B7" s="33" t="s">
        <v>713</v>
      </c>
      <c r="C7" s="368" t="s">
        <v>714</v>
      </c>
      <c r="D7" s="33" t="s">
        <v>20</v>
      </c>
      <c r="E7" s="241">
        <v>567</v>
      </c>
      <c r="F7" s="35"/>
      <c r="G7" s="764"/>
      <c r="H7" s="347">
        <f>'QTY 85l2'!J93</f>
        <v>566.23270000000002</v>
      </c>
    </row>
    <row r="8" spans="1:8" ht="30" customHeight="1">
      <c r="A8" s="758" t="s">
        <v>712</v>
      </c>
      <c r="B8" s="400" t="s">
        <v>716</v>
      </c>
      <c r="C8" s="410" t="s">
        <v>717</v>
      </c>
      <c r="D8" s="46" t="s">
        <v>5</v>
      </c>
      <c r="E8" s="238">
        <v>548</v>
      </c>
      <c r="F8" s="57"/>
      <c r="G8" s="764"/>
      <c r="H8" s="347">
        <f>'QTY 85l2'!J108</f>
        <v>547.14990000000012</v>
      </c>
    </row>
    <row r="9" spans="1:8" ht="30" customHeight="1">
      <c r="A9" s="758" t="s">
        <v>715</v>
      </c>
      <c r="B9" s="62" t="s">
        <v>719</v>
      </c>
      <c r="C9" s="411" t="s">
        <v>720</v>
      </c>
      <c r="D9" s="33" t="s">
        <v>5</v>
      </c>
      <c r="E9" s="241">
        <v>106</v>
      </c>
      <c r="F9" s="35"/>
      <c r="G9" s="764"/>
      <c r="H9" s="347">
        <f>'QTY 85l2'!J117</f>
        <v>105.468</v>
      </c>
    </row>
    <row r="10" spans="1:8" ht="30" customHeight="1">
      <c r="A10" s="758" t="s">
        <v>718</v>
      </c>
      <c r="B10" s="56" t="s">
        <v>49</v>
      </c>
      <c r="C10" s="58" t="s">
        <v>448</v>
      </c>
      <c r="D10" s="56" t="s">
        <v>5</v>
      </c>
      <c r="E10" s="241">
        <v>110</v>
      </c>
      <c r="F10" s="35"/>
      <c r="G10" s="764"/>
      <c r="H10" s="347"/>
    </row>
    <row r="11" spans="1:8" ht="30" customHeight="1">
      <c r="A11" s="758" t="s">
        <v>721</v>
      </c>
      <c r="B11" s="33" t="s">
        <v>722</v>
      </c>
      <c r="C11" s="405" t="s">
        <v>723</v>
      </c>
      <c r="D11" s="33" t="s">
        <v>52</v>
      </c>
      <c r="E11" s="241">
        <v>5</v>
      </c>
      <c r="F11" s="35"/>
      <c r="G11" s="764"/>
      <c r="H11" s="347">
        <f>('QTY 85l2'!B111+'QTY 85l2'!B112)*2%</f>
        <v>2.2800000000000002</v>
      </c>
    </row>
    <row r="12" spans="1:8" ht="30" customHeight="1">
      <c r="A12" s="770" t="s">
        <v>724</v>
      </c>
      <c r="B12" s="350"/>
      <c r="C12" s="351" t="s">
        <v>465</v>
      </c>
      <c r="D12" s="350"/>
      <c r="E12" s="243"/>
      <c r="F12" s="41"/>
      <c r="G12" s="765"/>
      <c r="H12" s="347"/>
    </row>
    <row r="13" spans="1:8" ht="58.5" customHeight="1">
      <c r="A13" s="758" t="s">
        <v>1462</v>
      </c>
      <c r="B13" s="33" t="s">
        <v>467</v>
      </c>
      <c r="C13" s="368" t="s">
        <v>468</v>
      </c>
      <c r="D13" s="33" t="s">
        <v>5</v>
      </c>
      <c r="E13" s="241">
        <v>90</v>
      </c>
      <c r="F13" s="35"/>
      <c r="G13" s="764"/>
      <c r="H13" s="347">
        <f>'QTY 85l2'!J103</f>
        <v>90</v>
      </c>
    </row>
    <row r="14" spans="1:8" ht="24.75" customHeight="1" thickBot="1">
      <c r="A14" s="760"/>
      <c r="B14" s="896" t="s">
        <v>725</v>
      </c>
      <c r="C14" s="897"/>
      <c r="D14" s="897"/>
      <c r="E14" s="897"/>
      <c r="F14" s="898"/>
      <c r="G14" s="761"/>
    </row>
  </sheetData>
  <mergeCells count="3">
    <mergeCell ref="A1:C1"/>
    <mergeCell ref="D1:G1"/>
    <mergeCell ref="B14:F14"/>
  </mergeCells>
  <phoneticPr fontId="31" type="noConversion"/>
  <printOptions horizontalCentered="1"/>
  <pageMargins left="0.75" right="0.4" top="0.75" bottom="0.5" header="0" footer="0"/>
  <pageSetup paperSize="9" scale="7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E4F-5574-4061-8BC8-B598E0EB91EC}">
  <sheetPr>
    <tabColor rgb="FFFF9933"/>
  </sheetPr>
  <dimension ref="A1:I7"/>
  <sheetViews>
    <sheetView view="pageBreakPreview" zoomScale="96" zoomScaleNormal="100" zoomScaleSheetLayoutView="96" workbookViewId="0">
      <selection activeCell="H1" sqref="H1:H1048576"/>
    </sheetView>
  </sheetViews>
  <sheetFormatPr defaultColWidth="9.109375" defaultRowHeight="13.2"/>
  <cols>
    <col min="1" max="1" width="7.6640625" style="31" customWidth="1"/>
    <col min="2" max="2" width="7.88671875" style="31" customWidth="1"/>
    <col min="3" max="3" width="54" style="31" customWidth="1"/>
    <col min="4" max="4" width="7.6640625" style="31" customWidth="1"/>
    <col min="5" max="5" width="8.6640625" style="31" customWidth="1"/>
    <col min="6" max="6" width="14.5546875" style="31" customWidth="1"/>
    <col min="7" max="7" width="20.44140625" style="31" customWidth="1"/>
    <col min="8" max="8" width="9.6640625" style="31" hidden="1" customWidth="1"/>
    <col min="9" max="16384" width="9.109375" style="31"/>
  </cols>
  <sheetData>
    <row r="1" spans="1:9" s="27" customFormat="1" ht="73.8" customHeight="1" thickBot="1">
      <c r="A1" s="892" t="s">
        <v>726</v>
      </c>
      <c r="B1" s="893"/>
      <c r="C1" s="893"/>
      <c r="D1" s="894" t="str">
        <f>+'Bill 4.2.1 '!D1:G1</f>
        <v>BILL NO. 4.2 - REDUCTION OF LANDSLIDE VULNERABILITY BY MITIGATION MEASURES 
ISIPATHANA MAHAMEWNA ASAPUWA (SITE NO. 85-LOCATION 2)</v>
      </c>
      <c r="E1" s="894"/>
      <c r="F1" s="894"/>
      <c r="G1" s="895"/>
    </row>
    <row r="2" spans="1:9" ht="26.4">
      <c r="A2" s="754" t="s">
        <v>11</v>
      </c>
      <c r="B2" s="28" t="s">
        <v>12</v>
      </c>
      <c r="C2" s="29" t="s">
        <v>8</v>
      </c>
      <c r="D2" s="28" t="s">
        <v>13</v>
      </c>
      <c r="E2" s="28" t="s">
        <v>14</v>
      </c>
      <c r="F2" s="30" t="s">
        <v>15</v>
      </c>
      <c r="G2" s="755" t="s">
        <v>16</v>
      </c>
    </row>
    <row r="3" spans="1:9" ht="30" customHeight="1">
      <c r="A3" s="780" t="s">
        <v>727</v>
      </c>
      <c r="B3" s="402"/>
      <c r="C3" s="362" t="s">
        <v>461</v>
      </c>
      <c r="D3" s="404"/>
      <c r="E3" s="32"/>
      <c r="F3" s="32"/>
      <c r="G3" s="757"/>
    </row>
    <row r="4" spans="1:9" customFormat="1" ht="30" customHeight="1">
      <c r="A4" s="758" t="s">
        <v>728</v>
      </c>
      <c r="B4" s="46" t="s">
        <v>729</v>
      </c>
      <c r="C4" s="47" t="s">
        <v>730</v>
      </c>
      <c r="D4" s="46" t="s">
        <v>312</v>
      </c>
      <c r="E4" s="241">
        <v>567</v>
      </c>
      <c r="F4" s="57"/>
      <c r="G4" s="367"/>
      <c r="H4" s="44">
        <f>'Bill 4.2.4'!E7</f>
        <v>567</v>
      </c>
    </row>
    <row r="5" spans="1:9" ht="30" customHeight="1">
      <c r="A5" s="758" t="s">
        <v>731</v>
      </c>
      <c r="B5" s="33" t="s">
        <v>732</v>
      </c>
      <c r="C5" s="412" t="s">
        <v>733</v>
      </c>
      <c r="D5" s="33" t="s">
        <v>20</v>
      </c>
      <c r="E5" s="241">
        <v>567</v>
      </c>
      <c r="F5" s="35"/>
      <c r="G5" s="367"/>
      <c r="H5" s="44">
        <f>H4</f>
        <v>567</v>
      </c>
    </row>
    <row r="6" spans="1:9" s="27" customFormat="1" ht="30" customHeight="1">
      <c r="A6" s="758" t="s">
        <v>734</v>
      </c>
      <c r="B6" s="777" t="s">
        <v>592</v>
      </c>
      <c r="C6" s="353" t="s">
        <v>593</v>
      </c>
      <c r="D6" s="46" t="s">
        <v>312</v>
      </c>
      <c r="E6" s="238">
        <v>50</v>
      </c>
      <c r="F6" s="57"/>
      <c r="G6" s="367"/>
      <c r="H6" s="413" t="s">
        <v>735</v>
      </c>
      <c r="I6" s="414"/>
    </row>
    <row r="7" spans="1:9" ht="22.5" customHeight="1" thickBot="1">
      <c r="A7" s="760"/>
      <c r="B7" s="896" t="s">
        <v>736</v>
      </c>
      <c r="C7" s="897"/>
      <c r="D7" s="897"/>
      <c r="E7" s="897"/>
      <c r="F7" s="898"/>
      <c r="G7" s="761"/>
    </row>
  </sheetData>
  <mergeCells count="3">
    <mergeCell ref="A1:C1"/>
    <mergeCell ref="D1:G1"/>
    <mergeCell ref="B7:F7"/>
  </mergeCells>
  <printOptions horizontalCentered="1"/>
  <pageMargins left="0.75" right="0.4" top="0.75" bottom="0.5" header="0" footer="0"/>
  <pageSetup paperSize="9" scale="70"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0638-2A25-4348-ACA1-2ED18AD09B6F}">
  <sheetPr>
    <tabColor rgb="FF00B050"/>
  </sheetPr>
  <dimension ref="A1:L129"/>
  <sheetViews>
    <sheetView view="pageBreakPreview" zoomScale="90" zoomScaleNormal="100" zoomScaleSheetLayoutView="90" workbookViewId="0">
      <pane ySplit="2" topLeftCell="A51" activePane="bottomLeft" state="frozen"/>
      <selection activeCell="B16" sqref="B16"/>
      <selection pane="bottomLeft" activeCell="B16" sqref="B16"/>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5" width="9.109375" style="68"/>
    <col min="16" max="16" width="11.109375" style="68" bestFit="1" customWidth="1"/>
    <col min="17" max="16384" width="9.109375" style="68"/>
  </cols>
  <sheetData>
    <row r="1" spans="1:12" ht="20.100000000000001" customHeight="1">
      <c r="A1" s="902" t="s">
        <v>595</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08" t="s">
        <v>62</v>
      </c>
      <c r="B4" s="909"/>
      <c r="C4" s="909"/>
      <c r="D4" s="909"/>
      <c r="E4" s="909"/>
      <c r="F4" s="910"/>
      <c r="G4" s="73"/>
      <c r="H4" s="74"/>
      <c r="I4" s="73"/>
      <c r="J4" s="73"/>
    </row>
    <row r="5" spans="1:12" ht="15">
      <c r="A5" s="75" t="s">
        <v>199</v>
      </c>
      <c r="B5" s="76"/>
      <c r="C5" s="77"/>
      <c r="D5" s="78"/>
      <c r="E5" s="77"/>
      <c r="F5" s="76"/>
      <c r="G5" s="77"/>
      <c r="H5" s="77"/>
      <c r="I5" s="77"/>
      <c r="J5" s="79"/>
      <c r="L5" s="80"/>
    </row>
    <row r="6" spans="1:12" ht="15">
      <c r="A6" s="87" t="s">
        <v>737</v>
      </c>
      <c r="B6" s="88">
        <v>4.75</v>
      </c>
      <c r="C6" s="82">
        <v>27.63</v>
      </c>
      <c r="D6" s="78"/>
      <c r="E6" s="77"/>
      <c r="F6" s="76">
        <f>B6*C6</f>
        <v>131.24250000000001</v>
      </c>
      <c r="G6" s="77"/>
      <c r="H6" s="77" t="s">
        <v>63</v>
      </c>
      <c r="I6" s="79">
        <f>F6*1.1</f>
        <v>144.36675000000002</v>
      </c>
      <c r="J6" s="128">
        <f>ROUNDUP(I6,2)</f>
        <v>144.37</v>
      </c>
      <c r="L6" s="80"/>
    </row>
    <row r="7" spans="1:12" ht="15">
      <c r="A7" s="87" t="s">
        <v>738</v>
      </c>
      <c r="B7" s="88">
        <v>11</v>
      </c>
      <c r="C7" s="76">
        <v>31.409999999999997</v>
      </c>
      <c r="D7" s="78"/>
      <c r="E7" s="77"/>
      <c r="F7" s="76">
        <f>B7*C7</f>
        <v>345.51</v>
      </c>
      <c r="G7" s="77"/>
      <c r="H7" s="77" t="s">
        <v>63</v>
      </c>
      <c r="I7" s="79">
        <f>F7*1.1</f>
        <v>380.06100000000004</v>
      </c>
      <c r="J7" s="128">
        <f>ROUNDUP(I7,2)</f>
        <v>380.07</v>
      </c>
      <c r="L7" s="80"/>
    </row>
    <row r="8" spans="1:12" ht="15">
      <c r="A8" s="87" t="s">
        <v>739</v>
      </c>
      <c r="B8" s="88">
        <v>14.3</v>
      </c>
      <c r="C8" s="76">
        <v>30.714999999999996</v>
      </c>
      <c r="D8" s="78"/>
      <c r="E8" s="77"/>
      <c r="F8" s="76">
        <f>B8*C8</f>
        <v>439.22449999999998</v>
      </c>
      <c r="G8" s="77"/>
      <c r="H8" s="77" t="s">
        <v>63</v>
      </c>
      <c r="I8" s="79">
        <f>F8*1.1</f>
        <v>483.14695</v>
      </c>
      <c r="J8" s="128">
        <f>ROUNDUP(I8,2)</f>
        <v>483.15</v>
      </c>
      <c r="L8" s="80"/>
    </row>
    <row r="9" spans="1:12" ht="15">
      <c r="A9" s="87" t="s">
        <v>598</v>
      </c>
      <c r="B9" s="88">
        <v>6.12</v>
      </c>
      <c r="C9" s="76">
        <v>26.24</v>
      </c>
      <c r="D9" s="78"/>
      <c r="E9" s="77"/>
      <c r="F9" s="76">
        <f>B9*C9</f>
        <v>160.58879999999999</v>
      </c>
      <c r="G9" s="77"/>
      <c r="H9" s="77" t="s">
        <v>63</v>
      </c>
      <c r="I9" s="79">
        <f>F9*1.1</f>
        <v>176.64768000000001</v>
      </c>
      <c r="J9" s="128">
        <f>ROUNDUP(I9,2)</f>
        <v>176.64999999999998</v>
      </c>
      <c r="L9" s="80"/>
    </row>
    <row r="10" spans="1:12" ht="15">
      <c r="A10" s="87"/>
      <c r="B10" s="88"/>
      <c r="C10" s="76"/>
      <c r="D10" s="78"/>
      <c r="E10" s="77"/>
      <c r="F10" s="76"/>
      <c r="G10" s="77"/>
      <c r="H10" s="77"/>
      <c r="I10" s="79"/>
      <c r="J10" s="103">
        <f>SUM(J6:J9)</f>
        <v>1184.24</v>
      </c>
      <c r="L10" s="80"/>
    </row>
    <row r="11" spans="1:12" ht="15">
      <c r="A11" s="87"/>
      <c r="B11" s="88"/>
      <c r="C11" s="89"/>
      <c r="D11" s="90"/>
      <c r="E11" s="91"/>
      <c r="F11" s="88"/>
      <c r="G11" s="91"/>
      <c r="H11" s="91"/>
      <c r="I11" s="92"/>
      <c r="J11" s="93"/>
    </row>
    <row r="12" spans="1:12" ht="15">
      <c r="A12" s="905" t="s">
        <v>64</v>
      </c>
      <c r="B12" s="906"/>
      <c r="C12" s="906"/>
      <c r="D12" s="906"/>
      <c r="E12" s="906"/>
      <c r="F12" s="906"/>
      <c r="G12" s="906"/>
      <c r="H12" s="906"/>
      <c r="I12" s="906"/>
      <c r="J12" s="907"/>
    </row>
    <row r="13" spans="1:12" ht="15">
      <c r="A13" s="911" t="s">
        <v>65</v>
      </c>
      <c r="B13" s="912"/>
      <c r="C13" s="912"/>
      <c r="D13" s="912"/>
      <c r="E13" s="912"/>
      <c r="F13" s="913"/>
      <c r="G13" s="73"/>
      <c r="H13" s="74"/>
      <c r="I13" s="74"/>
      <c r="J13" s="73"/>
      <c r="K13" s="94"/>
    </row>
    <row r="14" spans="1:12" ht="15">
      <c r="A14" s="911" t="s">
        <v>66</v>
      </c>
      <c r="B14" s="912"/>
      <c r="C14" s="912"/>
      <c r="D14" s="912"/>
      <c r="E14" s="912"/>
      <c r="F14" s="913"/>
      <c r="G14" s="73"/>
      <c r="H14" s="74"/>
      <c r="I14" s="73"/>
      <c r="J14" s="73"/>
      <c r="L14" s="80"/>
    </row>
    <row r="15" spans="1:12" ht="15">
      <c r="A15" s="911" t="s">
        <v>67</v>
      </c>
      <c r="B15" s="912"/>
      <c r="C15" s="912"/>
      <c r="D15" s="912"/>
      <c r="E15" s="912"/>
      <c r="F15" s="913"/>
      <c r="G15" s="95"/>
      <c r="H15" s="96"/>
      <c r="I15" s="95"/>
      <c r="J15" s="95"/>
      <c r="L15" s="80"/>
    </row>
    <row r="16" spans="1:12" ht="15">
      <c r="A16" s="84" t="s">
        <v>68</v>
      </c>
      <c r="B16" s="76"/>
      <c r="C16" s="76"/>
      <c r="D16" s="78"/>
      <c r="E16" s="77"/>
      <c r="F16" s="76"/>
      <c r="G16" s="77"/>
      <c r="H16" s="77"/>
      <c r="I16" s="79"/>
      <c r="J16" s="79"/>
      <c r="L16" s="80"/>
    </row>
    <row r="17" spans="1:12" ht="15">
      <c r="A17" s="87" t="str">
        <f>A6</f>
        <v>~CS01</v>
      </c>
      <c r="B17" s="88">
        <f>B6</f>
        <v>4.75</v>
      </c>
      <c r="C17" s="76">
        <v>39.369999999999997</v>
      </c>
      <c r="D17" s="78"/>
      <c r="E17" s="77"/>
      <c r="F17" s="76">
        <f>B17*C17</f>
        <v>187.00749999999999</v>
      </c>
      <c r="G17" s="77"/>
      <c r="H17" s="77" t="s">
        <v>63</v>
      </c>
      <c r="I17" s="79">
        <f>F17*1.1</f>
        <v>205.70825000000002</v>
      </c>
      <c r="J17" s="128">
        <f>ROUNDUP(I17,2)</f>
        <v>205.70999999999998</v>
      </c>
      <c r="L17" s="80"/>
    </row>
    <row r="18" spans="1:12" ht="15">
      <c r="A18" s="87" t="str">
        <f t="shared" ref="A18:B20" si="0">A7</f>
        <v>CS01 - CS02</v>
      </c>
      <c r="B18" s="88">
        <f t="shared" si="0"/>
        <v>11</v>
      </c>
      <c r="C18" s="76">
        <v>48.685000000000002</v>
      </c>
      <c r="D18" s="78"/>
      <c r="E18" s="77"/>
      <c r="F18" s="76">
        <f>B18*C18</f>
        <v>535.53500000000008</v>
      </c>
      <c r="G18" s="77"/>
      <c r="H18" s="77" t="s">
        <v>63</v>
      </c>
      <c r="I18" s="79">
        <f>F18*1.1</f>
        <v>589.08850000000018</v>
      </c>
      <c r="J18" s="128">
        <f>ROUNDUP(I18,2)</f>
        <v>589.09</v>
      </c>
      <c r="L18" s="80"/>
    </row>
    <row r="19" spans="1:12" ht="15">
      <c r="A19" s="87" t="str">
        <f t="shared" si="0"/>
        <v>CS02 - CS03</v>
      </c>
      <c r="B19" s="88">
        <f t="shared" si="0"/>
        <v>14.3</v>
      </c>
      <c r="C19" s="76">
        <v>36</v>
      </c>
      <c r="D19" s="78"/>
      <c r="E19" s="77"/>
      <c r="F19" s="76">
        <f>B19*C19</f>
        <v>514.80000000000007</v>
      </c>
      <c r="G19" s="77"/>
      <c r="H19" s="77" t="s">
        <v>63</v>
      </c>
      <c r="I19" s="79">
        <f>F19*1.1</f>
        <v>566.28000000000009</v>
      </c>
      <c r="J19" s="128">
        <f>ROUNDUP(I19,2)</f>
        <v>566.28</v>
      </c>
      <c r="L19" s="80"/>
    </row>
    <row r="20" spans="1:12" ht="15">
      <c r="A20" s="87" t="str">
        <f t="shared" si="0"/>
        <v>CS03~</v>
      </c>
      <c r="B20" s="88">
        <f t="shared" si="0"/>
        <v>6.12</v>
      </c>
      <c r="C20" s="76">
        <v>14</v>
      </c>
      <c r="D20" s="78"/>
      <c r="E20" s="77"/>
      <c r="F20" s="76">
        <f>B20*C20</f>
        <v>85.68</v>
      </c>
      <c r="G20" s="77"/>
      <c r="H20" s="77" t="s">
        <v>63</v>
      </c>
      <c r="I20" s="79">
        <f>F20*1.1</f>
        <v>94.248000000000019</v>
      </c>
      <c r="J20" s="128">
        <f>ROUNDUP(I20,2)</f>
        <v>94.25</v>
      </c>
      <c r="L20" s="80"/>
    </row>
    <row r="21" spans="1:12" ht="15">
      <c r="A21" s="87"/>
      <c r="B21" s="88"/>
      <c r="C21" s="76"/>
      <c r="D21" s="78"/>
      <c r="E21" s="77"/>
      <c r="F21" s="76"/>
      <c r="G21" s="77"/>
      <c r="H21" s="77"/>
      <c r="I21" s="79"/>
      <c r="J21" s="103">
        <f>SUM(J16:J19)</f>
        <v>1361.08</v>
      </c>
    </row>
    <row r="22" spans="1:12" ht="15">
      <c r="A22" s="87"/>
      <c r="B22" s="88"/>
      <c r="C22" s="76"/>
      <c r="D22" s="78"/>
      <c r="E22" s="77"/>
      <c r="F22" s="76"/>
      <c r="G22" s="77"/>
      <c r="H22" s="77"/>
      <c r="I22" s="79"/>
      <c r="J22" s="101"/>
    </row>
    <row r="23" spans="1:12" ht="15">
      <c r="A23" s="84"/>
      <c r="B23" s="76"/>
      <c r="C23" s="76"/>
      <c r="D23" s="78"/>
      <c r="E23" s="77"/>
      <c r="F23" s="76"/>
      <c r="G23" s="77"/>
      <c r="H23" s="77"/>
      <c r="I23" s="79"/>
      <c r="J23" s="79"/>
    </row>
    <row r="24" spans="1:12" ht="15">
      <c r="A24" s="911" t="s">
        <v>69</v>
      </c>
      <c r="B24" s="912"/>
      <c r="C24" s="912"/>
      <c r="D24" s="912"/>
      <c r="E24" s="912"/>
      <c r="F24" s="913"/>
      <c r="G24" s="97"/>
      <c r="H24" s="74"/>
      <c r="I24" s="73"/>
      <c r="J24" s="73"/>
      <c r="K24" s="80"/>
      <c r="L24" s="80"/>
    </row>
    <row r="25" spans="1:12" ht="15">
      <c r="A25" s="911" t="s">
        <v>70</v>
      </c>
      <c r="B25" s="912"/>
      <c r="C25" s="912"/>
      <c r="D25" s="912"/>
      <c r="E25" s="912"/>
      <c r="F25" s="913"/>
      <c r="G25" s="97"/>
      <c r="H25" s="74"/>
      <c r="I25" s="73"/>
      <c r="J25" s="73"/>
      <c r="K25" s="80"/>
      <c r="L25" s="80"/>
    </row>
    <row r="26" spans="1:12" ht="15">
      <c r="A26" s="911" t="s">
        <v>71</v>
      </c>
      <c r="B26" s="912"/>
      <c r="C26" s="912"/>
      <c r="D26" s="912"/>
      <c r="E26" s="912"/>
      <c r="F26" s="913"/>
      <c r="G26" s="95"/>
      <c r="H26" s="96"/>
      <c r="I26" s="95"/>
      <c r="J26" s="95"/>
      <c r="K26" s="80"/>
      <c r="L26" s="80"/>
    </row>
    <row r="27" spans="1:12" ht="15">
      <c r="A27" s="98" t="s">
        <v>740</v>
      </c>
      <c r="B27" s="82"/>
      <c r="C27" s="99"/>
      <c r="D27" s="99"/>
      <c r="E27" s="100"/>
      <c r="F27" s="82"/>
      <c r="G27" s="100"/>
      <c r="H27" s="100"/>
      <c r="I27" s="79"/>
      <c r="J27" s="101"/>
      <c r="K27" s="80"/>
      <c r="L27" s="80"/>
    </row>
    <row r="28" spans="1:12" ht="15">
      <c r="A28" s="87" t="str">
        <f>A17</f>
        <v>~CS01</v>
      </c>
      <c r="B28" s="88">
        <f>B17</f>
        <v>4.75</v>
      </c>
      <c r="C28" s="90">
        <v>12.35</v>
      </c>
      <c r="D28" s="90"/>
      <c r="E28" s="91"/>
      <c r="F28" s="88">
        <f>PRODUCT(B28:E28)</f>
        <v>58.662500000000001</v>
      </c>
      <c r="G28" s="102">
        <f>F28</f>
        <v>58.662500000000001</v>
      </c>
      <c r="H28" s="77" t="s">
        <v>63</v>
      </c>
      <c r="I28" s="79">
        <f>G28*1.1</f>
        <v>64.528750000000002</v>
      </c>
      <c r="J28" s="128">
        <f>I28</f>
        <v>64.528750000000002</v>
      </c>
      <c r="K28" s="80"/>
      <c r="L28" s="80"/>
    </row>
    <row r="29" spans="1:12" ht="15">
      <c r="A29" s="87" t="str">
        <f t="shared" ref="A29:B31" si="1">A18</f>
        <v>CS01 - CS02</v>
      </c>
      <c r="B29" s="88">
        <f t="shared" si="1"/>
        <v>11</v>
      </c>
      <c r="C29" s="90">
        <v>12.664999999999999</v>
      </c>
      <c r="D29" s="90"/>
      <c r="E29" s="91"/>
      <c r="F29" s="88">
        <f>PRODUCT(B29:E29)</f>
        <v>139.315</v>
      </c>
      <c r="G29" s="102">
        <f>F29</f>
        <v>139.315</v>
      </c>
      <c r="H29" s="77" t="s">
        <v>63</v>
      </c>
      <c r="I29" s="79">
        <f>G29*1.1</f>
        <v>153.2465</v>
      </c>
      <c r="J29" s="128">
        <f>I29</f>
        <v>153.2465</v>
      </c>
      <c r="K29" s="80"/>
      <c r="L29" s="80"/>
    </row>
    <row r="30" spans="1:12" ht="15">
      <c r="A30" s="87" t="str">
        <f t="shared" si="1"/>
        <v>CS02 - CS03</v>
      </c>
      <c r="B30" s="88">
        <f t="shared" si="1"/>
        <v>14.3</v>
      </c>
      <c r="C30" s="90">
        <v>11.785</v>
      </c>
      <c r="D30" s="90"/>
      <c r="E30" s="91"/>
      <c r="F30" s="88">
        <f>PRODUCT(B30:E30)</f>
        <v>168.52550000000002</v>
      </c>
      <c r="G30" s="102">
        <f>F30</f>
        <v>168.52550000000002</v>
      </c>
      <c r="H30" s="77" t="s">
        <v>63</v>
      </c>
      <c r="I30" s="79">
        <f>G30*1.1</f>
        <v>185.37805000000003</v>
      </c>
      <c r="J30" s="128">
        <f>I30</f>
        <v>185.37805000000003</v>
      </c>
      <c r="K30" s="80"/>
      <c r="L30" s="80"/>
    </row>
    <row r="31" spans="1:12" ht="15">
      <c r="A31" s="87" t="str">
        <f t="shared" si="1"/>
        <v>CS03~</v>
      </c>
      <c r="B31" s="88">
        <f t="shared" si="1"/>
        <v>6.12</v>
      </c>
      <c r="C31" s="90">
        <v>6.75</v>
      </c>
      <c r="D31" s="90"/>
      <c r="E31" s="91"/>
      <c r="F31" s="88">
        <f>PRODUCT(B31:E31)</f>
        <v>41.31</v>
      </c>
      <c r="G31" s="102">
        <f>F31</f>
        <v>41.31</v>
      </c>
      <c r="H31" s="77" t="s">
        <v>63</v>
      </c>
      <c r="I31" s="79">
        <f>G31*1.1</f>
        <v>45.44100000000001</v>
      </c>
      <c r="J31" s="128">
        <f>I31</f>
        <v>45.44100000000001</v>
      </c>
      <c r="K31" s="80"/>
      <c r="L31" s="80"/>
    </row>
    <row r="32" spans="1:12" ht="15">
      <c r="A32" s="87"/>
      <c r="B32" s="88"/>
      <c r="C32" s="90"/>
      <c r="D32" s="90"/>
      <c r="E32" s="91"/>
      <c r="F32" s="88"/>
      <c r="G32" s="91"/>
      <c r="H32" s="91"/>
      <c r="I32" s="79"/>
      <c r="J32" s="103">
        <f>SUM(J28:J30)</f>
        <v>403.15330000000006</v>
      </c>
      <c r="K32" s="80"/>
      <c r="L32" s="80"/>
    </row>
    <row r="33" spans="1:12" ht="15">
      <c r="A33" s="87"/>
      <c r="B33" s="88"/>
      <c r="C33" s="90"/>
      <c r="D33" s="90"/>
      <c r="E33" s="91"/>
      <c r="F33" s="88"/>
      <c r="G33" s="91"/>
      <c r="H33" s="91"/>
      <c r="I33" s="79"/>
      <c r="J33" s="101"/>
      <c r="K33" s="80"/>
      <c r="L33" s="80"/>
    </row>
    <row r="34" spans="1:12" ht="15">
      <c r="A34" s="914" t="s">
        <v>72</v>
      </c>
      <c r="B34" s="915"/>
      <c r="C34" s="915"/>
      <c r="D34" s="915"/>
      <c r="E34" s="915"/>
      <c r="F34" s="915"/>
      <c r="G34" s="915"/>
      <c r="H34" s="915"/>
      <c r="I34" s="915"/>
      <c r="J34" s="916"/>
      <c r="K34" s="80"/>
      <c r="L34" s="80"/>
    </row>
    <row r="35" spans="1:12" ht="15">
      <c r="A35" s="98" t="s">
        <v>740</v>
      </c>
      <c r="B35" s="76"/>
      <c r="C35" s="78"/>
      <c r="D35" s="78"/>
      <c r="E35" s="77"/>
      <c r="F35" s="76"/>
      <c r="G35" s="77"/>
      <c r="H35" s="77"/>
      <c r="I35" s="79"/>
      <c r="J35" s="79"/>
      <c r="K35" s="80"/>
      <c r="L35" s="80"/>
    </row>
    <row r="36" spans="1:12" ht="15">
      <c r="A36" s="87" t="str">
        <f>A28</f>
        <v>~CS01</v>
      </c>
      <c r="B36" s="88">
        <f>B28</f>
        <v>4.75</v>
      </c>
      <c r="C36" s="78">
        <v>7.15</v>
      </c>
      <c r="D36" s="78"/>
      <c r="E36" s="77"/>
      <c r="F36" s="88">
        <f>PRODUCT(B36:E36)</f>
        <v>33.962499999999999</v>
      </c>
      <c r="G36" s="102">
        <f>F36</f>
        <v>33.962499999999999</v>
      </c>
      <c r="H36" s="77" t="s">
        <v>63</v>
      </c>
      <c r="I36" s="79">
        <f>G36*1.1</f>
        <v>37.358750000000001</v>
      </c>
      <c r="J36" s="128">
        <f>I36</f>
        <v>37.358750000000001</v>
      </c>
      <c r="K36" s="80"/>
      <c r="L36" s="80"/>
    </row>
    <row r="37" spans="1:12" ht="15">
      <c r="A37" s="87" t="str">
        <f t="shared" ref="A37:B39" si="2">A29</f>
        <v>CS01 - CS02</v>
      </c>
      <c r="B37" s="88">
        <f t="shared" si="2"/>
        <v>11</v>
      </c>
      <c r="C37" s="78">
        <v>7.15</v>
      </c>
      <c r="D37" s="78"/>
      <c r="E37" s="77"/>
      <c r="F37" s="88">
        <f>PRODUCT(B37:E37)</f>
        <v>78.650000000000006</v>
      </c>
      <c r="G37" s="102">
        <f>F37</f>
        <v>78.650000000000006</v>
      </c>
      <c r="H37" s="77" t="s">
        <v>63</v>
      </c>
      <c r="I37" s="79">
        <f>G37*1.1</f>
        <v>86.515000000000015</v>
      </c>
      <c r="J37" s="128">
        <f>I37</f>
        <v>86.515000000000015</v>
      </c>
      <c r="K37" s="80"/>
      <c r="L37" s="80"/>
    </row>
    <row r="38" spans="1:12" ht="15">
      <c r="A38" s="87" t="str">
        <f t="shared" si="2"/>
        <v>CS02 - CS03</v>
      </c>
      <c r="B38" s="88">
        <f t="shared" si="2"/>
        <v>14.3</v>
      </c>
      <c r="C38" s="78">
        <v>6.19</v>
      </c>
      <c r="D38" s="78"/>
      <c r="E38" s="77"/>
      <c r="F38" s="88">
        <f>PRODUCT(B38:E38)</f>
        <v>88.51700000000001</v>
      </c>
      <c r="G38" s="102">
        <f>F38</f>
        <v>88.51700000000001</v>
      </c>
      <c r="H38" s="77" t="s">
        <v>63</v>
      </c>
      <c r="I38" s="79">
        <f>G38*1.1</f>
        <v>97.368700000000018</v>
      </c>
      <c r="J38" s="128">
        <f>I38</f>
        <v>97.368700000000018</v>
      </c>
      <c r="K38" s="80"/>
      <c r="L38" s="80"/>
    </row>
    <row r="39" spans="1:12" ht="15">
      <c r="A39" s="87" t="str">
        <f t="shared" si="2"/>
        <v>CS03~</v>
      </c>
      <c r="B39" s="88">
        <f t="shared" si="2"/>
        <v>6.12</v>
      </c>
      <c r="C39" s="78">
        <v>5.23</v>
      </c>
      <c r="D39" s="78"/>
      <c r="E39" s="77"/>
      <c r="F39" s="88">
        <f>PRODUCT(B39:E39)</f>
        <v>32.007600000000004</v>
      </c>
      <c r="G39" s="102">
        <f>F39</f>
        <v>32.007600000000004</v>
      </c>
      <c r="H39" s="77" t="s">
        <v>63</v>
      </c>
      <c r="I39" s="79">
        <f>G39*1.1</f>
        <v>35.208360000000006</v>
      </c>
      <c r="J39" s="128">
        <f>I39</f>
        <v>35.208360000000006</v>
      </c>
      <c r="K39" s="80"/>
      <c r="L39" s="80"/>
    </row>
    <row r="40" spans="1:12" ht="15">
      <c r="A40" s="87"/>
      <c r="B40" s="88"/>
      <c r="C40" s="78"/>
      <c r="D40" s="78"/>
      <c r="E40" s="77"/>
      <c r="F40" s="88"/>
      <c r="G40" s="91"/>
      <c r="H40" s="91"/>
      <c r="I40" s="79"/>
      <c r="J40" s="103">
        <f>SUM(J36:J38)</f>
        <v>221.24245000000002</v>
      </c>
      <c r="K40" s="80"/>
      <c r="L40" s="80"/>
    </row>
    <row r="41" spans="1:12" ht="15">
      <c r="A41" s="87"/>
      <c r="B41" s="88"/>
      <c r="C41" s="78"/>
      <c r="D41" s="78"/>
      <c r="E41" s="77"/>
      <c r="F41" s="76"/>
      <c r="G41" s="77"/>
      <c r="H41" s="77"/>
      <c r="I41" s="79"/>
      <c r="J41" s="79"/>
      <c r="K41" s="80"/>
      <c r="L41" s="80"/>
    </row>
    <row r="42" spans="1:12" ht="15">
      <c r="A42" s="899"/>
      <c r="B42" s="900"/>
      <c r="C42" s="900"/>
      <c r="D42" s="900"/>
      <c r="E42" s="900"/>
      <c r="F42" s="900"/>
      <c r="G42" s="900"/>
      <c r="H42" s="900"/>
      <c r="I42" s="900"/>
      <c r="J42" s="901"/>
      <c r="L42" s="80"/>
    </row>
    <row r="43" spans="1:12" ht="15">
      <c r="A43" s="917" t="s">
        <v>73</v>
      </c>
      <c r="B43" s="918"/>
      <c r="C43" s="918"/>
      <c r="D43" s="918"/>
      <c r="E43" s="918"/>
      <c r="F43" s="918"/>
      <c r="G43" s="918"/>
      <c r="H43" s="918"/>
      <c r="I43" s="918"/>
      <c r="J43" s="919"/>
      <c r="L43" s="80"/>
    </row>
    <row r="44" spans="1:12" ht="15">
      <c r="A44" s="920" t="s">
        <v>74</v>
      </c>
      <c r="B44" s="921"/>
      <c r="C44" s="921"/>
      <c r="D44" s="921"/>
      <c r="E44" s="921"/>
      <c r="F44" s="922"/>
      <c r="G44" s="73"/>
      <c r="H44" s="74"/>
      <c r="I44" s="73"/>
      <c r="J44" s="73"/>
    </row>
    <row r="45" spans="1:12" ht="15">
      <c r="A45" s="75"/>
      <c r="B45" s="82"/>
      <c r="C45" s="99"/>
      <c r="D45" s="104"/>
      <c r="E45" s="105"/>
      <c r="F45" s="82"/>
      <c r="G45" s="106"/>
      <c r="H45" s="100"/>
      <c r="I45" s="79"/>
      <c r="J45" s="101"/>
      <c r="L45" s="107"/>
    </row>
    <row r="46" spans="1:12" s="71" customFormat="1" ht="30" customHeight="1">
      <c r="A46" s="87"/>
      <c r="B46" s="108"/>
      <c r="C46" s="109"/>
      <c r="D46" s="104"/>
      <c r="E46" s="105"/>
      <c r="F46" s="110"/>
      <c r="G46" s="111"/>
      <c r="H46" s="77"/>
      <c r="I46" s="112"/>
      <c r="J46" s="112"/>
    </row>
    <row r="47" spans="1:12" ht="15">
      <c r="A47" s="920" t="s">
        <v>75</v>
      </c>
      <c r="B47" s="921"/>
      <c r="C47" s="921"/>
      <c r="D47" s="921"/>
      <c r="E47" s="921"/>
      <c r="F47" s="922"/>
      <c r="G47" s="73"/>
      <c r="H47" s="74"/>
      <c r="I47" s="73"/>
      <c r="J47" s="73"/>
    </row>
    <row r="48" spans="1:12" ht="15">
      <c r="A48" s="917" t="s">
        <v>741</v>
      </c>
      <c r="B48" s="918"/>
      <c r="C48" s="918"/>
      <c r="D48" s="918"/>
      <c r="E48" s="918"/>
      <c r="F48" s="918"/>
      <c r="G48" s="918"/>
      <c r="H48" s="918"/>
      <c r="I48" s="918"/>
      <c r="J48" s="919"/>
      <c r="L48" s="80"/>
    </row>
    <row r="49" spans="1:12" ht="15">
      <c r="A49" s="98"/>
      <c r="B49" s="76"/>
      <c r="C49" s="78"/>
      <c r="D49" s="78"/>
      <c r="E49" s="77"/>
      <c r="F49" s="76"/>
      <c r="G49" s="77"/>
      <c r="H49" s="77"/>
      <c r="I49" s="79"/>
      <c r="J49" s="79"/>
      <c r="L49" s="80"/>
    </row>
    <row r="50" spans="1:12" ht="15">
      <c r="A50" s="87" t="s">
        <v>476</v>
      </c>
      <c r="B50" s="88">
        <v>38.35</v>
      </c>
      <c r="C50" s="78">
        <v>4.9000000000000004</v>
      </c>
      <c r="D50" s="78"/>
      <c r="E50" s="77"/>
      <c r="F50" s="88">
        <f>PRODUCT(B50:E50)</f>
        <v>187.91500000000002</v>
      </c>
      <c r="G50" s="102">
        <f>F50</f>
        <v>187.91500000000002</v>
      </c>
      <c r="H50" s="77" t="s">
        <v>63</v>
      </c>
      <c r="I50" s="79">
        <f>G50*1.1</f>
        <v>206.70650000000003</v>
      </c>
      <c r="J50" s="103">
        <f>I50</f>
        <v>206.70650000000003</v>
      </c>
      <c r="L50" s="80"/>
    </row>
    <row r="51" spans="1:12" ht="15">
      <c r="A51" s="87" t="s">
        <v>77</v>
      </c>
      <c r="B51" s="88">
        <v>38.35</v>
      </c>
      <c r="C51" s="78">
        <v>3.75</v>
      </c>
      <c r="D51" s="78"/>
      <c r="E51" s="77"/>
      <c r="F51" s="88">
        <f>PRODUCT(B51:E51)</f>
        <v>143.8125</v>
      </c>
      <c r="G51" s="102">
        <f>F51</f>
        <v>143.8125</v>
      </c>
      <c r="H51" s="77" t="s">
        <v>63</v>
      </c>
      <c r="I51" s="79">
        <f>G51*1.1</f>
        <v>158.19375000000002</v>
      </c>
      <c r="J51" s="103">
        <f>I51</f>
        <v>158.19375000000002</v>
      </c>
      <c r="L51" s="80"/>
    </row>
    <row r="52" spans="1:12" ht="15">
      <c r="A52" s="87" t="s">
        <v>117</v>
      </c>
      <c r="B52" s="88">
        <v>38.35</v>
      </c>
      <c r="C52" s="78">
        <v>0.14000000000000001</v>
      </c>
      <c r="D52" s="78"/>
      <c r="E52" s="77"/>
      <c r="F52" s="88">
        <f>PRODUCT(B52:E52)</f>
        <v>5.3690000000000007</v>
      </c>
      <c r="G52" s="102">
        <f t="shared" ref="G52:G57" si="3">F52</f>
        <v>5.3690000000000007</v>
      </c>
      <c r="H52" s="77" t="s">
        <v>63</v>
      </c>
      <c r="I52" s="79">
        <f>G52*1.1</f>
        <v>5.9059000000000008</v>
      </c>
      <c r="J52" s="103">
        <f t="shared" ref="J52:J57" si="4">I52</f>
        <v>5.9059000000000008</v>
      </c>
      <c r="L52" s="80"/>
    </row>
    <row r="53" spans="1:12" ht="15">
      <c r="A53" s="87" t="s">
        <v>602</v>
      </c>
      <c r="B53" s="88">
        <v>38.35</v>
      </c>
      <c r="C53" s="78">
        <v>0.5</v>
      </c>
      <c r="D53" s="78"/>
      <c r="E53" s="77"/>
      <c r="F53" s="88">
        <f>PRODUCT(B53:E53)</f>
        <v>19.175000000000001</v>
      </c>
      <c r="G53" s="102">
        <f t="shared" si="3"/>
        <v>19.175000000000001</v>
      </c>
      <c r="H53" s="77" t="s">
        <v>63</v>
      </c>
      <c r="I53" s="79">
        <f>G53*1.1</f>
        <v>21.092500000000001</v>
      </c>
      <c r="J53" s="103">
        <f t="shared" si="4"/>
        <v>21.092500000000001</v>
      </c>
      <c r="L53" s="80"/>
    </row>
    <row r="54" spans="1:12" ht="15">
      <c r="A54" s="87" t="s">
        <v>612</v>
      </c>
      <c r="B54" s="88">
        <v>38.35</v>
      </c>
      <c r="C54" s="78">
        <v>1.52</v>
      </c>
      <c r="D54" s="78"/>
      <c r="E54" s="77"/>
      <c r="F54" s="88">
        <f>PRODUCT(B54:E54)</f>
        <v>58.292000000000002</v>
      </c>
      <c r="G54" s="102">
        <f t="shared" si="3"/>
        <v>58.292000000000002</v>
      </c>
      <c r="H54" s="77" t="s">
        <v>63</v>
      </c>
      <c r="I54" s="79">
        <f>G54*1.1</f>
        <v>64.121200000000002</v>
      </c>
      <c r="J54" s="103">
        <f t="shared" si="4"/>
        <v>64.121200000000002</v>
      </c>
      <c r="L54" s="80"/>
    </row>
    <row r="55" spans="1:12" ht="15">
      <c r="A55" s="87"/>
      <c r="B55" s="88"/>
      <c r="C55" s="78"/>
      <c r="D55" s="78"/>
      <c r="E55" s="77"/>
      <c r="F55" s="88"/>
      <c r="G55" s="102"/>
      <c r="H55" s="77"/>
      <c r="I55" s="79"/>
      <c r="J55" s="101"/>
      <c r="L55" s="80"/>
    </row>
    <row r="56" spans="1:12" ht="15">
      <c r="A56" s="87" t="s">
        <v>82</v>
      </c>
      <c r="B56" s="88">
        <f>B54</f>
        <v>38.35</v>
      </c>
      <c r="C56" s="78">
        <v>0.3</v>
      </c>
      <c r="D56" s="78">
        <v>2</v>
      </c>
      <c r="E56" s="77"/>
      <c r="F56" s="88">
        <f>PRODUCT(B56:E56)</f>
        <v>23.01</v>
      </c>
      <c r="G56" s="102">
        <f t="shared" si="3"/>
        <v>23.01</v>
      </c>
      <c r="H56" s="77" t="s">
        <v>63</v>
      </c>
      <c r="I56" s="79">
        <f>G56*1.1</f>
        <v>25.311000000000003</v>
      </c>
      <c r="J56" s="128">
        <f t="shared" si="4"/>
        <v>25.311000000000003</v>
      </c>
      <c r="L56" s="80"/>
    </row>
    <row r="57" spans="1:12" ht="15">
      <c r="A57" s="87"/>
      <c r="B57" s="88">
        <v>2.8</v>
      </c>
      <c r="C57" s="78">
        <v>0.3</v>
      </c>
      <c r="D57" s="78">
        <v>2</v>
      </c>
      <c r="E57" s="77"/>
      <c r="F57" s="88">
        <f>PRODUCT(B57:E57)</f>
        <v>1.68</v>
      </c>
      <c r="G57" s="102">
        <f t="shared" si="3"/>
        <v>1.68</v>
      </c>
      <c r="H57" s="77" t="s">
        <v>63</v>
      </c>
      <c r="I57" s="79">
        <f>G57*1.1</f>
        <v>1.8480000000000001</v>
      </c>
      <c r="J57" s="128">
        <f t="shared" si="4"/>
        <v>1.8480000000000001</v>
      </c>
      <c r="L57" s="80"/>
    </row>
    <row r="58" spans="1:12" ht="15">
      <c r="A58" s="87"/>
      <c r="B58" s="88"/>
      <c r="C58" s="78"/>
      <c r="D58" s="78"/>
      <c r="E58" s="77"/>
      <c r="F58" s="88"/>
      <c r="G58" s="102"/>
      <c r="H58" s="77"/>
      <c r="I58" s="79"/>
      <c r="J58" s="103">
        <f>SUM(J56:J57)</f>
        <v>27.159000000000002</v>
      </c>
      <c r="L58" s="80"/>
    </row>
    <row r="59" spans="1:12" ht="15">
      <c r="A59" s="87"/>
      <c r="B59" s="88"/>
      <c r="C59" s="78"/>
      <c r="D59" s="78"/>
      <c r="E59" s="77"/>
      <c r="F59" s="88"/>
      <c r="G59" s="102"/>
      <c r="H59" s="77"/>
      <c r="I59" s="79"/>
      <c r="J59" s="101"/>
      <c r="L59" s="80"/>
    </row>
    <row r="60" spans="1:12" ht="15">
      <c r="A60" s="87" t="s">
        <v>81</v>
      </c>
      <c r="B60" s="88">
        <f>B56</f>
        <v>38.35</v>
      </c>
      <c r="C60" s="78">
        <f>0.617</f>
        <v>0.61699999999999999</v>
      </c>
      <c r="D60" s="78"/>
      <c r="E60" s="131">
        <f>ROUNDUP(3.2/0.25,0)+1</f>
        <v>14</v>
      </c>
      <c r="F60" s="88">
        <f>PRODUCT(B60:E60)</f>
        <v>331.26730000000003</v>
      </c>
      <c r="G60" s="102">
        <f>F60</f>
        <v>331.26730000000003</v>
      </c>
      <c r="H60" s="77" t="s">
        <v>43</v>
      </c>
      <c r="I60" s="79">
        <f>G60*1.1</f>
        <v>364.39403000000004</v>
      </c>
      <c r="J60" s="128">
        <f>I60</f>
        <v>364.39403000000004</v>
      </c>
      <c r="L60" s="80"/>
    </row>
    <row r="61" spans="1:12" ht="15">
      <c r="A61" s="87"/>
      <c r="B61" s="88">
        <f>0.01*50</f>
        <v>0.5</v>
      </c>
      <c r="C61" s="78">
        <f>0.617</f>
        <v>0.61699999999999999</v>
      </c>
      <c r="D61" s="78"/>
      <c r="E61" s="131">
        <f>(B60*E60)/6</f>
        <v>89.483333333333334</v>
      </c>
      <c r="F61" s="88">
        <f>PRODUCT(B61:E61)</f>
        <v>27.605608333333333</v>
      </c>
      <c r="G61" s="102">
        <f>F61</f>
        <v>27.605608333333333</v>
      </c>
      <c r="H61" s="77" t="s">
        <v>43</v>
      </c>
      <c r="I61" s="79">
        <f>G61*1.1</f>
        <v>30.366169166666669</v>
      </c>
      <c r="J61" s="128">
        <f>I61</f>
        <v>30.366169166666669</v>
      </c>
      <c r="L61" s="80"/>
    </row>
    <row r="62" spans="1:12" ht="15">
      <c r="A62" s="87"/>
      <c r="B62" s="88"/>
      <c r="C62" s="78"/>
      <c r="D62" s="78"/>
      <c r="E62" s="77"/>
      <c r="F62" s="88"/>
      <c r="G62" s="102"/>
      <c r="H62" s="77"/>
      <c r="I62" s="79"/>
      <c r="J62" s="128"/>
      <c r="L62" s="80"/>
    </row>
    <row r="63" spans="1:12" ht="15">
      <c r="A63" s="87"/>
      <c r="B63" s="88">
        <v>3.1</v>
      </c>
      <c r="C63" s="78">
        <f>0.617</f>
        <v>0.61699999999999999</v>
      </c>
      <c r="D63" s="78"/>
      <c r="E63" s="131">
        <f>ROUNDUP(B60/0.2,0)+1</f>
        <v>193</v>
      </c>
      <c r="F63" s="88">
        <f>PRODUCT(B63:E63)</f>
        <v>369.15109999999999</v>
      </c>
      <c r="G63" s="102">
        <f>F63</f>
        <v>369.15109999999999</v>
      </c>
      <c r="H63" s="77" t="s">
        <v>43</v>
      </c>
      <c r="I63" s="79">
        <f>G63*1.1</f>
        <v>406.06621000000001</v>
      </c>
      <c r="J63" s="128">
        <f>I63</f>
        <v>406.06621000000001</v>
      </c>
      <c r="L63" s="80"/>
    </row>
    <row r="64" spans="1:12" ht="15">
      <c r="A64" s="87"/>
      <c r="B64" s="88">
        <f>B61</f>
        <v>0.5</v>
      </c>
      <c r="C64" s="78">
        <f>0.617</f>
        <v>0.61699999999999999</v>
      </c>
      <c r="D64" s="78"/>
      <c r="E64" s="131">
        <f>(B63*E63)/6</f>
        <v>99.716666666666683</v>
      </c>
      <c r="F64" s="88">
        <f>PRODUCT(B64:E64)</f>
        <v>30.762591666666673</v>
      </c>
      <c r="G64" s="102">
        <f>F64</f>
        <v>30.762591666666673</v>
      </c>
      <c r="H64" s="77" t="s">
        <v>43</v>
      </c>
      <c r="I64" s="79">
        <f>G64*1.1</f>
        <v>33.838850833333339</v>
      </c>
      <c r="J64" s="128">
        <f>I64</f>
        <v>33.838850833333339</v>
      </c>
      <c r="L64" s="80"/>
    </row>
    <row r="65" spans="1:12" ht="15">
      <c r="A65" s="87"/>
      <c r="B65" s="88"/>
      <c r="C65" s="78"/>
      <c r="D65" s="78"/>
      <c r="E65" s="77"/>
      <c r="F65" s="88"/>
      <c r="G65" s="102"/>
      <c r="H65" s="77"/>
      <c r="I65" s="79"/>
      <c r="J65" s="103">
        <f>SUM(J60:J64)</f>
        <v>834.6652600000001</v>
      </c>
      <c r="L65" s="80"/>
    </row>
    <row r="66" spans="1:12" ht="15">
      <c r="A66" s="87"/>
      <c r="B66" s="88"/>
      <c r="C66" s="78"/>
      <c r="D66" s="78"/>
      <c r="E66" s="77"/>
      <c r="F66" s="88"/>
      <c r="G66" s="102"/>
      <c r="H66" s="77"/>
      <c r="I66" s="79"/>
      <c r="J66" s="79"/>
      <c r="L66" s="80"/>
    </row>
    <row r="67" spans="1:12" ht="15">
      <c r="A67" s="87" t="s">
        <v>742</v>
      </c>
      <c r="B67" s="88">
        <v>4.9000000000000004</v>
      </c>
      <c r="C67" s="78"/>
      <c r="D67" s="78"/>
      <c r="E67" s="79">
        <f>ROUNDUP(B60/1.5,0)+1</f>
        <v>27</v>
      </c>
      <c r="F67" s="88"/>
      <c r="G67" s="102"/>
      <c r="H67" s="77"/>
      <c r="I67" s="79">
        <f>E67*1.1</f>
        <v>29.700000000000003</v>
      </c>
      <c r="J67" s="103">
        <f>I67</f>
        <v>29.700000000000003</v>
      </c>
      <c r="L67" s="80"/>
    </row>
    <row r="68" spans="1:12" ht="15">
      <c r="A68" s="87"/>
      <c r="B68" s="88"/>
      <c r="C68" s="78"/>
      <c r="D68" s="78"/>
      <c r="E68" s="77"/>
      <c r="F68" s="88"/>
      <c r="G68" s="102"/>
      <c r="H68" s="77"/>
      <c r="I68" s="79"/>
      <c r="J68" s="79"/>
      <c r="L68" s="80"/>
    </row>
    <row r="69" spans="1:12" ht="15">
      <c r="A69" s="87"/>
      <c r="B69" s="88"/>
      <c r="C69" s="78"/>
      <c r="D69" s="78"/>
      <c r="E69" s="77"/>
      <c r="F69" s="88"/>
      <c r="G69" s="102"/>
      <c r="H69" s="77"/>
      <c r="I69" s="79"/>
      <c r="J69" s="79"/>
      <c r="L69" s="80"/>
    </row>
    <row r="70" spans="1:12" ht="15">
      <c r="A70" s="87"/>
      <c r="B70" s="88"/>
      <c r="C70" s="78"/>
      <c r="D70" s="78"/>
      <c r="E70" s="77"/>
      <c r="F70" s="88"/>
      <c r="G70" s="102"/>
      <c r="H70" s="77"/>
      <c r="I70" s="79"/>
      <c r="J70" s="79"/>
      <c r="L70" s="80"/>
    </row>
    <row r="71" spans="1:12" ht="15">
      <c r="A71" s="87"/>
      <c r="B71" s="88"/>
      <c r="C71" s="78"/>
      <c r="D71" s="78"/>
      <c r="E71" s="77"/>
      <c r="F71" s="88"/>
      <c r="G71" s="102"/>
      <c r="H71" s="77"/>
      <c r="I71" s="79"/>
      <c r="J71" s="79"/>
      <c r="L71" s="80"/>
    </row>
    <row r="72" spans="1:12" ht="30">
      <c r="A72" s="114"/>
      <c r="B72" s="115" t="s">
        <v>78</v>
      </c>
      <c r="C72" s="115" t="s">
        <v>55</v>
      </c>
      <c r="D72" s="115" t="s">
        <v>1</v>
      </c>
      <c r="E72" s="116" t="s">
        <v>79</v>
      </c>
      <c r="F72" s="115" t="s">
        <v>80</v>
      </c>
      <c r="G72" s="115"/>
      <c r="H72" s="115"/>
      <c r="I72" s="115"/>
      <c r="J72" s="115"/>
      <c r="L72" s="107"/>
    </row>
    <row r="73" spans="1:12" ht="15">
      <c r="A73" s="920" t="s">
        <v>81</v>
      </c>
      <c r="B73" s="921"/>
      <c r="C73" s="921"/>
      <c r="D73" s="921"/>
      <c r="E73" s="921"/>
      <c r="F73" s="922"/>
      <c r="G73" s="73"/>
      <c r="H73" s="74"/>
      <c r="I73" s="73"/>
      <c r="J73" s="73"/>
    </row>
    <row r="74" spans="1:12" ht="15">
      <c r="A74" s="117"/>
      <c r="B74" s="99"/>
      <c r="C74" s="100"/>
      <c r="D74" s="99"/>
      <c r="E74" s="100"/>
      <c r="F74" s="82"/>
      <c r="G74" s="104"/>
      <c r="H74" s="100"/>
      <c r="I74" s="104"/>
      <c r="J74" s="93"/>
      <c r="L74" s="107"/>
    </row>
    <row r="75" spans="1:12" ht="15">
      <c r="A75" s="117"/>
      <c r="B75" s="99"/>
      <c r="C75" s="100"/>
      <c r="D75" s="99"/>
      <c r="E75" s="100"/>
      <c r="F75" s="82"/>
      <c r="G75" s="104"/>
      <c r="H75" s="100"/>
      <c r="I75" s="104"/>
      <c r="J75" s="93"/>
      <c r="L75" s="107"/>
    </row>
    <row r="76" spans="1:12" ht="15">
      <c r="A76" s="920" t="s">
        <v>82</v>
      </c>
      <c r="B76" s="921"/>
      <c r="C76" s="921"/>
      <c r="D76" s="921"/>
      <c r="E76" s="921"/>
      <c r="F76" s="922"/>
      <c r="G76" s="73"/>
      <c r="H76" s="74"/>
      <c r="I76" s="73"/>
      <c r="J76" s="73"/>
    </row>
    <row r="77" spans="1:12" ht="15">
      <c r="A77" s="75"/>
      <c r="B77" s="82"/>
      <c r="C77" s="100"/>
      <c r="D77" s="99"/>
      <c r="E77" s="100"/>
      <c r="F77" s="82"/>
      <c r="G77" s="92"/>
      <c r="H77" s="100"/>
      <c r="I77" s="92"/>
      <c r="J77" s="93"/>
      <c r="L77" s="80"/>
    </row>
    <row r="78" spans="1:12" ht="15">
      <c r="A78" s="75"/>
      <c r="B78" s="82"/>
      <c r="C78" s="100"/>
      <c r="D78" s="99"/>
      <c r="E78" s="100"/>
      <c r="F78" s="82"/>
      <c r="G78" s="92"/>
      <c r="H78" s="100"/>
      <c r="I78" s="92"/>
      <c r="J78" s="93"/>
      <c r="L78" s="80"/>
    </row>
    <row r="79" spans="1:12" ht="24.9" customHeight="1">
      <c r="A79" s="920" t="s">
        <v>83</v>
      </c>
      <c r="B79" s="921"/>
      <c r="C79" s="921"/>
      <c r="D79" s="921"/>
      <c r="E79" s="921"/>
      <c r="F79" s="922"/>
      <c r="G79" s="73"/>
      <c r="H79" s="74"/>
      <c r="I79" s="73"/>
      <c r="J79" s="73"/>
    </row>
    <row r="80" spans="1:12" ht="15">
      <c r="A80" s="75"/>
      <c r="B80" s="118"/>
      <c r="C80" s="104"/>
      <c r="D80" s="104"/>
      <c r="E80" s="118"/>
      <c r="F80" s="82"/>
      <c r="G80" s="100"/>
      <c r="H80" s="100"/>
      <c r="I80" s="92"/>
      <c r="J80" s="101"/>
    </row>
    <row r="81" spans="1:12" ht="15">
      <c r="A81" s="75"/>
      <c r="B81" s="118"/>
      <c r="C81" s="104"/>
      <c r="D81" s="104"/>
      <c r="E81" s="118"/>
      <c r="F81" s="82"/>
      <c r="G81" s="100"/>
      <c r="H81" s="100"/>
      <c r="I81" s="92"/>
      <c r="J81" s="101"/>
      <c r="L81" s="80"/>
    </row>
    <row r="82" spans="1:12" ht="15">
      <c r="A82" s="917" t="s">
        <v>84</v>
      </c>
      <c r="B82" s="918"/>
      <c r="C82" s="918"/>
      <c r="D82" s="918"/>
      <c r="E82" s="918"/>
      <c r="F82" s="918"/>
      <c r="G82" s="918"/>
      <c r="H82" s="918"/>
      <c r="I82" s="918"/>
      <c r="J82" s="919"/>
      <c r="L82" s="107"/>
    </row>
    <row r="83" spans="1:12" ht="24.9" customHeight="1">
      <c r="A83" s="920"/>
      <c r="B83" s="921"/>
      <c r="C83" s="921"/>
      <c r="D83" s="921"/>
      <c r="E83" s="921"/>
      <c r="F83" s="922"/>
      <c r="G83" s="73"/>
      <c r="H83" s="74"/>
      <c r="I83" s="73"/>
      <c r="J83" s="73"/>
    </row>
    <row r="84" spans="1:12" ht="15">
      <c r="A84" s="75"/>
      <c r="B84" s="118"/>
      <c r="C84" s="100"/>
      <c r="D84" s="99"/>
      <c r="E84" s="100"/>
      <c r="F84" s="82"/>
      <c r="G84" s="100"/>
      <c r="H84" s="100"/>
      <c r="I84" s="92"/>
      <c r="J84" s="79"/>
      <c r="L84" s="80"/>
    </row>
    <row r="85" spans="1:12" ht="15">
      <c r="A85" s="119"/>
      <c r="B85" s="120"/>
      <c r="C85" s="121"/>
      <c r="D85" s="122"/>
      <c r="E85" s="121"/>
      <c r="F85" s="123"/>
      <c r="G85" s="121"/>
      <c r="H85" s="121"/>
      <c r="I85" s="124"/>
      <c r="J85" s="124"/>
      <c r="L85" s="80"/>
    </row>
    <row r="86" spans="1:12" ht="15">
      <c r="A86" s="923" t="s">
        <v>85</v>
      </c>
      <c r="B86" s="924"/>
      <c r="C86" s="924"/>
      <c r="D86" s="924"/>
      <c r="E86" s="924"/>
      <c r="F86" s="924"/>
      <c r="G86" s="924"/>
      <c r="H86" s="924"/>
      <c r="I86" s="924"/>
      <c r="J86" s="925"/>
      <c r="L86" s="80"/>
    </row>
    <row r="87" spans="1:12" ht="15">
      <c r="A87" s="914" t="s">
        <v>86</v>
      </c>
      <c r="B87" s="915"/>
      <c r="C87" s="915"/>
      <c r="D87" s="915"/>
      <c r="E87" s="915"/>
      <c r="F87" s="915"/>
      <c r="G87" s="915"/>
      <c r="H87" s="915"/>
      <c r="I87" s="125"/>
      <c r="J87" s="255"/>
      <c r="L87" s="80"/>
    </row>
    <row r="88" spans="1:12" ht="15">
      <c r="A88" s="371" t="s">
        <v>87</v>
      </c>
      <c r="B88" s="82"/>
      <c r="C88" s="91"/>
      <c r="D88" s="78"/>
      <c r="E88" s="77"/>
      <c r="F88" s="76"/>
      <c r="G88" s="77"/>
      <c r="H88" s="77"/>
      <c r="I88" s="79"/>
      <c r="J88" s="101"/>
      <c r="L88" s="80"/>
    </row>
    <row r="89" spans="1:12" ht="15">
      <c r="A89" s="84" t="s">
        <v>737</v>
      </c>
      <c r="B89" s="82">
        <v>4.75</v>
      </c>
      <c r="C89" s="91">
        <v>13.73</v>
      </c>
      <c r="D89" s="78"/>
      <c r="E89" s="77"/>
      <c r="F89" s="76">
        <f>PRODUCT(B89:E89)</f>
        <v>65.217500000000001</v>
      </c>
      <c r="G89" s="77"/>
      <c r="H89" s="77" t="s">
        <v>5</v>
      </c>
      <c r="I89" s="79">
        <f>F89*1.1</f>
        <v>71.739250000000013</v>
      </c>
      <c r="J89" s="128">
        <f>I89</f>
        <v>71.739250000000013</v>
      </c>
      <c r="L89" s="80"/>
    </row>
    <row r="90" spans="1:12" ht="15">
      <c r="A90" s="84" t="s">
        <v>738</v>
      </c>
      <c r="B90" s="82">
        <v>11</v>
      </c>
      <c r="C90" s="91">
        <v>14.83</v>
      </c>
      <c r="D90" s="78"/>
      <c r="E90" s="77"/>
      <c r="F90" s="76">
        <f>PRODUCT(B90:E90)</f>
        <v>163.13</v>
      </c>
      <c r="G90" s="77"/>
      <c r="H90" s="77" t="s">
        <v>5</v>
      </c>
      <c r="I90" s="79">
        <f>F90*1.1</f>
        <v>179.44300000000001</v>
      </c>
      <c r="J90" s="128">
        <f>I90</f>
        <v>179.44300000000001</v>
      </c>
      <c r="L90" s="80"/>
    </row>
    <row r="91" spans="1:12" ht="15">
      <c r="A91" s="84" t="s">
        <v>739</v>
      </c>
      <c r="B91" s="82">
        <v>14.3</v>
      </c>
      <c r="C91" s="91">
        <v>14.465</v>
      </c>
      <c r="D91" s="78"/>
      <c r="E91" s="77"/>
      <c r="F91" s="76">
        <f>PRODUCT(B91:E91)</f>
        <v>206.84950000000001</v>
      </c>
      <c r="G91" s="77"/>
      <c r="H91" s="77" t="s">
        <v>5</v>
      </c>
      <c r="I91" s="79">
        <f>F91*1.1</f>
        <v>227.53445000000002</v>
      </c>
      <c r="J91" s="128">
        <f>I91</f>
        <v>227.53445000000002</v>
      </c>
      <c r="L91" s="80"/>
    </row>
    <row r="92" spans="1:12" ht="15">
      <c r="A92" s="84" t="s">
        <v>598</v>
      </c>
      <c r="B92" s="82">
        <v>6.12</v>
      </c>
      <c r="C92" s="91">
        <v>13</v>
      </c>
      <c r="D92" s="78"/>
      <c r="E92" s="77"/>
      <c r="F92" s="76">
        <f>PRODUCT(B92:E92)</f>
        <v>79.56</v>
      </c>
      <c r="G92" s="77"/>
      <c r="H92" s="77" t="s">
        <v>5</v>
      </c>
      <c r="I92" s="79">
        <f>F92*1.1</f>
        <v>87.516000000000005</v>
      </c>
      <c r="J92" s="128">
        <f>I92</f>
        <v>87.516000000000005</v>
      </c>
      <c r="L92" s="80"/>
    </row>
    <row r="93" spans="1:12" ht="15">
      <c r="A93" s="371"/>
      <c r="B93" s="82"/>
      <c r="C93" s="91"/>
      <c r="D93" s="78"/>
      <c r="E93" s="77"/>
      <c r="F93" s="76"/>
      <c r="G93" s="77"/>
      <c r="H93" s="77"/>
      <c r="I93" s="79"/>
      <c r="J93" s="103">
        <f>SUM(J89:J92)</f>
        <v>566.23270000000002</v>
      </c>
      <c r="L93" s="80"/>
    </row>
    <row r="94" spans="1:12" ht="15">
      <c r="A94" s="84"/>
      <c r="B94" s="82"/>
      <c r="C94" s="91"/>
      <c r="D94" s="99"/>
      <c r="E94" s="100"/>
      <c r="F94" s="82"/>
      <c r="G94" s="100"/>
      <c r="H94" s="100"/>
      <c r="I94" s="79"/>
      <c r="J94" s="79"/>
      <c r="L94" s="80"/>
    </row>
    <row r="95" spans="1:12" ht="15">
      <c r="A95" s="371" t="s">
        <v>88</v>
      </c>
      <c r="B95" s="88"/>
      <c r="C95" s="91"/>
      <c r="D95" s="90"/>
      <c r="E95" s="91"/>
      <c r="F95" s="82"/>
      <c r="G95" s="91"/>
      <c r="H95" s="91"/>
      <c r="I95" s="79"/>
      <c r="J95" s="79"/>
      <c r="L95" s="80"/>
    </row>
    <row r="96" spans="1:12" ht="15">
      <c r="A96" s="84"/>
      <c r="B96" s="88"/>
      <c r="C96" s="91"/>
      <c r="D96" s="90"/>
      <c r="E96" s="91"/>
      <c r="F96" s="88"/>
      <c r="G96" s="91"/>
      <c r="H96" s="129"/>
      <c r="I96" s="79"/>
      <c r="J96" s="79"/>
      <c r="L96" s="80"/>
    </row>
    <row r="97" spans="1:12" ht="15">
      <c r="A97" s="84" t="s">
        <v>89</v>
      </c>
      <c r="B97" s="88"/>
      <c r="C97" s="91"/>
      <c r="D97" s="90"/>
      <c r="E97" s="91"/>
      <c r="F97" s="88"/>
      <c r="G97" s="91"/>
      <c r="H97" s="129"/>
      <c r="I97" s="79"/>
      <c r="J97" s="79"/>
      <c r="L97" s="80"/>
    </row>
    <row r="98" spans="1:12" ht="15">
      <c r="A98" s="84"/>
      <c r="B98" s="88"/>
      <c r="C98" s="91"/>
      <c r="D98" s="90"/>
      <c r="E98" s="91"/>
      <c r="F98" s="88"/>
      <c r="G98" s="91"/>
      <c r="H98" s="77"/>
      <c r="I98" s="79"/>
      <c r="J98" s="79"/>
      <c r="L98" s="80"/>
    </row>
    <row r="99" spans="1:12" ht="15">
      <c r="A99" s="84"/>
      <c r="B99" s="88"/>
      <c r="C99" s="91"/>
      <c r="D99" s="90"/>
      <c r="E99" s="91"/>
      <c r="F99" s="88"/>
      <c r="G99" s="91"/>
      <c r="H99" s="77"/>
      <c r="I99" s="79"/>
      <c r="J99" s="79"/>
      <c r="L99" s="80"/>
    </row>
    <row r="100" spans="1:12" ht="15">
      <c r="A100" s="914" t="s">
        <v>483</v>
      </c>
      <c r="B100" s="915"/>
      <c r="C100" s="915"/>
      <c r="D100" s="915"/>
      <c r="E100" s="915"/>
      <c r="F100" s="915"/>
      <c r="G100" s="915"/>
      <c r="H100" s="915"/>
      <c r="I100" s="915"/>
      <c r="J100" s="916"/>
      <c r="L100" s="80"/>
    </row>
    <row r="101" spans="1:12" ht="15">
      <c r="A101" s="130"/>
      <c r="B101" s="131"/>
      <c r="C101" s="77"/>
      <c r="D101" s="78"/>
      <c r="E101" s="77"/>
      <c r="F101" s="76"/>
      <c r="G101" s="77"/>
      <c r="H101" s="77"/>
      <c r="I101" s="79"/>
      <c r="J101" s="79"/>
      <c r="L101" s="80"/>
    </row>
    <row r="102" spans="1:12" ht="13.5" customHeight="1">
      <c r="A102" s="372" t="s">
        <v>743</v>
      </c>
      <c r="B102" s="131">
        <v>15</v>
      </c>
      <c r="C102" s="77"/>
      <c r="D102" s="78"/>
      <c r="E102" s="77">
        <v>6</v>
      </c>
      <c r="F102" s="76">
        <f>PRODUCT(B102:E102)</f>
        <v>90</v>
      </c>
      <c r="G102" s="77"/>
      <c r="H102" s="77" t="s">
        <v>5</v>
      </c>
      <c r="I102" s="79"/>
      <c r="J102" s="128">
        <f>F102</f>
        <v>90</v>
      </c>
      <c r="L102" s="80"/>
    </row>
    <row r="103" spans="1:12" ht="15">
      <c r="A103" s="372"/>
      <c r="B103" s="89"/>
      <c r="C103" s="91"/>
      <c r="D103" s="90"/>
      <c r="E103" s="91"/>
      <c r="F103" s="88"/>
      <c r="G103" s="91"/>
      <c r="H103" s="91"/>
      <c r="I103" s="102"/>
      <c r="J103" s="138">
        <f>SUM(J102:J102)</f>
        <v>90</v>
      </c>
      <c r="L103" s="80"/>
    </row>
    <row r="104" spans="1:12" ht="15">
      <c r="A104" s="372"/>
      <c r="B104" s="89"/>
      <c r="C104" s="91"/>
      <c r="D104" s="90"/>
      <c r="E104" s="91"/>
      <c r="F104" s="88"/>
      <c r="G104" s="91"/>
      <c r="H104" s="91"/>
      <c r="I104" s="102"/>
      <c r="J104" s="134"/>
      <c r="L104" s="80"/>
    </row>
    <row r="105" spans="1:12" ht="15">
      <c r="A105" s="914" t="s">
        <v>91</v>
      </c>
      <c r="B105" s="915"/>
      <c r="C105" s="915"/>
      <c r="D105" s="915"/>
      <c r="E105" s="915"/>
      <c r="F105" s="915"/>
      <c r="G105" s="915"/>
      <c r="H105" s="915"/>
      <c r="I105" s="915"/>
      <c r="J105" s="916"/>
      <c r="L105" s="80"/>
    </row>
    <row r="106" spans="1:12" ht="15">
      <c r="A106" s="130" t="s">
        <v>6</v>
      </c>
      <c r="B106" s="131">
        <v>239.69</v>
      </c>
      <c r="C106" s="77"/>
      <c r="D106" s="78"/>
      <c r="E106" s="77"/>
      <c r="F106" s="76">
        <f>PRODUCT(B106:E106)</f>
        <v>239.69</v>
      </c>
      <c r="G106" s="79">
        <f>F106</f>
        <v>239.69</v>
      </c>
      <c r="H106" s="77" t="s">
        <v>5</v>
      </c>
      <c r="I106" s="79">
        <f>G106*1.1</f>
        <v>263.65899999999999</v>
      </c>
      <c r="J106" s="128">
        <f>I106*1.1</f>
        <v>290.0249</v>
      </c>
      <c r="L106" s="80"/>
    </row>
    <row r="107" spans="1:12" ht="15">
      <c r="A107" s="130" t="s">
        <v>7</v>
      </c>
      <c r="B107" s="131">
        <v>212.5</v>
      </c>
      <c r="C107" s="77"/>
      <c r="D107" s="78"/>
      <c r="E107" s="77"/>
      <c r="F107" s="76">
        <f>PRODUCT(B107:E107)</f>
        <v>212.5</v>
      </c>
      <c r="G107" s="79">
        <f>F107</f>
        <v>212.5</v>
      </c>
      <c r="H107" s="77" t="s">
        <v>5</v>
      </c>
      <c r="I107" s="79">
        <f>G107*1.1</f>
        <v>233.75000000000003</v>
      </c>
      <c r="J107" s="128">
        <f>I107*1.1</f>
        <v>257.12500000000006</v>
      </c>
      <c r="L107" s="80"/>
    </row>
    <row r="108" spans="1:12" ht="15">
      <c r="A108" s="84"/>
      <c r="B108" s="118"/>
      <c r="C108" s="100"/>
      <c r="D108" s="99"/>
      <c r="E108" s="100"/>
      <c r="F108" s="82"/>
      <c r="G108" s="100"/>
      <c r="H108" s="100"/>
      <c r="I108" s="92"/>
      <c r="J108" s="133">
        <f>SUM(J106:J107)</f>
        <v>547.14990000000012</v>
      </c>
      <c r="L108" s="80"/>
    </row>
    <row r="109" spans="1:12" ht="15">
      <c r="A109" s="84"/>
      <c r="B109" s="118"/>
      <c r="C109" s="100"/>
      <c r="D109" s="99"/>
      <c r="E109" s="100"/>
      <c r="F109" s="82"/>
      <c r="G109" s="100"/>
      <c r="H109" s="100"/>
      <c r="I109" s="92"/>
      <c r="J109" s="93"/>
      <c r="L109" s="80"/>
    </row>
    <row r="110" spans="1:12" ht="15">
      <c r="A110" s="920" t="s">
        <v>744</v>
      </c>
      <c r="B110" s="921"/>
      <c r="C110" s="921"/>
      <c r="D110" s="921"/>
      <c r="E110" s="921"/>
      <c r="F110" s="922"/>
      <c r="G110" s="73"/>
      <c r="H110" s="74"/>
      <c r="I110" s="73"/>
      <c r="J110" s="73"/>
      <c r="L110" s="80"/>
    </row>
    <row r="111" spans="1:12" ht="14.25" customHeight="1">
      <c r="A111" s="372" t="s">
        <v>745</v>
      </c>
      <c r="B111" s="89">
        <v>57</v>
      </c>
      <c r="C111" s="90">
        <v>8</v>
      </c>
      <c r="D111" s="136"/>
      <c r="E111" s="91"/>
      <c r="F111" s="82">
        <f>B111*C111</f>
        <v>456</v>
      </c>
      <c r="G111" s="92"/>
      <c r="H111" s="100" t="s">
        <v>5</v>
      </c>
      <c r="I111" s="92"/>
      <c r="J111" s="373">
        <f>F111</f>
        <v>456</v>
      </c>
      <c r="L111" s="80"/>
    </row>
    <row r="112" spans="1:12" ht="14.25" customHeight="1">
      <c r="A112" s="372" t="s">
        <v>746</v>
      </c>
      <c r="B112" s="89">
        <v>57</v>
      </c>
      <c r="C112" s="90">
        <v>10</v>
      </c>
      <c r="D112" s="136"/>
      <c r="E112" s="91"/>
      <c r="F112" s="82">
        <f>B112*C112</f>
        <v>570</v>
      </c>
      <c r="G112" s="92"/>
      <c r="H112" s="100" t="s">
        <v>5</v>
      </c>
      <c r="I112" s="92"/>
      <c r="J112" s="373">
        <f>F112</f>
        <v>570</v>
      </c>
    </row>
    <row r="113" spans="1:10" ht="15">
      <c r="A113" s="135"/>
      <c r="B113" s="89"/>
      <c r="C113" s="90"/>
      <c r="D113" s="136"/>
      <c r="E113" s="91"/>
      <c r="F113" s="88"/>
      <c r="G113" s="102"/>
      <c r="H113" s="91"/>
      <c r="I113" s="102"/>
      <c r="J113" s="138">
        <f>SUM(J111:J112)</f>
        <v>1026</v>
      </c>
    </row>
    <row r="114" spans="1:10" ht="15">
      <c r="A114" s="87"/>
      <c r="B114" s="89"/>
      <c r="C114" s="90"/>
      <c r="D114" s="136"/>
      <c r="E114" s="91"/>
      <c r="F114" s="88"/>
      <c r="G114" s="102"/>
      <c r="H114" s="91"/>
      <c r="I114" s="102"/>
      <c r="J114" s="102"/>
    </row>
    <row r="115" spans="1:10" ht="15">
      <c r="A115" s="914" t="s">
        <v>485</v>
      </c>
      <c r="B115" s="915"/>
      <c r="C115" s="915"/>
      <c r="D115" s="915"/>
      <c r="E115" s="915"/>
      <c r="F115" s="915"/>
      <c r="G115" s="915"/>
      <c r="H115" s="915"/>
      <c r="I115" s="915"/>
      <c r="J115" s="916"/>
    </row>
    <row r="116" spans="1:10" ht="15">
      <c r="A116" s="250"/>
      <c r="B116" s="251"/>
      <c r="C116" s="251"/>
      <c r="D116" s="251"/>
      <c r="E116" s="251"/>
      <c r="F116" s="251"/>
      <c r="G116" s="251"/>
      <c r="H116" s="251"/>
      <c r="I116" s="251"/>
      <c r="J116" s="252"/>
    </row>
    <row r="117" spans="1:10" ht="15">
      <c r="A117" s="142"/>
      <c r="B117" s="143">
        <v>95.88</v>
      </c>
      <c r="C117" s="144"/>
      <c r="D117" s="145"/>
      <c r="E117" s="144"/>
      <c r="F117" s="146">
        <f>B117</f>
        <v>95.88</v>
      </c>
      <c r="G117" s="144"/>
      <c r="H117" s="144" t="s">
        <v>5</v>
      </c>
      <c r="I117" s="147">
        <f>F117*1.1</f>
        <v>105.468</v>
      </c>
      <c r="J117" s="148">
        <f>I117</f>
        <v>105.468</v>
      </c>
    </row>
    <row r="119" spans="1:10" ht="15">
      <c r="A119" s="914" t="s">
        <v>92</v>
      </c>
      <c r="B119" s="915"/>
      <c r="C119" s="915"/>
      <c r="D119" s="915"/>
      <c r="E119" s="915"/>
      <c r="F119" s="915"/>
      <c r="G119" s="915"/>
      <c r="H119" s="915"/>
      <c r="I119" s="915"/>
      <c r="J119" s="916"/>
    </row>
    <row r="120" spans="1:10" ht="15">
      <c r="A120" s="149"/>
      <c r="B120" s="82"/>
      <c r="C120" s="91"/>
      <c r="D120" s="82"/>
      <c r="E120" s="91"/>
      <c r="F120" s="82"/>
      <c r="G120" s="92"/>
      <c r="H120" s="100"/>
      <c r="I120" s="92"/>
      <c r="J120" s="92"/>
    </row>
    <row r="121" spans="1:10" ht="15">
      <c r="A121" s="87" t="str">
        <f>A89</f>
        <v>~CS01</v>
      </c>
      <c r="B121" s="88"/>
      <c r="C121" s="91"/>
      <c r="D121" s="88"/>
      <c r="E121" s="91"/>
      <c r="F121" s="88">
        <f>PRODUCT(B121:E121)</f>
        <v>0</v>
      </c>
      <c r="G121" s="102">
        <f>F121</f>
        <v>0</v>
      </c>
      <c r="H121" s="77" t="s">
        <v>63</v>
      </c>
      <c r="I121" s="79">
        <f>G121*1.1</f>
        <v>0</v>
      </c>
      <c r="J121" s="79">
        <f>I121</f>
        <v>0</v>
      </c>
    </row>
    <row r="122" spans="1:10" ht="15">
      <c r="A122" s="87" t="str">
        <f>A90</f>
        <v>CS01 - CS02</v>
      </c>
      <c r="B122" s="88"/>
      <c r="C122" s="91"/>
      <c r="D122" s="88"/>
      <c r="E122" s="91"/>
      <c r="F122" s="88">
        <f>PRODUCT(B122:E122)</f>
        <v>0</v>
      </c>
      <c r="G122" s="102">
        <f>F122</f>
        <v>0</v>
      </c>
      <c r="H122" s="77" t="s">
        <v>63</v>
      </c>
      <c r="I122" s="79">
        <f>G122*1.1</f>
        <v>0</v>
      </c>
      <c r="J122" s="79">
        <f>I122</f>
        <v>0</v>
      </c>
    </row>
    <row r="123" spans="1:10" ht="15">
      <c r="A123" s="87" t="str">
        <f>A91</f>
        <v>CS02 - CS03</v>
      </c>
      <c r="B123" s="88"/>
      <c r="C123" s="91"/>
      <c r="D123" s="88"/>
      <c r="E123" s="91"/>
      <c r="F123" s="88">
        <f>PRODUCT(B123:E123)</f>
        <v>0</v>
      </c>
      <c r="G123" s="102">
        <f>F123</f>
        <v>0</v>
      </c>
      <c r="H123" s="77" t="s">
        <v>63</v>
      </c>
      <c r="I123" s="79">
        <f>G123*1.1</f>
        <v>0</v>
      </c>
      <c r="J123" s="79">
        <f>I123</f>
        <v>0</v>
      </c>
    </row>
    <row r="124" spans="1:10" ht="15">
      <c r="A124" s="87" t="str">
        <f>A92</f>
        <v>CS03~</v>
      </c>
      <c r="B124" s="88"/>
      <c r="C124" s="91"/>
      <c r="D124" s="88"/>
      <c r="E124" s="91"/>
      <c r="F124" s="88">
        <f>PRODUCT(B124:E124)</f>
        <v>0</v>
      </c>
      <c r="G124" s="102">
        <f>F124</f>
        <v>0</v>
      </c>
      <c r="H124" s="77" t="s">
        <v>63</v>
      </c>
      <c r="I124" s="79">
        <f>G124*1.1</f>
        <v>0</v>
      </c>
      <c r="J124" s="79">
        <f>I124</f>
        <v>0</v>
      </c>
    </row>
    <row r="125" spans="1:10" ht="15">
      <c r="A125" s="75"/>
      <c r="B125" s="88"/>
      <c r="C125" s="91"/>
      <c r="D125" s="88"/>
      <c r="E125" s="91"/>
      <c r="F125" s="88"/>
      <c r="G125" s="102"/>
      <c r="H125" s="91"/>
      <c r="I125" s="102"/>
      <c r="J125" s="134">
        <f>SUM(J121:J123)</f>
        <v>0</v>
      </c>
    </row>
    <row r="126" spans="1:10" ht="15">
      <c r="A126" s="75"/>
      <c r="B126" s="88"/>
      <c r="C126" s="91"/>
      <c r="D126" s="88"/>
      <c r="E126" s="91"/>
      <c r="F126" s="88"/>
      <c r="G126" s="102"/>
      <c r="H126" s="91"/>
      <c r="I126" s="102"/>
      <c r="J126" s="102"/>
    </row>
    <row r="127" spans="1:10" ht="15">
      <c r="A127" s="899" t="s">
        <v>93</v>
      </c>
      <c r="B127" s="900"/>
      <c r="C127" s="900"/>
      <c r="D127" s="900"/>
      <c r="E127" s="900"/>
      <c r="F127" s="900"/>
      <c r="G127" s="900"/>
      <c r="H127" s="900"/>
      <c r="I127" s="900"/>
      <c r="J127" s="901"/>
    </row>
    <row r="128" spans="1:10" ht="15">
      <c r="A128" s="84"/>
      <c r="B128" s="82"/>
      <c r="C128" s="91"/>
      <c r="D128" s="82"/>
      <c r="E128" s="91"/>
      <c r="F128" s="82"/>
      <c r="G128" s="92"/>
      <c r="H128" s="100"/>
      <c r="I128" s="92"/>
      <c r="J128" s="92"/>
    </row>
    <row r="129" spans="1:12" ht="15">
      <c r="A129" s="84"/>
      <c r="B129" s="88"/>
      <c r="C129" s="91"/>
      <c r="D129" s="88"/>
      <c r="E129" s="91"/>
      <c r="F129" s="88"/>
      <c r="G129" s="102"/>
      <c r="H129" s="91"/>
      <c r="I129" s="102"/>
      <c r="J129" s="150"/>
      <c r="L129" s="68" t="s">
        <v>94</v>
      </c>
    </row>
  </sheetData>
  <mergeCells count="29">
    <mergeCell ref="A105:J105"/>
    <mergeCell ref="A110:F110"/>
    <mergeCell ref="A115:J115"/>
    <mergeCell ref="A119:J119"/>
    <mergeCell ref="A127:J127"/>
    <mergeCell ref="A100:J100"/>
    <mergeCell ref="A43:J43"/>
    <mergeCell ref="A44:F44"/>
    <mergeCell ref="A47:F47"/>
    <mergeCell ref="A48:J48"/>
    <mergeCell ref="A73:F73"/>
    <mergeCell ref="A76:F76"/>
    <mergeCell ref="A79:F79"/>
    <mergeCell ref="A82:J82"/>
    <mergeCell ref="A83:F83"/>
    <mergeCell ref="A86:J86"/>
    <mergeCell ref="A87:H87"/>
    <mergeCell ref="A42:J42"/>
    <mergeCell ref="A1:J1"/>
    <mergeCell ref="A3:J3"/>
    <mergeCell ref="A4:F4"/>
    <mergeCell ref="A12:J12"/>
    <mergeCell ref="A13:F13"/>
    <mergeCell ref="A14:F14"/>
    <mergeCell ref="A15:F15"/>
    <mergeCell ref="A24:F24"/>
    <mergeCell ref="A25:F25"/>
    <mergeCell ref="A26:F26"/>
    <mergeCell ref="A34:J34"/>
  </mergeCells>
  <pageMargins left="0.7" right="0.7" top="0.75" bottom="0.75" header="0.3" footer="0.3"/>
  <pageSetup paperSize="9" scale="63" orientation="portrait" r:id="rId1"/>
  <rowBreaks count="1" manualBreakCount="1">
    <brk id="45" max="16383" man="1"/>
  </rowBreak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6E4B-67E2-43C8-A452-A38087EECEAC}">
  <dimension ref="B3:W262"/>
  <sheetViews>
    <sheetView zoomScale="70" zoomScaleNormal="70" workbookViewId="0">
      <pane ySplit="1" topLeftCell="A98" activePane="bottomLeft" state="frozen"/>
      <selection activeCell="B16" sqref="B16"/>
      <selection pane="bottomLeft" activeCell="B16" sqref="B16"/>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95</v>
      </c>
      <c r="C3" s="151" t="s">
        <v>96</v>
      </c>
      <c r="D3" s="151" t="s">
        <v>97</v>
      </c>
      <c r="E3" s="151" t="s">
        <v>98</v>
      </c>
      <c r="F3" s="151" t="s">
        <v>99</v>
      </c>
      <c r="G3" s="151"/>
      <c r="H3" s="928" t="s">
        <v>100</v>
      </c>
      <c r="I3" s="928"/>
      <c r="J3" s="928"/>
      <c r="K3" s="151" t="s">
        <v>101</v>
      </c>
      <c r="L3" s="152" t="s">
        <v>102</v>
      </c>
      <c r="M3" s="153"/>
    </row>
    <row r="4" spans="2:23" ht="19.5" customHeight="1">
      <c r="B4" s="155"/>
      <c r="C4" s="155"/>
      <c r="D4" s="155"/>
      <c r="E4" s="155"/>
      <c r="F4" s="156" t="s">
        <v>98</v>
      </c>
      <c r="G4" s="156" t="s">
        <v>103</v>
      </c>
      <c r="H4" s="156" t="s">
        <v>104</v>
      </c>
      <c r="I4" s="156" t="s">
        <v>103</v>
      </c>
      <c r="J4" s="156" t="s">
        <v>105</v>
      </c>
      <c r="K4" s="156" t="s">
        <v>106</v>
      </c>
      <c r="L4" s="157" t="s">
        <v>107</v>
      </c>
      <c r="M4" s="157" t="s">
        <v>108</v>
      </c>
    </row>
    <row r="5" spans="2:23">
      <c r="B5" s="158"/>
      <c r="C5" s="158"/>
      <c r="D5" s="158"/>
      <c r="E5" s="158"/>
      <c r="F5" s="159"/>
      <c r="G5" s="159"/>
      <c r="H5" s="159"/>
      <c r="I5" s="159"/>
      <c r="J5" s="159"/>
      <c r="K5" s="160"/>
      <c r="L5" s="160"/>
      <c r="M5" s="160"/>
    </row>
    <row r="6" spans="2:23" ht="18">
      <c r="B6" s="160" t="s">
        <v>109</v>
      </c>
      <c r="C6" s="161">
        <v>0.3</v>
      </c>
      <c r="D6" s="161">
        <v>0.3</v>
      </c>
      <c r="E6" s="161">
        <v>0.1</v>
      </c>
      <c r="F6" s="161">
        <v>0.05</v>
      </c>
      <c r="G6" s="161">
        <v>10</v>
      </c>
      <c r="H6" s="161">
        <v>0.2</v>
      </c>
      <c r="I6" s="161">
        <v>10</v>
      </c>
      <c r="J6" s="161">
        <v>0.25</v>
      </c>
      <c r="K6" s="161">
        <v>3</v>
      </c>
      <c r="L6" s="160"/>
      <c r="M6" s="160"/>
      <c r="T6" s="929" t="s">
        <v>110</v>
      </c>
      <c r="U6" s="929"/>
    </row>
    <row r="7" spans="2:23">
      <c r="B7" s="160"/>
      <c r="C7" s="161"/>
      <c r="D7" s="161"/>
      <c r="E7" s="161"/>
      <c r="F7" s="161"/>
      <c r="G7" s="161"/>
      <c r="H7" s="160"/>
      <c r="I7" s="160"/>
      <c r="J7" s="160"/>
      <c r="K7" s="161"/>
      <c r="L7" s="160"/>
      <c r="M7" s="160"/>
      <c r="S7" s="162"/>
      <c r="V7" s="162"/>
      <c r="W7" s="930" t="s">
        <v>6</v>
      </c>
    </row>
    <row r="8" spans="2:23">
      <c r="B8" s="160"/>
      <c r="C8" s="161"/>
      <c r="D8" s="161"/>
      <c r="E8" s="161"/>
      <c r="F8" s="161"/>
      <c r="G8" s="161"/>
      <c r="H8" s="160"/>
      <c r="I8" s="160"/>
      <c r="J8" s="160"/>
      <c r="K8" s="161"/>
      <c r="L8" s="160"/>
      <c r="M8" s="160"/>
      <c r="S8" s="162"/>
      <c r="V8" s="162"/>
      <c r="W8" s="930"/>
    </row>
    <row r="9" spans="2:23">
      <c r="B9" s="160" t="s">
        <v>111</v>
      </c>
      <c r="C9" s="161">
        <v>0.45</v>
      </c>
      <c r="D9" s="161">
        <v>0.45</v>
      </c>
      <c r="E9" s="161">
        <v>0.1</v>
      </c>
      <c r="F9" s="161">
        <v>0.05</v>
      </c>
      <c r="G9" s="161">
        <v>10</v>
      </c>
      <c r="H9" s="161">
        <v>0.2</v>
      </c>
      <c r="I9" s="161">
        <v>10</v>
      </c>
      <c r="J9" s="161">
        <v>0.25</v>
      </c>
      <c r="K9" s="161">
        <v>3</v>
      </c>
      <c r="L9" s="160"/>
      <c r="M9" s="160"/>
      <c r="S9" s="162"/>
      <c r="V9" s="162"/>
      <c r="W9" s="930"/>
    </row>
    <row r="10" spans="2:23">
      <c r="B10" s="160"/>
      <c r="C10" s="161"/>
      <c r="D10" s="161"/>
      <c r="E10" s="161"/>
      <c r="F10" s="161"/>
      <c r="G10" s="161"/>
      <c r="H10" s="161"/>
      <c r="I10" s="161"/>
      <c r="J10" s="161"/>
      <c r="K10" s="161"/>
      <c r="L10" s="160"/>
      <c r="M10" s="160"/>
      <c r="S10" s="162"/>
      <c r="V10" s="162"/>
      <c r="W10" s="930"/>
    </row>
    <row r="11" spans="2:23">
      <c r="B11" s="160"/>
      <c r="C11" s="161"/>
      <c r="D11" s="161"/>
      <c r="E11" s="161"/>
      <c r="F11" s="161"/>
      <c r="G11" s="161"/>
      <c r="H11" s="160"/>
      <c r="I11" s="160"/>
      <c r="J11" s="160"/>
      <c r="K11" s="161"/>
      <c r="L11" s="160"/>
      <c r="M11" s="160"/>
      <c r="S11" s="162"/>
      <c r="V11" s="162"/>
      <c r="W11" s="930"/>
    </row>
    <row r="12" spans="2:23">
      <c r="B12" s="160" t="s">
        <v>112</v>
      </c>
      <c r="C12" s="161">
        <v>0.6</v>
      </c>
      <c r="D12" s="161">
        <v>0.6</v>
      </c>
      <c r="E12" s="161">
        <v>0.1</v>
      </c>
      <c r="F12" s="161">
        <v>0.05</v>
      </c>
      <c r="G12" s="161">
        <v>10</v>
      </c>
      <c r="H12" s="160">
        <v>0.2</v>
      </c>
      <c r="I12" s="160">
        <v>10</v>
      </c>
      <c r="J12" s="160">
        <v>0.25</v>
      </c>
      <c r="K12" s="161">
        <v>3</v>
      </c>
      <c r="L12" s="160"/>
      <c r="M12" s="160"/>
      <c r="S12" s="162"/>
      <c r="V12" s="162"/>
      <c r="W12" s="930"/>
    </row>
    <row r="13" spans="2:23">
      <c r="B13" s="160"/>
      <c r="C13" s="161"/>
      <c r="D13" s="161"/>
      <c r="E13" s="161"/>
      <c r="F13" s="161"/>
      <c r="G13" s="161"/>
      <c r="H13" s="160"/>
      <c r="I13" s="160"/>
      <c r="J13" s="160"/>
      <c r="K13" s="161"/>
      <c r="L13" s="160"/>
      <c r="M13" s="160"/>
      <c r="S13" s="162"/>
      <c r="V13" s="162"/>
      <c r="W13" s="930"/>
    </row>
    <row r="14" spans="2:23">
      <c r="B14" s="160"/>
      <c r="C14" s="161"/>
      <c r="D14" s="161"/>
      <c r="E14" s="161"/>
      <c r="F14" s="161"/>
      <c r="G14" s="161"/>
      <c r="H14" s="160"/>
      <c r="I14" s="160"/>
      <c r="J14" s="160"/>
      <c r="K14" s="161"/>
      <c r="L14" s="160"/>
      <c r="M14" s="160"/>
      <c r="S14" s="162"/>
      <c r="V14" s="162"/>
      <c r="W14" s="930"/>
    </row>
    <row r="15" spans="2:23">
      <c r="B15" s="160" t="s">
        <v>113</v>
      </c>
      <c r="C15" s="161">
        <v>0.75</v>
      </c>
      <c r="D15" s="161">
        <v>0.75</v>
      </c>
      <c r="E15" s="163">
        <v>0.125</v>
      </c>
      <c r="F15" s="161">
        <v>0.05</v>
      </c>
      <c r="G15" s="161">
        <v>10</v>
      </c>
      <c r="H15" s="160">
        <v>0.2</v>
      </c>
      <c r="I15" s="160">
        <v>10</v>
      </c>
      <c r="J15" s="160">
        <v>0.25</v>
      </c>
      <c r="K15" s="161">
        <v>3</v>
      </c>
      <c r="L15" s="160"/>
      <c r="M15" s="160"/>
      <c r="S15" s="162"/>
      <c r="V15" s="162"/>
      <c r="W15" s="930"/>
    </row>
    <row r="16" spans="2:23">
      <c r="B16" s="160"/>
      <c r="C16" s="161"/>
      <c r="D16" s="161"/>
      <c r="E16" s="161"/>
      <c r="F16" s="161"/>
      <c r="G16" s="161"/>
      <c r="H16" s="160"/>
      <c r="I16" s="160"/>
      <c r="J16" s="160"/>
      <c r="K16" s="161"/>
      <c r="L16" s="160"/>
      <c r="M16" s="160"/>
      <c r="S16" s="162"/>
      <c r="V16" s="162"/>
      <c r="W16" s="930"/>
    </row>
    <row r="17" spans="2:23">
      <c r="B17" s="160"/>
      <c r="C17" s="161"/>
      <c r="D17" s="161"/>
      <c r="E17" s="161"/>
      <c r="F17" s="161"/>
      <c r="G17" s="161"/>
      <c r="H17" s="160"/>
      <c r="I17" s="160"/>
      <c r="J17" s="160"/>
      <c r="K17" s="161"/>
      <c r="L17" s="160"/>
      <c r="M17" s="160"/>
      <c r="S17" s="162"/>
      <c r="V17" s="162"/>
      <c r="W17" s="930"/>
    </row>
    <row r="18" spans="2:23">
      <c r="B18" s="164" t="s">
        <v>114</v>
      </c>
      <c r="C18" s="161">
        <v>0.9</v>
      </c>
      <c r="D18" s="161">
        <v>0.9</v>
      </c>
      <c r="E18" s="163">
        <v>0.15</v>
      </c>
      <c r="F18" s="161">
        <v>0.05</v>
      </c>
      <c r="G18" s="161">
        <v>10</v>
      </c>
      <c r="H18" s="160">
        <v>0.17499999999999999</v>
      </c>
      <c r="I18" s="160">
        <v>10</v>
      </c>
      <c r="J18" s="160">
        <v>0.25</v>
      </c>
      <c r="K18" s="161">
        <v>3</v>
      </c>
      <c r="L18" s="160"/>
      <c r="M18" s="160"/>
      <c r="S18" s="162"/>
      <c r="T18" s="162"/>
      <c r="U18" s="162"/>
      <c r="V18" s="162"/>
      <c r="W18" s="930" t="s">
        <v>115</v>
      </c>
    </row>
    <row r="19" spans="2:23">
      <c r="B19" s="160"/>
      <c r="C19" s="161"/>
      <c r="D19" s="161"/>
      <c r="E19" s="161"/>
      <c r="F19" s="161"/>
      <c r="G19" s="161"/>
      <c r="H19" s="160"/>
      <c r="I19" s="160"/>
      <c r="J19" s="160"/>
      <c r="K19" s="161"/>
      <c r="L19" s="160"/>
      <c r="M19" s="160"/>
      <c r="S19" s="162"/>
      <c r="T19" s="162"/>
      <c r="U19" s="162"/>
      <c r="V19" s="162"/>
      <c r="W19" s="930"/>
    </row>
    <row r="20" spans="2:23">
      <c r="B20" s="160"/>
      <c r="C20" s="161"/>
      <c r="D20" s="161"/>
      <c r="E20" s="161"/>
      <c r="F20" s="161"/>
      <c r="G20" s="161"/>
      <c r="H20" s="160"/>
      <c r="I20" s="160"/>
      <c r="J20" s="160"/>
      <c r="K20" s="161"/>
      <c r="L20" s="160"/>
      <c r="M20" s="160"/>
      <c r="S20" s="162"/>
      <c r="T20" s="162"/>
      <c r="U20" s="162"/>
      <c r="V20" s="162"/>
      <c r="W20" s="930"/>
    </row>
    <row r="21" spans="2:23">
      <c r="B21" s="160" t="s">
        <v>116</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117</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118</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119</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120</v>
      </c>
      <c r="C30" s="161">
        <v>0.3</v>
      </c>
      <c r="D30" s="161">
        <v>0.3</v>
      </c>
      <c r="E30" s="161">
        <v>0.1</v>
      </c>
      <c r="F30" s="161">
        <v>0.05</v>
      </c>
      <c r="G30" s="161">
        <v>10</v>
      </c>
      <c r="H30" s="160">
        <v>0.25</v>
      </c>
      <c r="I30" s="160">
        <v>10</v>
      </c>
      <c r="J30" s="160">
        <v>0.25</v>
      </c>
      <c r="K30" s="161">
        <v>0</v>
      </c>
      <c r="L30" s="160"/>
      <c r="M30" s="160"/>
    </row>
    <row r="31" spans="2:23">
      <c r="B31" s="166" t="s">
        <v>121</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122</v>
      </c>
      <c r="C33" s="161">
        <v>0.45</v>
      </c>
      <c r="D33" s="161">
        <v>0.45</v>
      </c>
      <c r="E33" s="161">
        <v>0.1</v>
      </c>
      <c r="F33" s="161">
        <v>0.05</v>
      </c>
      <c r="G33" s="161">
        <v>10</v>
      </c>
      <c r="H33" s="160">
        <v>0.25</v>
      </c>
      <c r="I33" s="160">
        <v>10</v>
      </c>
      <c r="J33" s="160">
        <v>0.25</v>
      </c>
      <c r="K33" s="161">
        <v>0</v>
      </c>
      <c r="L33" s="160"/>
      <c r="M33" s="160"/>
    </row>
    <row r="34" spans="2:13">
      <c r="B34" s="166" t="s">
        <v>121</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123</v>
      </c>
      <c r="L35" s="160"/>
      <c r="M35" s="160"/>
    </row>
    <row r="36" spans="2:13">
      <c r="B36" s="168" t="s">
        <v>124</v>
      </c>
      <c r="C36" s="161">
        <v>1</v>
      </c>
      <c r="D36" s="161">
        <v>0.15</v>
      </c>
      <c r="E36" s="161">
        <v>0.1</v>
      </c>
      <c r="F36" s="161">
        <v>0.05</v>
      </c>
      <c r="G36" s="161">
        <v>10</v>
      </c>
      <c r="H36" s="160">
        <v>0.25</v>
      </c>
      <c r="I36" s="160">
        <v>10</v>
      </c>
      <c r="J36" s="160">
        <v>0.25</v>
      </c>
      <c r="K36" s="161">
        <v>0</v>
      </c>
      <c r="L36" s="160"/>
      <c r="M36" s="160"/>
    </row>
    <row r="37" spans="2:13">
      <c r="B37" s="166" t="s">
        <v>121</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125</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126</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127</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128</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129</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130</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131</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132</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133</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134</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135</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136</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137</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138</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139</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140</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141</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142</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143</v>
      </c>
      <c r="L103" s="931" t="s">
        <v>144</v>
      </c>
      <c r="M103" s="932"/>
      <c r="N103" s="932"/>
      <c r="O103" s="932"/>
      <c r="P103" s="932"/>
      <c r="Q103" s="932"/>
      <c r="R103" s="932"/>
      <c r="S103" s="933"/>
    </row>
    <row r="104" spans="2:21">
      <c r="B104" s="178" t="s">
        <v>145</v>
      </c>
      <c r="K104" s="179">
        <v>1</v>
      </c>
      <c r="L104" s="926" t="s">
        <v>7</v>
      </c>
      <c r="M104" s="934"/>
      <c r="N104" s="927"/>
      <c r="O104" s="926" t="s">
        <v>6</v>
      </c>
      <c r="P104" s="934"/>
      <c r="Q104" s="927"/>
      <c r="R104" s="926" t="s">
        <v>146</v>
      </c>
      <c r="S104" s="927"/>
    </row>
    <row r="105" spans="2:21">
      <c r="D105" s="180" t="s">
        <v>147</v>
      </c>
      <c r="E105" s="181" t="s">
        <v>1</v>
      </c>
      <c r="G105" s="182" t="s">
        <v>148</v>
      </c>
      <c r="H105" s="182" t="s">
        <v>149</v>
      </c>
      <c r="I105" s="182" t="s">
        <v>150</v>
      </c>
      <c r="J105" s="182" t="s">
        <v>151</v>
      </c>
      <c r="K105" s="182" t="s">
        <v>152</v>
      </c>
      <c r="L105" s="926" t="s">
        <v>153</v>
      </c>
      <c r="M105" s="927"/>
      <c r="N105" s="183" t="s">
        <v>1</v>
      </c>
      <c r="O105" s="926" t="s">
        <v>153</v>
      </c>
      <c r="P105" s="927"/>
      <c r="Q105" s="183" t="s">
        <v>1</v>
      </c>
      <c r="R105" s="183" t="s">
        <v>1</v>
      </c>
      <c r="S105" s="183" t="s">
        <v>80</v>
      </c>
    </row>
    <row r="106" spans="2:21" ht="15.75" customHeight="1">
      <c r="B106" s="415" t="s">
        <v>154</v>
      </c>
      <c r="C106" s="416" t="s">
        <v>155</v>
      </c>
      <c r="E106" s="184">
        <v>104.38</v>
      </c>
      <c r="G106" s="185">
        <f>+E106*(C6+E6*2+1.5)</f>
        <v>208.76</v>
      </c>
      <c r="H106" s="185">
        <f>+E106*(C6+E6*2)*(D6+E6+F6)</f>
        <v>23.485499999999998</v>
      </c>
      <c r="I106" s="186">
        <f>+(C6+E6*2)*E106*F6</f>
        <v>2.6095000000000002</v>
      </c>
      <c r="J106" s="186">
        <f>+E106*((C6+E6*2)*E6+(D6*E6*2))</f>
        <v>11.4818</v>
      </c>
      <c r="K106" s="186">
        <f>+(D6+$K$104*(D6+E6))*E106*2</f>
        <v>146.13199999999998</v>
      </c>
      <c r="L106" s="187">
        <f>+(E106)/H6+ IF(E106&gt;0,1,0)</f>
        <v>522.9</v>
      </c>
      <c r="M106" s="188">
        <f>+ROUNDUP(L106,0)</f>
        <v>523</v>
      </c>
      <c r="N106" s="189">
        <f>+(D6+E6-0.08)*2+(C6+E6*2-0.08)</f>
        <v>1.06</v>
      </c>
      <c r="O106" s="187">
        <f>+N106/J6+1</f>
        <v>5.24</v>
      </c>
      <c r="P106" s="188">
        <f>+ROUNDUP(O106,0)</f>
        <v>6</v>
      </c>
      <c r="Q106" s="188">
        <f>+E106+E106/6*50*(G6/1000)</f>
        <v>113.07833333333333</v>
      </c>
      <c r="R106" s="190">
        <f>+N106*M106+P106*Q106</f>
        <v>1232.8499999999999</v>
      </c>
      <c r="S106" s="186">
        <f>((I6*I6)/162)*R106</f>
        <v>761.01851851851848</v>
      </c>
      <c r="T106" s="154" t="s">
        <v>156</v>
      </c>
    </row>
    <row r="107" spans="2:21">
      <c r="C107" s="154" t="s">
        <v>101</v>
      </c>
      <c r="D107" s="191">
        <f>ROUNDUP(+E106/K6,0)</f>
        <v>35</v>
      </c>
      <c r="E107" s="184"/>
      <c r="G107" s="192"/>
      <c r="H107" s="192"/>
      <c r="I107" s="191"/>
      <c r="J107" s="191">
        <f>0.5*(0.075+0.05)*0.075*C6*D107</f>
        <v>4.9218749999999999E-2</v>
      </c>
      <c r="K107" s="191">
        <f>+(0.075+0.08)*C6*D107</f>
        <v>1.6274999999999999</v>
      </c>
      <c r="L107" s="193">
        <f>+D107</f>
        <v>35</v>
      </c>
      <c r="M107" s="188">
        <f>+ROUNDUP(L107,0)</f>
        <v>35</v>
      </c>
      <c r="N107" s="194">
        <f>+(C6-0.08)+((0.075+0.05-0.04)*2)</f>
        <v>0.38999999999999996</v>
      </c>
      <c r="O107" s="193"/>
      <c r="P107" s="195"/>
      <c r="Q107" s="195"/>
      <c r="R107" s="190">
        <f>+N107*M107+P107*Q107</f>
        <v>13.649999999999999</v>
      </c>
      <c r="S107" s="186">
        <f>((I6*I6)/162)*R107</f>
        <v>8.4259259259259238</v>
      </c>
      <c r="T107" s="154" t="s">
        <v>156</v>
      </c>
      <c r="U107" s="191">
        <f>S106+S107</f>
        <v>769.44444444444434</v>
      </c>
    </row>
    <row r="108" spans="2:21">
      <c r="E108" s="184"/>
    </row>
    <row r="109" spans="2:21">
      <c r="B109" s="374" t="s">
        <v>154</v>
      </c>
      <c r="C109" s="375" t="s">
        <v>157</v>
      </c>
      <c r="E109" s="184">
        <v>44.04</v>
      </c>
      <c r="G109" s="185">
        <f>+E109*(C9+E9*2+3)</f>
        <v>160.74599999999998</v>
      </c>
      <c r="H109" s="185">
        <f>+E109*(C9+E9*2)*(D9+E9+F9)</f>
        <v>17.175600000000003</v>
      </c>
      <c r="I109" s="186">
        <f>+(C9+E9*2)*E109*F9</f>
        <v>1.4313000000000002</v>
      </c>
      <c r="J109" s="186">
        <f>+E109*((C9+E9*2)*E9+(D9*E9*2))</f>
        <v>6.8262000000000009</v>
      </c>
      <c r="K109" s="186">
        <f>+(D9+$K$104*(D9+E9))*E109*2</f>
        <v>88.08</v>
      </c>
      <c r="L109" s="187">
        <f>+(E109)/H9+ IF(E109&gt;0,1,0)</f>
        <v>221.2</v>
      </c>
      <c r="M109" s="188">
        <f>+ROUNDUP(L109,0)</f>
        <v>222</v>
      </c>
      <c r="N109" s="189">
        <f>+(D9+E9-0.08)*2+(C9+E9*2-0.08)</f>
        <v>1.5100000000000002</v>
      </c>
      <c r="O109" s="187">
        <f>+N109/J9+1</f>
        <v>7.0400000000000009</v>
      </c>
      <c r="P109" s="188">
        <f>+ROUNDUP(O109,0)</f>
        <v>8</v>
      </c>
      <c r="Q109" s="188">
        <f>+E109+E109/6*50*(G9/1000)</f>
        <v>47.71</v>
      </c>
      <c r="R109" s="190">
        <f>+N109*M109+P109*Q109</f>
        <v>716.90000000000009</v>
      </c>
      <c r="S109" s="186">
        <f>((I9*I9)/162)*R109</f>
        <v>442.53086419753089</v>
      </c>
      <c r="T109" s="154" t="s">
        <v>156</v>
      </c>
    </row>
    <row r="110" spans="2:21">
      <c r="C110" s="154" t="s">
        <v>101</v>
      </c>
      <c r="D110" s="191">
        <f>ROUNDUP(+E109/K9,0)</f>
        <v>15</v>
      </c>
      <c r="E110" s="184"/>
      <c r="G110" s="192"/>
      <c r="H110" s="192"/>
      <c r="I110" s="191"/>
      <c r="J110" s="191">
        <f>0.5*(0.075+0.05)*0.075*C9*D110</f>
        <v>3.1640625000000006E-2</v>
      </c>
      <c r="K110" s="191">
        <f>+(0.075+0.08)*C9*D110</f>
        <v>1.0462500000000001</v>
      </c>
      <c r="L110" s="193">
        <f>+D110</f>
        <v>15</v>
      </c>
      <c r="M110" s="188">
        <f>+ROUNDUP(L110,0)</f>
        <v>15</v>
      </c>
      <c r="N110" s="194">
        <f>+(C9-0.08)+((0.075+0.05-0.04)*2)</f>
        <v>0.54</v>
      </c>
      <c r="O110" s="193"/>
      <c r="P110" s="195"/>
      <c r="Q110" s="195"/>
      <c r="R110" s="190">
        <f>+N110*M110+P110*Q110</f>
        <v>8.1000000000000014</v>
      </c>
      <c r="S110" s="186">
        <f>((I9*I9)/162)*R110</f>
        <v>5.0000000000000009</v>
      </c>
      <c r="T110" s="154" t="s">
        <v>156</v>
      </c>
      <c r="U110" s="191">
        <f>S109+S110</f>
        <v>447.53086419753089</v>
      </c>
    </row>
    <row r="111" spans="2:21">
      <c r="E111" s="184"/>
    </row>
    <row r="112" spans="2:21">
      <c r="B112" s="374" t="s">
        <v>154</v>
      </c>
      <c r="C112" s="375" t="s">
        <v>158</v>
      </c>
      <c r="E112" s="184">
        <v>72.41</v>
      </c>
      <c r="G112" s="185">
        <f>+E112*(C12+E12*2+3)</f>
        <v>275.15799999999996</v>
      </c>
      <c r="H112" s="185">
        <f>+E112*(C12+E12*2)*(D12+E12+F12)</f>
        <v>43.445999999999998</v>
      </c>
      <c r="I112" s="186">
        <f>+(C12+E12*2)*E112*F12</f>
        <v>2.8963999999999999</v>
      </c>
      <c r="J112" s="186">
        <f>+E112*((C12+E12*2)*E12+(D12*E12*2))</f>
        <v>14.481999999999999</v>
      </c>
      <c r="K112" s="186">
        <f>+(D12+$K$104*(D12+E12))*E112*2</f>
        <v>188.26599999999996</v>
      </c>
      <c r="L112" s="187">
        <f>+(E112)/H12+ IF(E112&gt;0,1,0)</f>
        <v>363.04999999999995</v>
      </c>
      <c r="M112" s="188">
        <f>+ROUNDUP(L112,0)</f>
        <v>364</v>
      </c>
      <c r="N112" s="189">
        <f>+(D12+E12-0.08)*2+(C12+E12*2-0.08)</f>
        <v>1.96</v>
      </c>
      <c r="O112" s="187">
        <f>+N112/J12+1</f>
        <v>8.84</v>
      </c>
      <c r="P112" s="188">
        <f>+ROUNDUP(O112,0)</f>
        <v>9</v>
      </c>
      <c r="Q112" s="188">
        <f>+E112+E112/6*50*(G12/1000)</f>
        <v>78.444166666666661</v>
      </c>
      <c r="R112" s="190">
        <f>+N112*M112+P112*Q112</f>
        <v>1419.4375</v>
      </c>
      <c r="S112" s="186">
        <f>((I12*I12)/162)*R112</f>
        <v>876.1959876543209</v>
      </c>
      <c r="T112" s="154" t="s">
        <v>156</v>
      </c>
    </row>
    <row r="113" spans="2:21">
      <c r="C113" s="154" t="s">
        <v>101</v>
      </c>
      <c r="D113" s="191">
        <f>ROUNDUP(+E112/K12,0)</f>
        <v>25</v>
      </c>
      <c r="E113" s="184"/>
      <c r="G113" s="192"/>
      <c r="H113" s="192">
        <f>E112*0.6*0.6</f>
        <v>26.067599999999999</v>
      </c>
      <c r="I113" s="191"/>
      <c r="J113" s="191">
        <f>0.5*(0.075+0.05)*0.075*C12*D113</f>
        <v>7.03125E-2</v>
      </c>
      <c r="K113" s="191">
        <f>+(0.075+0.08)*C12*D113</f>
        <v>2.3250000000000002</v>
      </c>
      <c r="L113" s="193">
        <f>+D113</f>
        <v>25</v>
      </c>
      <c r="M113" s="188">
        <f>+ROUNDUP(L113,0)</f>
        <v>25</v>
      </c>
      <c r="N113" s="194">
        <f>+(C12-0.08)+((0.075+0.05-0.04)*2)</f>
        <v>0.69</v>
      </c>
      <c r="O113" s="193"/>
      <c r="P113" s="195"/>
      <c r="Q113" s="195"/>
      <c r="R113" s="190">
        <f>+N113*M113+P113*Q113</f>
        <v>17.25</v>
      </c>
      <c r="S113" s="186">
        <f>((I12*I12)/162)*R113</f>
        <v>10.648148148148147</v>
      </c>
      <c r="T113" s="154" t="s">
        <v>156</v>
      </c>
      <c r="U113" s="191">
        <f>S112+S113</f>
        <v>886.84413580246905</v>
      </c>
    </row>
    <row r="114" spans="2:21">
      <c r="E114" s="184"/>
    </row>
    <row r="115" spans="2:21" hidden="1">
      <c r="B115" s="154" t="s">
        <v>154</v>
      </c>
      <c r="C115" s="178" t="s">
        <v>159</v>
      </c>
      <c r="E115" s="184">
        <f>38.37+14.75+46.92</f>
        <v>100.03999999999999</v>
      </c>
      <c r="G115" s="185">
        <f>+E115*(C15+E15*2+1.5)</f>
        <v>250.09999999999997</v>
      </c>
      <c r="H115" s="185">
        <f>+E115*(C15+E15*2)*(D15+E15+F15)</f>
        <v>92.536999999999992</v>
      </c>
      <c r="I115" s="186">
        <f>+(C15+E15*2)*E115*F15</f>
        <v>5.0019999999999998</v>
      </c>
      <c r="J115" s="186">
        <f>+E115*((C15+E15*2)*E15+(D15*E15*2))</f>
        <v>31.262499999999996</v>
      </c>
      <c r="K115" s="186">
        <f>+(D15+$K$104*(D15+E15))*E115*2</f>
        <v>325.13</v>
      </c>
      <c r="L115" s="187">
        <f>+(E115)/H15+ IF(E115&gt;0,1,0)</f>
        <v>501.19999999999993</v>
      </c>
      <c r="M115" s="188">
        <f>+ROUNDUP(L115,0)</f>
        <v>502</v>
      </c>
      <c r="N115" s="189">
        <f>+(D15+E15-0.08)*2+(C15+E15*2-0.08)</f>
        <v>2.5100000000000002</v>
      </c>
      <c r="O115" s="187">
        <f>+N115/J15+1</f>
        <v>11.040000000000001</v>
      </c>
      <c r="P115" s="188">
        <f>+ROUNDUP(O115,0)</f>
        <v>12</v>
      </c>
      <c r="Q115" s="188">
        <f>+E115+E115/6*50*(G15/1000)</f>
        <v>108.37666666666667</v>
      </c>
      <c r="R115" s="190">
        <f>+N115*M115+P115*Q115</f>
        <v>2560.54</v>
      </c>
      <c r="S115" s="186">
        <f>((I15*I15)/162)*R115</f>
        <v>1580.5802469135801</v>
      </c>
      <c r="T115" s="154" t="s">
        <v>156</v>
      </c>
    </row>
    <row r="116" spans="2:21" hidden="1">
      <c r="C116" s="154" t="s">
        <v>101</v>
      </c>
      <c r="D116" s="191">
        <f>ROUNDUP(+E115/K15,0)</f>
        <v>34</v>
      </c>
      <c r="E116" s="184"/>
      <c r="G116" s="192"/>
      <c r="H116" s="192"/>
      <c r="I116" s="191"/>
      <c r="J116" s="191">
        <f>0.5*(0.075+0.05)*0.075*C15*D116</f>
        <v>0.11953124999999999</v>
      </c>
      <c r="K116" s="191">
        <f>+(0.075+0.08)*C15*D116</f>
        <v>3.9524999999999997</v>
      </c>
      <c r="L116" s="193">
        <f>+D116</f>
        <v>34</v>
      </c>
      <c r="M116" s="188">
        <f>+ROUNDUP(L116,0)</f>
        <v>34</v>
      </c>
      <c r="N116" s="194">
        <f>+(C15-0.08)+((0.075+0.05-0.04)*2)</f>
        <v>0.84000000000000008</v>
      </c>
      <c r="O116" s="193"/>
      <c r="P116" s="195"/>
      <c r="Q116" s="195"/>
      <c r="R116" s="190">
        <f>+N116*M116+P116*Q116</f>
        <v>28.560000000000002</v>
      </c>
      <c r="S116" s="186">
        <f>((I15*I15)/162)*R116</f>
        <v>17.62962962962963</v>
      </c>
      <c r="T116" s="154" t="s">
        <v>156</v>
      </c>
      <c r="U116" s="191">
        <f>S115+S116</f>
        <v>1598.2098765432097</v>
      </c>
    </row>
    <row r="117" spans="2:21">
      <c r="B117" s="374" t="s">
        <v>154</v>
      </c>
      <c r="C117" s="375" t="s">
        <v>160</v>
      </c>
      <c r="E117" s="184">
        <v>72.95</v>
      </c>
      <c r="G117" s="196">
        <f>+E117*(C15+E15*2+1.5)</f>
        <v>182.375</v>
      </c>
      <c r="H117" s="196">
        <f>+E117*(C15+E15*2)*(D15+E15+F15)</f>
        <v>67.478750000000005</v>
      </c>
      <c r="I117" s="197">
        <f>+(C15+E15*2)*E117*F15</f>
        <v>3.6475000000000004</v>
      </c>
      <c r="J117" s="197">
        <f>+E117*((C15+E15*2)*E15+(D15*E15*2))</f>
        <v>22.796875</v>
      </c>
      <c r="K117" s="197">
        <f>+(D15+$K$104*(D15+E15))*E117*2</f>
        <v>237.08750000000001</v>
      </c>
      <c r="L117" s="187">
        <f>+(E117)/H15+ IF(E117&gt;0,1,0)</f>
        <v>365.75</v>
      </c>
      <c r="M117" s="198">
        <f>+ROUNDUP(L117,0)</f>
        <v>366</v>
      </c>
      <c r="N117" s="189">
        <f>+(D15+E15-0.08)*2+(C15+E15*2-0.08)</f>
        <v>2.5100000000000002</v>
      </c>
      <c r="O117" s="187">
        <f>+N117/J15+1</f>
        <v>11.040000000000001</v>
      </c>
      <c r="P117" s="198">
        <f>+ROUNDUP(O117,0)</f>
        <v>12</v>
      </c>
      <c r="Q117" s="188">
        <f>+E117+E117/6*50*(G15/1000)</f>
        <v>79.029166666666669</v>
      </c>
      <c r="R117" s="190">
        <f>+N117*M117+P117*Q117</f>
        <v>1867.0100000000002</v>
      </c>
      <c r="S117" s="197">
        <f>((I15*I15)/162)*R117</f>
        <v>1152.4753086419753</v>
      </c>
      <c r="T117" s="154" t="s">
        <v>156</v>
      </c>
    </row>
    <row r="118" spans="2:21">
      <c r="C118" s="154" t="s">
        <v>101</v>
      </c>
      <c r="D118" s="191">
        <f>ROUNDUP(+E117/K15,0)</f>
        <v>25</v>
      </c>
      <c r="E118" s="184"/>
      <c r="G118" s="199"/>
      <c r="H118" s="199"/>
      <c r="I118" s="200"/>
      <c r="J118" s="200">
        <f>0.5*(0.075+0.05)*0.075*C15*D118</f>
        <v>8.7890624999999986E-2</v>
      </c>
      <c r="K118" s="200">
        <f>+(0.075+0.08)*C15*D118</f>
        <v>2.90625</v>
      </c>
      <c r="L118" s="193">
        <f>+D118</f>
        <v>25</v>
      </c>
      <c r="M118" s="198">
        <f>+ROUNDUP(L118,0)</f>
        <v>25</v>
      </c>
      <c r="N118" s="194">
        <f>+(C15-0.08)+((0.075+0.05-0.04)*2)</f>
        <v>0.84000000000000008</v>
      </c>
      <c r="O118" s="193"/>
      <c r="P118" s="201"/>
      <c r="Q118" s="195"/>
      <c r="R118" s="190">
        <f>+N118*M118+P118*Q118</f>
        <v>21.000000000000004</v>
      </c>
      <c r="S118" s="197">
        <f>((I15*I15)/162)*R118</f>
        <v>12.962962962962964</v>
      </c>
      <c r="T118" s="154" t="s">
        <v>156</v>
      </c>
    </row>
    <row r="119" spans="2:21" hidden="1">
      <c r="B119" s="202" t="s">
        <v>161</v>
      </c>
      <c r="D119" s="191"/>
      <c r="E119" s="184"/>
      <c r="G119" s="192"/>
      <c r="H119" s="192"/>
      <c r="I119" s="191"/>
      <c r="J119" s="191"/>
      <c r="K119" s="191"/>
      <c r="L119" s="193"/>
      <c r="M119" s="195"/>
      <c r="N119" s="194"/>
      <c r="O119" s="193"/>
      <c r="P119" s="195"/>
      <c r="Q119" s="195"/>
      <c r="R119" s="203"/>
      <c r="S119" s="191"/>
    </row>
    <row r="120" spans="2:21" hidden="1">
      <c r="C120" s="202" t="s">
        <v>162</v>
      </c>
      <c r="D120" s="191"/>
      <c r="E120" s="184">
        <f>E117*1.1</f>
        <v>80.245000000000005</v>
      </c>
      <c r="G120" s="192"/>
      <c r="H120" s="192"/>
      <c r="I120" s="191"/>
      <c r="J120" s="191"/>
      <c r="K120" s="191"/>
      <c r="L120" s="193"/>
      <c r="M120" s="195"/>
      <c r="N120" s="194"/>
      <c r="O120" s="193"/>
      <c r="P120" s="195"/>
      <c r="Q120" s="195"/>
      <c r="R120" s="203"/>
      <c r="S120" s="191"/>
    </row>
    <row r="121" spans="2:21" hidden="1">
      <c r="C121" s="202" t="s">
        <v>163</v>
      </c>
      <c r="D121" s="191"/>
      <c r="E121" s="184">
        <f>((E117*0.6*0.6)*1.1)-(3.142*0.55*0.055*E117)</f>
        <v>21.954630775000002</v>
      </c>
      <c r="G121" s="192"/>
      <c r="H121" s="192"/>
      <c r="I121" s="191"/>
      <c r="J121" s="191"/>
      <c r="K121" s="191"/>
      <c r="L121" s="193"/>
      <c r="M121" s="195"/>
      <c r="N121" s="194"/>
      <c r="O121" s="193"/>
      <c r="P121" s="195"/>
      <c r="Q121" s="195"/>
      <c r="R121" s="203"/>
      <c r="S121" s="191"/>
    </row>
    <row r="123" spans="2:21" hidden="1">
      <c r="B123" s="154" t="s">
        <v>154</v>
      </c>
      <c r="C123" s="178" t="s">
        <v>164</v>
      </c>
      <c r="E123" s="184">
        <f>205*1.1</f>
        <v>225.50000000000003</v>
      </c>
      <c r="G123" s="196">
        <f>+E123*(C18+E18*2+1.5)</f>
        <v>608.85000000000014</v>
      </c>
      <c r="H123" s="196">
        <f>+E123*(C18+E18*2)*(D18+E18+F18)</f>
        <v>297.66000000000003</v>
      </c>
      <c r="I123" s="197">
        <f>+(C18+E18*2)*E123*F18</f>
        <v>13.530000000000001</v>
      </c>
      <c r="J123" s="197">
        <f>+E123*((C18+E18*2)*E18+(D18*E18*2))</f>
        <v>101.47500000000001</v>
      </c>
      <c r="K123" s="197">
        <f>+(D18+$K$104*(D18+E18))*E123*2</f>
        <v>879.45000000000016</v>
      </c>
      <c r="L123" s="187">
        <f>+(E123)/H18+ IF(E123&gt;0,1,0)</f>
        <v>1289.5714285714289</v>
      </c>
      <c r="M123" s="198">
        <f>+ROUNDUP(L123,0)</f>
        <v>1290</v>
      </c>
      <c r="N123" s="189">
        <f>+(D18+E18-0.08)*2+(C18+E18*2-0.08)</f>
        <v>3.06</v>
      </c>
      <c r="O123" s="187">
        <f>+N123/J18+1</f>
        <v>13.24</v>
      </c>
      <c r="P123" s="198">
        <f>+ROUNDUP(O123,0)</f>
        <v>14</v>
      </c>
      <c r="Q123" s="188">
        <f>+E123+E123/6*50*(G18/1000)</f>
        <v>244.29166666666669</v>
      </c>
      <c r="R123" s="190">
        <f>+N123*M123+P123*Q123</f>
        <v>7367.4833333333336</v>
      </c>
      <c r="S123" s="197">
        <f>((I18*I18)/162)*R123</f>
        <v>4547.8292181069955</v>
      </c>
      <c r="T123" s="154" t="s">
        <v>156</v>
      </c>
    </row>
    <row r="124" spans="2:21" hidden="1">
      <c r="C124" s="154" t="s">
        <v>101</v>
      </c>
      <c r="D124" s="191">
        <f>ROUNDUP(+E123/K18,0)</f>
        <v>76</v>
      </c>
      <c r="E124" s="184"/>
      <c r="G124" s="199"/>
      <c r="H124" s="199"/>
      <c r="I124" s="200"/>
      <c r="J124" s="200">
        <f>0.5*(0.075+0.05)*0.075*C18*D124</f>
        <v>0.32062500000000005</v>
      </c>
      <c r="K124" s="200">
        <f>+(0.075+0.08)*C18*D124</f>
        <v>10.602</v>
      </c>
      <c r="L124" s="193">
        <f>+D124</f>
        <v>76</v>
      </c>
      <c r="M124" s="198">
        <f>+ROUNDUP(L124,0)</f>
        <v>76</v>
      </c>
      <c r="N124" s="194">
        <f>+(C18-0.08)+((0.075+0.05-0.04)*2)</f>
        <v>0.99</v>
      </c>
      <c r="O124" s="193"/>
      <c r="P124" s="201"/>
      <c r="Q124" s="195"/>
      <c r="R124" s="190">
        <f>+N124*M124+P124*Q124</f>
        <v>75.239999999999995</v>
      </c>
      <c r="S124" s="197">
        <f>((I18*I18)/162)*R124</f>
        <v>46.444444444444436</v>
      </c>
      <c r="T124" s="154" t="s">
        <v>156</v>
      </c>
    </row>
    <row r="125" spans="2:21" hidden="1"/>
    <row r="126" spans="2:21" hidden="1">
      <c r="B126" s="154" t="s">
        <v>154</v>
      </c>
      <c r="C126" s="178" t="s">
        <v>165</v>
      </c>
      <c r="E126" s="184">
        <f>32.19+61.79</f>
        <v>93.97999999999999</v>
      </c>
      <c r="G126" s="185">
        <f>+E126*(C21+E21*2+3)</f>
        <v>404.11399999999992</v>
      </c>
      <c r="H126" s="185">
        <f>+E126*(C21+E21*2)*(D21+E21+F21)</f>
        <v>146.60879999999997</v>
      </c>
      <c r="I126" s="186">
        <f>+(C21+E21*2)*E126*F21</f>
        <v>6.1086999999999998</v>
      </c>
      <c r="J126" s="186">
        <f>+E126*((C21+E21*2)*E21+(D21*E21*2))</f>
        <v>46.520099999999992</v>
      </c>
      <c r="K126" s="186">
        <f>+(D21+$K$104*(D21+E21))*E126*2</f>
        <v>404.11399999999992</v>
      </c>
      <c r="L126" s="187">
        <f>+(E126)/H21+ IF(E126&gt;0,1,0)</f>
        <v>538.02857142857135</v>
      </c>
      <c r="M126" s="188">
        <f>+ROUNDUP(L126,0)</f>
        <v>539</v>
      </c>
      <c r="N126" s="189">
        <f>+(D21+E21-0.08)*2+(C21+E21*2-0.08)</f>
        <v>3.3599999999999994</v>
      </c>
      <c r="O126" s="187">
        <f>+N126/J21+1</f>
        <v>14.439999999999998</v>
      </c>
      <c r="P126" s="188">
        <f>+ROUNDUP(O126,0)</f>
        <v>15</v>
      </c>
      <c r="Q126" s="188">
        <f>+E126+E126/6*50*(G21/1000)</f>
        <v>101.81166666666665</v>
      </c>
      <c r="R126" s="190">
        <f>+N126*M126+P126*Q126</f>
        <v>3338.2149999999992</v>
      </c>
      <c r="S126" s="186">
        <f>((I21*I21)/162)*R126</f>
        <v>2060.6265432098758</v>
      </c>
      <c r="T126" s="154" t="s">
        <v>156</v>
      </c>
    </row>
    <row r="127" spans="2:21" hidden="1">
      <c r="C127" s="154" t="s">
        <v>101</v>
      </c>
      <c r="D127" s="191">
        <f>ROUNDUP(+E126/K21,0)</f>
        <v>32</v>
      </c>
      <c r="E127" s="184"/>
      <c r="G127" s="192"/>
      <c r="H127" s="192"/>
      <c r="I127" s="191"/>
      <c r="J127" s="191">
        <f>0.5*(0.075+0.05)*0.075*C21*D127</f>
        <v>0.15</v>
      </c>
      <c r="K127" s="191">
        <f>+(0.075+0.08)*C21*D127</f>
        <v>4.96</v>
      </c>
      <c r="L127" s="193">
        <f>+D127</f>
        <v>32</v>
      </c>
      <c r="M127" s="188">
        <f>+ROUNDUP(L127,0)</f>
        <v>32</v>
      </c>
      <c r="N127" s="194">
        <f>+(C21-0.08)+((0.075+0.05-0.04)*2)</f>
        <v>1.0900000000000001</v>
      </c>
      <c r="O127" s="193"/>
      <c r="P127" s="195"/>
      <c r="Q127" s="195"/>
      <c r="R127" s="190">
        <f>+N127*M127+P127*Q127</f>
        <v>34.880000000000003</v>
      </c>
      <c r="S127" s="186">
        <f>((I21*I21)/162)*R127</f>
        <v>21.530864197530864</v>
      </c>
      <c r="T127" s="154" t="s">
        <v>156</v>
      </c>
    </row>
    <row r="128" spans="2:21" hidden="1"/>
    <row r="129" spans="2:20" hidden="1">
      <c r="B129" s="154" t="s">
        <v>154</v>
      </c>
      <c r="C129" s="178" t="s">
        <v>166</v>
      </c>
      <c r="E129" s="184">
        <f>205*1.1</f>
        <v>225.50000000000003</v>
      </c>
      <c r="G129" s="196">
        <f>+E129*(C24+E24*2+1.5)</f>
        <v>451.00000000000006</v>
      </c>
      <c r="H129" s="196">
        <f>+E129*(C24+E24*2)*(((D24+E24+F24)*2+0.1)/2)</f>
        <v>56.375000000000007</v>
      </c>
      <c r="I129" s="197">
        <f>+(C24+E24*2)*E129*F24</f>
        <v>5.6375000000000011</v>
      </c>
      <c r="J129" s="197">
        <f>+E129*((C24+E24*2)*E24+(D24*E24)+((D24+0.1)*E24))</f>
        <v>27.060000000000006</v>
      </c>
      <c r="K129" s="197">
        <f>+((D24*2)+$K$104*((D24+E24)+(D24+E24+0.1)))*E129</f>
        <v>338.25000000000006</v>
      </c>
      <c r="L129" s="187">
        <f>+(E129)/H24+ IF(E129&gt;0,1,0)</f>
        <v>1128.5</v>
      </c>
      <c r="M129" s="198">
        <f>+ROUNDUP(L129,0)</f>
        <v>1129</v>
      </c>
      <c r="N129" s="189">
        <f>+(D24+E24-0.08)+(D24+E24+0.1-0.08)+(C24+E24*2-0.08)</f>
        <v>1.1599999999999999</v>
      </c>
      <c r="O129" s="187">
        <f>+N129/J24+1</f>
        <v>5.64</v>
      </c>
      <c r="P129" s="198">
        <f>+ROUNDUP(O129,0)</f>
        <v>6</v>
      </c>
      <c r="Q129" s="188">
        <f>+E129+E129/6*50*(G24/1000)</f>
        <v>244.29166666666669</v>
      </c>
      <c r="R129" s="190">
        <f>+N129*M129+P129*Q129</f>
        <v>2775.39</v>
      </c>
      <c r="S129" s="197">
        <f>((I24*I24)/162)*R129</f>
        <v>1713.2037037037035</v>
      </c>
      <c r="T129" s="154" t="s">
        <v>156</v>
      </c>
    </row>
    <row r="130" spans="2:20" hidden="1">
      <c r="C130" s="154" t="s">
        <v>101</v>
      </c>
      <c r="D130" s="191">
        <f>ROUNDUP(+E129/K24,0)</f>
        <v>76</v>
      </c>
      <c r="E130" s="184"/>
      <c r="G130" s="199"/>
      <c r="H130" s="199"/>
      <c r="I130" s="200"/>
      <c r="J130" s="200">
        <f>0.5*(0.075+0.05)*0.075*C24*D130</f>
        <v>0.106875</v>
      </c>
      <c r="K130" s="200">
        <f>+(0.075+0.08)*C24*D130</f>
        <v>3.5339999999999998</v>
      </c>
      <c r="L130" s="193">
        <f>+D130</f>
        <v>76</v>
      </c>
      <c r="M130" s="198">
        <f>+ROUNDUP(L130,0)</f>
        <v>76</v>
      </c>
      <c r="N130" s="194">
        <f>+(C24-0.08)+((0.075+0.05-0.04)*2)</f>
        <v>0.38999999999999996</v>
      </c>
      <c r="O130" s="193"/>
      <c r="P130" s="201"/>
      <c r="Q130" s="195"/>
      <c r="R130" s="190">
        <f>+N130*M130+P130*Q130</f>
        <v>29.639999999999997</v>
      </c>
      <c r="S130" s="197">
        <f>((I24*I24)/162)*R130</f>
        <v>18.296296296296294</v>
      </c>
      <c r="T130" s="154" t="s">
        <v>156</v>
      </c>
    </row>
    <row r="131" spans="2:20" hidden="1"/>
    <row r="132" spans="2:20" hidden="1">
      <c r="B132" s="154" t="s">
        <v>154</v>
      </c>
      <c r="C132" s="178" t="s">
        <v>167</v>
      </c>
      <c r="E132" s="184">
        <f>41.61*1.1</f>
        <v>45.771000000000001</v>
      </c>
      <c r="G132" s="185">
        <f>+E132*(C27+E27*2+1.5)</f>
        <v>105.27329999999999</v>
      </c>
      <c r="H132" s="185">
        <f>+E132*(C27+E27*2)*(((D27+E27+F27)*2+0.1)/2)</f>
        <v>29.293440000000004</v>
      </c>
      <c r="I132" s="186">
        <f>+(C27+E27*2)*E132*F27</f>
        <v>1.8308400000000002</v>
      </c>
      <c r="J132" s="186">
        <f>+E132*((C27+E27*2)*E27+(D27*E27)+((D27+0.1)*E27))</f>
        <v>9.6119100000000017</v>
      </c>
      <c r="K132" s="186">
        <f>+((D27*2)+$K$104*((D27+E27)+(D27+E27+0.1)))*E132</f>
        <v>123.58170000000001</v>
      </c>
      <c r="L132" s="187">
        <f>+(E132)/H27+ IF(E132&gt;0,1,0)</f>
        <v>229.85499999999999</v>
      </c>
      <c r="M132" s="188">
        <f>+ROUNDUP(L132,0)</f>
        <v>230</v>
      </c>
      <c r="N132" s="189">
        <f>+(D27+E27-0.08)+(D27+E27+0.1-0.08)+(C27+E27*2-0.08)</f>
        <v>2.06</v>
      </c>
      <c r="O132" s="187">
        <f>+N132/J27+1</f>
        <v>9.24</v>
      </c>
      <c r="P132" s="188">
        <f>+ROUNDUP(O132,0)</f>
        <v>10</v>
      </c>
      <c r="Q132" s="188">
        <f>+E132+E132/6*50*(G27/1000)</f>
        <v>49.585250000000002</v>
      </c>
      <c r="R132" s="190">
        <f>+N132*M132+P132*Q132</f>
        <v>969.65250000000003</v>
      </c>
      <c r="S132" s="186">
        <f>((I27*I27)/162)*R132</f>
        <v>598.55092592592587</v>
      </c>
      <c r="T132" s="154" t="s">
        <v>156</v>
      </c>
    </row>
    <row r="133" spans="2:20" hidden="1">
      <c r="C133" s="154" t="s">
        <v>101</v>
      </c>
      <c r="D133" s="191">
        <f>ROUNDUP(+E132/K27,0)</f>
        <v>16</v>
      </c>
      <c r="E133" s="184"/>
      <c r="G133" s="192"/>
      <c r="H133" s="192"/>
      <c r="I133" s="191"/>
      <c r="J133" s="191">
        <f>0.5*(0.075+0.05)*0.075*C27*D133</f>
        <v>4.4999999999999998E-2</v>
      </c>
      <c r="K133" s="191">
        <f>+(0.075+0.08)*C27*D133</f>
        <v>1.488</v>
      </c>
      <c r="L133" s="193">
        <f>+D133</f>
        <v>16</v>
      </c>
      <c r="M133" s="188">
        <f>+ROUNDUP(L133,0)</f>
        <v>16</v>
      </c>
      <c r="N133" s="194">
        <f>+(C27-0.08)+((0.075+0.05-0.04)*2)</f>
        <v>0.69</v>
      </c>
      <c r="O133" s="193"/>
      <c r="P133" s="195"/>
      <c r="Q133" s="195"/>
      <c r="R133" s="190">
        <f>+N133*M133+P133*Q133</f>
        <v>11.04</v>
      </c>
      <c r="S133" s="186">
        <f>((I27*I27)/162)*R133</f>
        <v>6.814814814814814</v>
      </c>
      <c r="T133" s="154" t="s">
        <v>156</v>
      </c>
    </row>
    <row r="134" spans="2:20" hidden="1"/>
    <row r="135" spans="2:20" hidden="1">
      <c r="B135" s="154" t="s">
        <v>154</v>
      </c>
      <c r="C135" s="178" t="s">
        <v>168</v>
      </c>
      <c r="E135" s="184">
        <f>51.84+59.36</f>
        <v>111.2</v>
      </c>
      <c r="G135" s="185">
        <f>+E135*(C30+E30*2+0.5)</f>
        <v>111.2</v>
      </c>
      <c r="H135" s="185">
        <f>+E135*(C30+E30*2)*(((D30+E30+F30)*2+0.1)/2)</f>
        <v>27.8</v>
      </c>
      <c r="I135" s="186">
        <f>+(C30+E30*2)*E135*F30</f>
        <v>2.7800000000000002</v>
      </c>
      <c r="J135" s="186">
        <f>+E135*((C30+E30*2)*E30+(D30*E30)+((D30+0.1)*E30))</f>
        <v>13.344000000000001</v>
      </c>
      <c r="K135" s="186">
        <f>+((D30*2)+$K$104*((D30+E30)+(D30+E30+0.1)))*E135</f>
        <v>166.8</v>
      </c>
      <c r="L135" s="187">
        <f>+(E135)/H30+ IF(E135&gt;0,1,0)</f>
        <v>445.8</v>
      </c>
      <c r="M135" s="188">
        <f>+ROUNDUP(L135,0)</f>
        <v>446</v>
      </c>
      <c r="N135" s="189">
        <f>+(D30+E30-0.08)+(D30+E30+0.1-0.08)+(C30+E30*2-0.08)</f>
        <v>1.1599999999999999</v>
      </c>
      <c r="O135" s="187">
        <f>+N135/J30+1</f>
        <v>5.64</v>
      </c>
      <c r="P135" s="188">
        <f>+ROUNDUP(O135,0)</f>
        <v>6</v>
      </c>
      <c r="Q135" s="188">
        <f>+E135+E135/6*50*(G30/1000)</f>
        <v>120.46666666666667</v>
      </c>
      <c r="R135" s="190">
        <f>+N135*M135+P135*Q135</f>
        <v>1240.1599999999999</v>
      </c>
      <c r="S135" s="186">
        <f>((I30*I30)/162)*R135</f>
        <v>765.53086419753072</v>
      </c>
      <c r="T135" s="154" t="s">
        <v>156</v>
      </c>
    </row>
    <row r="136" spans="2:20" hidden="1">
      <c r="C136" s="154" t="s">
        <v>121</v>
      </c>
      <c r="D136" s="191"/>
      <c r="E136" s="184">
        <f>+E135</f>
        <v>111.2</v>
      </c>
      <c r="G136" s="185">
        <f>+E136*(C31+0.5)</f>
        <v>222.4</v>
      </c>
      <c r="H136" s="192">
        <f>+E136*C31*E31</f>
        <v>16.680000000000003</v>
      </c>
      <c r="I136" s="191"/>
      <c r="J136" s="191">
        <f>+E136*C31*E31</f>
        <v>16.680000000000003</v>
      </c>
      <c r="K136" s="191">
        <f>+E136*E31</f>
        <v>11.120000000000001</v>
      </c>
      <c r="L136" s="187">
        <f>+(E136)/H31+ IF(E136&gt;0,1,0)</f>
        <v>445.8</v>
      </c>
      <c r="M136" s="188">
        <f>+ROUNDUP(L136,0)</f>
        <v>446</v>
      </c>
      <c r="N136" s="189">
        <f>+C31-0.04</f>
        <v>1.46</v>
      </c>
      <c r="O136" s="187">
        <f>+N136/J31+1</f>
        <v>10.733333333333334</v>
      </c>
      <c r="P136" s="188">
        <f>+ROUNDUP(O136,0)</f>
        <v>11</v>
      </c>
      <c r="Q136" s="188">
        <f>+E136+E136/6*50*(G31/1000)</f>
        <v>120.46666666666667</v>
      </c>
      <c r="R136" s="190">
        <f>+N136*M136+P136*Q136</f>
        <v>1976.2933333333335</v>
      </c>
      <c r="S136" s="186">
        <f>((I31*I31)/162)*R136</f>
        <v>1219.9341563786008</v>
      </c>
      <c r="T136" s="154" t="s">
        <v>156</v>
      </c>
    </row>
    <row r="137" spans="2:20" hidden="1">
      <c r="N137" s="189"/>
    </row>
    <row r="138" spans="2:20" hidden="1">
      <c r="B138" s="154" t="s">
        <v>154</v>
      </c>
      <c r="C138" s="178" t="s">
        <v>169</v>
      </c>
      <c r="E138" s="184">
        <f>205*1.1</f>
        <v>225.50000000000003</v>
      </c>
      <c r="G138" s="196">
        <f>+E138*(C33+E33*2+0.5)</f>
        <v>259.32499999999999</v>
      </c>
      <c r="H138" s="196">
        <f>+E138*(C33+E33*2)*(((D33+E33+F33)*2+0.1)/2)</f>
        <v>95.273750000000035</v>
      </c>
      <c r="I138" s="197">
        <f>+(C33+E33*2)*E138*F33</f>
        <v>7.3287500000000012</v>
      </c>
      <c r="J138" s="197">
        <f>+E138*((C33+E33*2)*E33+(D33*E33)+((D33+0.1)*E33))</f>
        <v>37.20750000000001</v>
      </c>
      <c r="K138" s="197">
        <f>+((D33*2)+$K$104*((D33+E33)+(D33+E33+0.1)))*E138</f>
        <v>473.55000000000007</v>
      </c>
      <c r="L138" s="187">
        <f>+(E138)/H33+ IF(E138&gt;0,1,0)</f>
        <v>903.00000000000011</v>
      </c>
      <c r="M138" s="198">
        <f>+ROUNDUP(L138,0)</f>
        <v>903</v>
      </c>
      <c r="N138" s="189">
        <f>+(D33+E33-0.08)+(D33+E33+0.1-0.08)+(C33+E33*2-0.08)</f>
        <v>1.61</v>
      </c>
      <c r="O138" s="187">
        <f>+N138/J33+1</f>
        <v>7.44</v>
      </c>
      <c r="P138" s="198">
        <f>+ROUNDUP(O138,0)</f>
        <v>8</v>
      </c>
      <c r="Q138" s="188">
        <f>+E138+E138/6*50*(G33/1000)</f>
        <v>244.29166666666669</v>
      </c>
      <c r="R138" s="190">
        <f>+N138*M138+P138*Q138</f>
        <v>3408.1633333333339</v>
      </c>
      <c r="S138" s="197">
        <f>((I33*I33)/162)*R138</f>
        <v>2103.8045267489715</v>
      </c>
      <c r="T138" s="154" t="s">
        <v>156</v>
      </c>
    </row>
    <row r="139" spans="2:20" hidden="1">
      <c r="C139" s="154" t="s">
        <v>121</v>
      </c>
      <c r="D139" s="191"/>
      <c r="E139" s="184">
        <f>+E138</f>
        <v>225.50000000000003</v>
      </c>
      <c r="G139" s="196">
        <f>+E139*(C34+0.5)</f>
        <v>451.00000000000006</v>
      </c>
      <c r="H139" s="199">
        <f>+E139*C34*E34</f>
        <v>33.82500000000001</v>
      </c>
      <c r="I139" s="200"/>
      <c r="J139" s="200">
        <f>+E139*C34*E34</f>
        <v>33.82500000000001</v>
      </c>
      <c r="K139" s="200">
        <f>+E139*E34</f>
        <v>22.550000000000004</v>
      </c>
      <c r="L139" s="187">
        <f>+(E139)/H34+ IF(E139&gt;0,1,0)</f>
        <v>903.00000000000011</v>
      </c>
      <c r="M139" s="198">
        <f>+ROUNDUP(L139,0)</f>
        <v>903</v>
      </c>
      <c r="N139" s="189">
        <f>+C34-0.04</f>
        <v>1.46</v>
      </c>
      <c r="O139" s="187">
        <f>+N139/J34+1</f>
        <v>10.733333333333334</v>
      </c>
      <c r="P139" s="198">
        <f>+ROUNDUP(O139,0)</f>
        <v>11</v>
      </c>
      <c r="Q139" s="188">
        <f>+E139+E139/6*50*(G34/1000)</f>
        <v>244.29166666666669</v>
      </c>
      <c r="R139" s="190">
        <f>+N139*M139+P139*Q139</f>
        <v>4005.5883333333331</v>
      </c>
      <c r="S139" s="197">
        <f>((I34*I34)/162)*R139</f>
        <v>2472.5853909465018</v>
      </c>
      <c r="T139" s="154" t="s">
        <v>156</v>
      </c>
    </row>
    <row r="140" spans="2:20" hidden="1">
      <c r="N140" s="189"/>
    </row>
    <row r="141" spans="2:20" hidden="1">
      <c r="B141" s="154" t="s">
        <v>154</v>
      </c>
      <c r="C141" s="178" t="s">
        <v>170</v>
      </c>
      <c r="E141" s="184">
        <f>205*1.1</f>
        <v>225.50000000000003</v>
      </c>
      <c r="G141" s="196">
        <f>+E141*(C36+E36*2+0.5)</f>
        <v>383.35</v>
      </c>
      <c r="H141" s="196">
        <f>+E141*(C36+E36*2)*(((D36+E36+F36)*2+0.1)/2)</f>
        <v>94.710000000000008</v>
      </c>
      <c r="I141" s="197">
        <f>+(C36+E36*2)*E141*F36</f>
        <v>13.530000000000001</v>
      </c>
      <c r="J141" s="197">
        <f>+E141*((C36+E36*2)*E36+(D36*E36)+((D36+0.1)*E36))</f>
        <v>36.080000000000005</v>
      </c>
      <c r="K141" s="197">
        <f>+((D36*2)+$K$104*((D36+E36)+(D36+E36+0.1)))*E141</f>
        <v>202.95000000000002</v>
      </c>
      <c r="L141" s="187">
        <f>+(E141)/H36+ IF(E141&gt;0,1,0)</f>
        <v>903.00000000000011</v>
      </c>
      <c r="M141" s="198">
        <f>+ROUNDUP(L141,0)</f>
        <v>903</v>
      </c>
      <c r="N141" s="189">
        <f>+(D36+E36-0.08)+(D36+E36+0.1-0.08)+(C36+E36*2-0.08)</f>
        <v>1.5599999999999998</v>
      </c>
      <c r="O141" s="187">
        <f>+N141/J36+1</f>
        <v>7.2399999999999993</v>
      </c>
      <c r="P141" s="198">
        <f>+ROUNDUP(O141,0)</f>
        <v>8</v>
      </c>
      <c r="Q141" s="188">
        <f>+E141+E141/6*50*(G36/1000)</f>
        <v>244.29166666666669</v>
      </c>
      <c r="R141" s="190">
        <f>+N141*M141+P141*Q141</f>
        <v>3363.0133333333333</v>
      </c>
      <c r="S141" s="197">
        <f>((I36*I36)/162)*R141</f>
        <v>2075.9341563786006</v>
      </c>
      <c r="T141" s="154" t="s">
        <v>156</v>
      </c>
    </row>
    <row r="142" spans="2:20" hidden="1">
      <c r="C142" s="154" t="s">
        <v>121</v>
      </c>
      <c r="D142" s="191"/>
      <c r="E142" s="184">
        <f>+E141</f>
        <v>225.50000000000003</v>
      </c>
      <c r="G142" s="196">
        <f>+E142*(C37+0.5)</f>
        <v>451.00000000000006</v>
      </c>
      <c r="H142" s="199">
        <f>+E142*C37*E37</f>
        <v>33.82500000000001</v>
      </c>
      <c r="I142" s="200"/>
      <c r="J142" s="200">
        <f>+E142*C37*E37</f>
        <v>33.82500000000001</v>
      </c>
      <c r="K142" s="200">
        <f>+E142*E37</f>
        <v>22.550000000000004</v>
      </c>
      <c r="L142" s="187">
        <f>+(E142)/H37+ IF(E142&gt;0,1,0)</f>
        <v>903.00000000000011</v>
      </c>
      <c r="M142" s="198">
        <f>+ROUNDUP(L142,0)</f>
        <v>903</v>
      </c>
      <c r="N142" s="189">
        <f>+C37-0.04</f>
        <v>1.46</v>
      </c>
      <c r="O142" s="187">
        <f>+N142/J37+1</f>
        <v>10.733333333333334</v>
      </c>
      <c r="P142" s="198">
        <f>+ROUNDUP(O142,0)</f>
        <v>11</v>
      </c>
      <c r="Q142" s="188">
        <f>+E142+E142/6*50*(G37/1000)</f>
        <v>244.29166666666669</v>
      </c>
      <c r="R142" s="190">
        <f>+N142*M142+P142*Q142</f>
        <v>4005.5883333333331</v>
      </c>
      <c r="S142" s="197">
        <f>((I37*I37)/162)*R142</f>
        <v>2472.5853909465018</v>
      </c>
      <c r="T142" s="154" t="s">
        <v>156</v>
      </c>
    </row>
    <row r="143" spans="2:20" hidden="1">
      <c r="N143" s="189"/>
    </row>
    <row r="144" spans="2:20" hidden="1">
      <c r="B144" s="376" t="s">
        <v>154</v>
      </c>
      <c r="C144" s="377" t="s">
        <v>171</v>
      </c>
      <c r="E144" s="184">
        <v>312.66000000000003</v>
      </c>
      <c r="G144" s="185">
        <f>+E144*(C39+E39)</f>
        <v>343.92600000000004</v>
      </c>
      <c r="H144" s="185">
        <f>+E144*(C39+E39)*E39</f>
        <v>34.392600000000009</v>
      </c>
      <c r="I144" s="186">
        <f>+E144*(C39+E39)*F39</f>
        <v>17.196300000000004</v>
      </c>
      <c r="J144" s="186">
        <f>+E144*((C39+E39)*E39+(E39*D39))</f>
        <v>40.645800000000001</v>
      </c>
      <c r="K144" s="186">
        <f>+E144*(E39*2+D39*2)</f>
        <v>187.59600000000003</v>
      </c>
      <c r="L144" s="187">
        <f>+(E144)/H39+ IF(E144&gt;0,1,0)</f>
        <v>1251.6400000000001</v>
      </c>
      <c r="M144" s="188">
        <f>+ROUNDUP(L144,0)</f>
        <v>1252</v>
      </c>
      <c r="N144" s="189">
        <f>+(C39+E39-0.08)+(D39+E39-0.08)</f>
        <v>1.24</v>
      </c>
      <c r="O144" s="187">
        <f>+N144/J39+1</f>
        <v>5.96</v>
      </c>
      <c r="P144" s="188">
        <f>+ROUNDUP(O144,0)</f>
        <v>6</v>
      </c>
      <c r="Q144" s="188">
        <f>+E144+E144/6*50*(G39/1000)</f>
        <v>338.71500000000003</v>
      </c>
      <c r="R144" s="190">
        <f>+N144*M144+P144*Q144</f>
        <v>3584.7700000000004</v>
      </c>
      <c r="S144" s="186">
        <f>((I39*I39)/162)*R144</f>
        <v>2212.820987654321</v>
      </c>
      <c r="T144" s="154" t="s">
        <v>156</v>
      </c>
    </row>
    <row r="145" spans="2:20" hidden="1">
      <c r="N145" s="189"/>
    </row>
    <row r="146" spans="2:20" hidden="1">
      <c r="B146" s="154" t="s">
        <v>154</v>
      </c>
      <c r="C146" s="178" t="s">
        <v>172</v>
      </c>
      <c r="E146" s="184">
        <f>205*1.1</f>
        <v>225.50000000000003</v>
      </c>
      <c r="G146" s="196">
        <f>+E146*(C41+E41)</f>
        <v>248.05000000000004</v>
      </c>
      <c r="H146" s="196">
        <f>+E146*(C41+E41)*E41</f>
        <v>24.805000000000007</v>
      </c>
      <c r="I146" s="197">
        <f>+E146*(C41+E41)*F41</f>
        <v>12.402500000000003</v>
      </c>
      <c r="J146" s="197">
        <f>+E146*((C41+E41)*E41+(E41*D41))</f>
        <v>31.570000000000007</v>
      </c>
      <c r="K146" s="197">
        <f>+E146*(E41*2+D41*2)</f>
        <v>180.40000000000003</v>
      </c>
      <c r="L146" s="187">
        <f>+(E146)/H41+ IF(E146&gt;0,1,0)</f>
        <v>903.00000000000011</v>
      </c>
      <c r="M146" s="198">
        <f>+ROUNDUP(L146,0)</f>
        <v>903</v>
      </c>
      <c r="N146" s="189">
        <f>+(C41+E41-0.08)+(D41+E41-0.08)</f>
        <v>1.34</v>
      </c>
      <c r="O146" s="187">
        <f>+N146/J41+1</f>
        <v>6.36</v>
      </c>
      <c r="P146" s="198">
        <f>+ROUNDUP(O146,0)</f>
        <v>7</v>
      </c>
      <c r="Q146" s="188">
        <f>+E146+E146/6*50*(G41/1000)</f>
        <v>244.29166666666669</v>
      </c>
      <c r="R146" s="190">
        <f>+N146*M146+P146*Q146</f>
        <v>2920.0616666666665</v>
      </c>
      <c r="S146" s="197">
        <f>((I41*I41)/162)*R146</f>
        <v>1802.5072016460904</v>
      </c>
      <c r="T146" s="154" t="s">
        <v>156</v>
      </c>
    </row>
    <row r="147" spans="2:20" hidden="1">
      <c r="N147" s="189"/>
    </row>
    <row r="148" spans="2:20" hidden="1">
      <c r="B148" s="154" t="s">
        <v>154</v>
      </c>
      <c r="C148" s="178" t="s">
        <v>173</v>
      </c>
      <c r="E148" s="184">
        <v>81.819999999999993</v>
      </c>
      <c r="G148" s="196">
        <f>+E148*(C43+E43*2+1.5)</f>
        <v>196.36799999999997</v>
      </c>
      <c r="H148" s="196">
        <f>+E148*(C43+E43*2)*(((D43+E43+F43)*2+0.6)/2)</f>
        <v>81.001800000000003</v>
      </c>
      <c r="I148" s="197">
        <f>+(C43+E43*2)*E148*F43</f>
        <v>3.6818999999999997</v>
      </c>
      <c r="J148" s="197">
        <f>+E148*((C43+E43*2)*E43+(D43*E43)+((D43+0.6)*E43))</f>
        <v>33.137099999999997</v>
      </c>
      <c r="K148" s="197">
        <f>+((D43*2)+$K$104*((D43+E43)+(D43+E43+0.6)))*E148</f>
        <v>270.00599999999997</v>
      </c>
      <c r="L148" s="187">
        <f>+(E148)/H43+ IF(E148&gt;0,1,0)</f>
        <v>328.28</v>
      </c>
      <c r="M148" s="198">
        <f>+ROUNDUP(L148,0)</f>
        <v>329</v>
      </c>
      <c r="N148" s="189">
        <f>+(E43+D43+E43+C43+2*E43+E43+D43+0.6+E43-9*0.04)+(E43+D43+2*E43-5*0.04)+(E43+0.6+D43+2*E43-5*0.04)+(C43+4*E43-6*0.04)</f>
        <v>6.2</v>
      </c>
      <c r="O148" s="187">
        <f>2*(D43/J43+1)+2*((D43+0.6)/J43+1)+((C43+2*E43)/J43+1)</f>
        <v>23</v>
      </c>
      <c r="P148" s="198">
        <f>+ROUNDUP(O148,0)</f>
        <v>23</v>
      </c>
      <c r="Q148" s="188">
        <f>+E148+E148/6*50*(G43/1000)</f>
        <v>88.638333333333321</v>
      </c>
      <c r="R148" s="190">
        <f>+N148*M148+P148*Q148</f>
        <v>4078.4816666666666</v>
      </c>
      <c r="S148" s="197">
        <f>((I43*I43)/162)*R148</f>
        <v>2517.5812757201643</v>
      </c>
      <c r="T148" s="154" t="s">
        <v>156</v>
      </c>
    </row>
    <row r="149" spans="2:20" hidden="1"/>
    <row r="150" spans="2:20" hidden="1">
      <c r="B150" s="154" t="s">
        <v>154</v>
      </c>
      <c r="C150" s="178" t="s">
        <v>174</v>
      </c>
      <c r="E150" s="184">
        <f>205*1.1</f>
        <v>225.50000000000003</v>
      </c>
      <c r="G150" s="196">
        <f>+E150*(C45+E45*2+1.5)</f>
        <v>586.30000000000007</v>
      </c>
      <c r="H150" s="196">
        <f>+E150*(C45+E45*2)*(((D45+E45+F45)*2+0.6)/2)</f>
        <v>322.46500000000009</v>
      </c>
      <c r="I150" s="197">
        <f>+(C45+E45*2)*E150*F45</f>
        <v>12.402500000000003</v>
      </c>
      <c r="J150" s="197">
        <f>+E150*((C45+E45*2)*E45+(D45*E45)+((D45+0.6)*E45))</f>
        <v>111.62250000000002</v>
      </c>
      <c r="K150" s="197">
        <f>+((D45*2)+$K$104*((D45+E45)+(D45+E45+0.6)))*E150</f>
        <v>924.55000000000007</v>
      </c>
      <c r="L150" s="187">
        <f>+(E150)/H45+ IF(E150&gt;0,1,0)</f>
        <v>903.00000000000011</v>
      </c>
      <c r="M150" s="198">
        <f>+ROUNDUP(L150,0)</f>
        <v>903</v>
      </c>
      <c r="N150" s="189">
        <f>+(E45+D45+E45+C45+2*E45+E45+D45+0.6+E45-9*0.04)+(E45+D45+2*E45-5*0.04)+(E45+0.6+D45+2*E45-5*0.04)+(C45+4*E45-6*0.04)</f>
        <v>7.4000000000000012</v>
      </c>
      <c r="O150" s="187">
        <f>2*(D45/J45+1)+2*((D45+0.6)/J45+1)+((C45+2*E45)/J45+1)</f>
        <v>27</v>
      </c>
      <c r="P150" s="198">
        <f>+ROUNDUP(O150,0)</f>
        <v>27</v>
      </c>
      <c r="Q150" s="188">
        <f>+E150+E150/6*50*(G45/1000)</f>
        <v>244.29166666666669</v>
      </c>
      <c r="R150" s="190">
        <f>+N150*M150+P150*Q150</f>
        <v>13278.075000000001</v>
      </c>
      <c r="S150" s="197">
        <f>((I45*I45)/162)*R150</f>
        <v>8196.3425925925931</v>
      </c>
      <c r="T150" s="154" t="s">
        <v>156</v>
      </c>
    </row>
    <row r="151" spans="2:20" hidden="1"/>
    <row r="152" spans="2:20" hidden="1">
      <c r="B152" s="154" t="s">
        <v>154</v>
      </c>
      <c r="C152" s="178" t="s">
        <v>175</v>
      </c>
      <c r="E152" s="184">
        <v>100</v>
      </c>
      <c r="G152" s="196">
        <f>+E152*(C47+E47*2+1.5)</f>
        <v>270</v>
      </c>
      <c r="H152" s="196">
        <f>+E152*(C47+E47*2)*(D47+F47+F47)</f>
        <v>84.000000000000014</v>
      </c>
      <c r="I152" s="197">
        <f>+(C47+E47*2)*E152*F47</f>
        <v>6</v>
      </c>
      <c r="J152" s="197">
        <f>+E152*((C47+E47*2)*E47+(D47*E47*2))</f>
        <v>24</v>
      </c>
      <c r="K152" s="197">
        <f>+(D47+$K$104*(D47+E47))*E152*2</f>
        <v>259.99999999999994</v>
      </c>
      <c r="L152" s="187">
        <f>+(E152)/H47+ IF(E152&gt;0,1,0)</f>
        <v>401</v>
      </c>
      <c r="M152" s="198">
        <f>+ROUNDUP(L152,0)</f>
        <v>401</v>
      </c>
      <c r="N152" s="189">
        <f>+(D47+E47-0.08)*2+(C47+E47*2-0.08)</f>
        <v>2.36</v>
      </c>
      <c r="O152" s="187">
        <f>+N152/J47+1</f>
        <v>10.44</v>
      </c>
      <c r="P152" s="198">
        <f>+ROUNDUP(O152,0)</f>
        <v>11</v>
      </c>
      <c r="Q152" s="188">
        <f>+E152+E152/6*50*(G47/1000)</f>
        <v>108.33333333333333</v>
      </c>
      <c r="R152" s="190">
        <f>+N152*M152+P152*Q152</f>
        <v>2138.0266666666666</v>
      </c>
      <c r="S152" s="197">
        <f>((I47*I47)/162)*R152</f>
        <v>1319.7695473251028</v>
      </c>
      <c r="T152" s="154" t="s">
        <v>156</v>
      </c>
    </row>
    <row r="153" spans="2:20" hidden="1">
      <c r="C153" s="154" t="s">
        <v>101</v>
      </c>
      <c r="D153" s="191">
        <f>ROUNDUP(+E152/K47,0)</f>
        <v>34</v>
      </c>
      <c r="E153" s="184"/>
      <c r="G153" s="199"/>
      <c r="H153" s="199"/>
      <c r="I153" s="200"/>
      <c r="J153" s="200">
        <f>0.5*(0.075+0.05)*0.075*C47*D153</f>
        <v>0.15937499999999999</v>
      </c>
      <c r="K153" s="200">
        <f>+(0.075+0.08)*C47*D153</f>
        <v>5.27</v>
      </c>
      <c r="L153" s="193">
        <f>+D153</f>
        <v>34</v>
      </c>
      <c r="M153" s="198">
        <f>+ROUNDUP(L153,0)</f>
        <v>34</v>
      </c>
      <c r="N153" s="194">
        <f>+(C47-0.08)+((0.075+0.05-2*0.04)*2)</f>
        <v>1.01</v>
      </c>
      <c r="O153" s="193"/>
      <c r="P153" s="201"/>
      <c r="Q153" s="195"/>
      <c r="R153" s="190">
        <f>+N153*M153+P153*Q153</f>
        <v>34.340000000000003</v>
      </c>
      <c r="S153" s="197">
        <f>((I47*I47)/162)*R153</f>
        <v>21.197530864197532</v>
      </c>
      <c r="T153" s="154" t="s">
        <v>156</v>
      </c>
    </row>
    <row r="154" spans="2:20" hidden="1">
      <c r="E154" s="184"/>
      <c r="M154" s="204"/>
    </row>
    <row r="155" spans="2:20" hidden="1">
      <c r="B155" s="154" t="s">
        <v>154</v>
      </c>
      <c r="C155" s="178" t="s">
        <v>176</v>
      </c>
      <c r="E155" s="184">
        <f>70.25*1.06418</f>
        <v>74.758644999999987</v>
      </c>
      <c r="G155" s="196">
        <f>+E155*(C50+E50*2+1.5)</f>
        <v>205.58627374999998</v>
      </c>
      <c r="H155" s="196">
        <f>+E155*(C50+E50*2)*(D50+F50+F50)</f>
        <v>84.103475625000002</v>
      </c>
      <c r="I155" s="197">
        <f>+(C50+E50*2)*E155*F50</f>
        <v>4.6724153124999992</v>
      </c>
      <c r="J155" s="197">
        <f>+E155*((C50+E50*2)*E50+(D50*E50*2))</f>
        <v>26.632767281249997</v>
      </c>
      <c r="K155" s="197">
        <f>+(D50+$K$104*(D50+E50))*E155*2</f>
        <v>257.91732524999998</v>
      </c>
      <c r="L155" s="187">
        <f>+(E155)/H50+ IF(E155&gt;0,1,0)</f>
        <v>300.03457999999995</v>
      </c>
      <c r="M155" s="198">
        <f>+ROUNDUP(L155,0)</f>
        <v>301</v>
      </c>
      <c r="N155" s="189">
        <f>+(D50+E50-0.08)*2+(C50+E50*2-0.08)</f>
        <v>2.8600000000000003</v>
      </c>
      <c r="O155" s="187">
        <f>+N155/J50+1</f>
        <v>12.440000000000001</v>
      </c>
      <c r="P155" s="198">
        <f>+ROUNDUP(O155,0)</f>
        <v>13</v>
      </c>
      <c r="Q155" s="188">
        <f>+E155+E155/6*50*(G50/1000)</f>
        <v>80.988532083333325</v>
      </c>
      <c r="R155" s="190">
        <f>+N155*M155+P155*Q155</f>
        <v>1913.7109170833332</v>
      </c>
      <c r="S155" s="197">
        <f>((I50*I50)/162)*R155</f>
        <v>1181.3030352366254</v>
      </c>
      <c r="T155" s="154" t="s">
        <v>156</v>
      </c>
    </row>
    <row r="156" spans="2:20" hidden="1">
      <c r="C156" s="154" t="s">
        <v>101</v>
      </c>
      <c r="D156" s="191">
        <f>ROUNDUP(+E155/K50,0)</f>
        <v>25</v>
      </c>
      <c r="E156" s="184"/>
      <c r="G156" s="199"/>
      <c r="H156" s="199"/>
      <c r="I156" s="200"/>
      <c r="J156" s="200">
        <f>0.5*(0.075+0.05)*0.075*C50*D156</f>
        <v>0.1171875</v>
      </c>
      <c r="K156" s="200">
        <f>+(0.075+0.08)*C50*D156</f>
        <v>3.875</v>
      </c>
      <c r="L156" s="193">
        <f>+D156</f>
        <v>25</v>
      </c>
      <c r="M156" s="198">
        <f>+ROUNDUP(L156,0)</f>
        <v>25</v>
      </c>
      <c r="N156" s="194">
        <f>+(C50-0.08)+((0.075+0.05-2*0.04)*2)</f>
        <v>1.01</v>
      </c>
      <c r="O156" s="193"/>
      <c r="P156" s="201"/>
      <c r="Q156" s="195"/>
      <c r="R156" s="190">
        <f>+N156*M156+P156*Q156</f>
        <v>25.25</v>
      </c>
      <c r="S156" s="197">
        <f>((I50*I50)/162)*R156</f>
        <v>15.586419753086419</v>
      </c>
      <c r="T156" s="154" t="s">
        <v>156</v>
      </c>
    </row>
    <row r="157" spans="2:20" hidden="1"/>
    <row r="158" spans="2:20" hidden="1">
      <c r="B158" s="154" t="s">
        <v>154</v>
      </c>
      <c r="C158" s="178" t="s">
        <v>177</v>
      </c>
      <c r="E158" s="184">
        <v>100</v>
      </c>
      <c r="G158" s="196">
        <f>+E158*(C53+E53*2+1.5)</f>
        <v>275</v>
      </c>
      <c r="H158" s="196">
        <f>+E158*(C53+E53*2)*(D53+F53+F53)</f>
        <v>137.5</v>
      </c>
      <c r="I158" s="197">
        <f>+(C53+E53*2)*E158*F53</f>
        <v>6.25</v>
      </c>
      <c r="J158" s="197">
        <f>+E158*((C53+E53*2)*E53+(D53*E53*2))</f>
        <v>40.625</v>
      </c>
      <c r="K158" s="197">
        <f>+(D53+$K$104*(D53+E53))*E158*2</f>
        <v>425</v>
      </c>
      <c r="L158" s="187">
        <f>+(E158)/H53+ IF(E158&gt;0,1,0)</f>
        <v>401</v>
      </c>
      <c r="M158" s="198">
        <f>+ROUNDUP(L158,0)</f>
        <v>401</v>
      </c>
      <c r="N158" s="189">
        <f>+(E53+D53+E53+C53+2*E53+D53+2*E53-0.04*10)+(E53+D53+2*E53-5*0.04)*2+(C53+4*E53-6*0.04)</f>
        <v>6.96</v>
      </c>
      <c r="O158" s="187">
        <f>(2*(D53+E53)+(C53+2*E53)-6*0.04)/J53*2</f>
        <v>26.08</v>
      </c>
      <c r="P158" s="198">
        <f>+ROUNDUP(O158,0)</f>
        <v>27</v>
      </c>
      <c r="Q158" s="188">
        <f>+E158+E158/6*50*(G53/1000)</f>
        <v>108.33333333333333</v>
      </c>
      <c r="R158" s="190">
        <f>+N158*M158+P158*Q158</f>
        <v>5715.96</v>
      </c>
      <c r="S158" s="197">
        <f>((I53*I53)/162)*R158</f>
        <v>3528.37037037037</v>
      </c>
      <c r="T158" s="154" t="s">
        <v>156</v>
      </c>
    </row>
    <row r="159" spans="2:20" hidden="1">
      <c r="C159" s="154" t="s">
        <v>101</v>
      </c>
      <c r="D159" s="191">
        <f>ROUNDUP(+E158/K53,0)</f>
        <v>34</v>
      </c>
      <c r="E159" s="184"/>
      <c r="G159" s="199"/>
      <c r="H159" s="199"/>
      <c r="I159" s="200"/>
      <c r="J159" s="200">
        <f>0.5*(0.075+0.05)*0.075*C53*D159</f>
        <v>0.15937499999999999</v>
      </c>
      <c r="K159" s="200">
        <f>+(0.075+0.08)*C53*D159</f>
        <v>5.27</v>
      </c>
      <c r="L159" s="193">
        <f>+D159</f>
        <v>34</v>
      </c>
      <c r="M159" s="198">
        <f>+ROUNDUP(L159,0)</f>
        <v>34</v>
      </c>
      <c r="N159" s="194">
        <f>+(C53-0.08)+((0.075+0.05-2*0.04)*2)</f>
        <v>1.01</v>
      </c>
      <c r="O159" s="193"/>
      <c r="P159" s="201"/>
      <c r="Q159" s="195"/>
      <c r="R159" s="190">
        <f>+N159*M159+P159*Q159</f>
        <v>34.340000000000003</v>
      </c>
      <c r="S159" s="197">
        <f>((I53*I53)/162)*R159</f>
        <v>21.197530864197532</v>
      </c>
      <c r="T159" s="154" t="s">
        <v>156</v>
      </c>
    </row>
    <row r="160" spans="2:20" hidden="1"/>
    <row r="161" spans="2:20" hidden="1">
      <c r="B161" s="154" t="s">
        <v>154</v>
      </c>
      <c r="C161" s="178" t="s">
        <v>178</v>
      </c>
      <c r="E161" s="184">
        <v>100</v>
      </c>
      <c r="G161" s="196">
        <f>+E161*(C56+E56*2+1.5)</f>
        <v>275</v>
      </c>
      <c r="H161" s="196">
        <f>+E161*(C56+E56*2)*(D56+F56+F56)</f>
        <v>137.5</v>
      </c>
      <c r="I161" s="197">
        <f>+(C56+E56*2)*E161*F56</f>
        <v>6.25</v>
      </c>
      <c r="J161" s="197">
        <f>+E161*((C56+E56*2)*E56+(D56*E56*2))</f>
        <v>40.625</v>
      </c>
      <c r="K161" s="197">
        <f>+(D56+$K$104*(D56+E56))*E161*2</f>
        <v>425</v>
      </c>
      <c r="L161" s="187">
        <f>+(E161)/H56+ IF(E161&gt;0,1,0)</f>
        <v>401</v>
      </c>
      <c r="M161" s="198">
        <f>+ROUNDUP(L161,0)</f>
        <v>401</v>
      </c>
      <c r="N161" s="189">
        <f>+(E56+D56+E56+C56+2*E56+D56+2*E56-0.04*10)+(E56+D56+2*E56-5*0.04)*2+(C56+4*E56-6*0.04)</f>
        <v>6.96</v>
      </c>
      <c r="O161" s="187">
        <f>(2*(D56+E56)+(C56+2*E56)-6*0.04)/J56*2</f>
        <v>26.08</v>
      </c>
      <c r="P161" s="198">
        <f>+ROUNDUP(O161,0)</f>
        <v>27</v>
      </c>
      <c r="Q161" s="188">
        <f>+E161+E161/6*50*(G56/1000)</f>
        <v>108.33333333333333</v>
      </c>
      <c r="R161" s="190">
        <f>+N161*M161+P161*Q161</f>
        <v>5715.96</v>
      </c>
      <c r="S161" s="197">
        <f>((I56*I56)/162)*R161</f>
        <v>3528.37037037037</v>
      </c>
      <c r="T161" s="154" t="s">
        <v>156</v>
      </c>
    </row>
    <row r="162" spans="2:20" hidden="1">
      <c r="C162" s="154" t="s">
        <v>101</v>
      </c>
      <c r="D162" s="191">
        <f>ROUNDUP(+E161/K56,0)</f>
        <v>34</v>
      </c>
      <c r="E162" s="184"/>
      <c r="G162" s="199"/>
      <c r="H162" s="199"/>
      <c r="I162" s="200"/>
      <c r="J162" s="200">
        <f>0.5*(0.075+0.05)*0.075*C56*D162</f>
        <v>0.15937499999999999</v>
      </c>
      <c r="K162" s="200">
        <f>+(0.075+0.08)*C56*D162</f>
        <v>5.27</v>
      </c>
      <c r="L162" s="193">
        <f>+D162</f>
        <v>34</v>
      </c>
      <c r="M162" s="198">
        <f>+ROUNDUP(L162,0)</f>
        <v>34</v>
      </c>
      <c r="N162" s="194">
        <f>+(C56-0.08)+((0.075+0.05-2*0.04)*2)</f>
        <v>1.01</v>
      </c>
      <c r="O162" s="193"/>
      <c r="P162" s="201"/>
      <c r="Q162" s="195"/>
      <c r="R162" s="190">
        <f>+N162*M162+P162*Q162</f>
        <v>34.340000000000003</v>
      </c>
      <c r="S162" s="197">
        <f>((I56*I56)/162)*R162</f>
        <v>21.197530864197532</v>
      </c>
      <c r="T162" s="154" t="s">
        <v>156</v>
      </c>
    </row>
    <row r="163" spans="2:20" hidden="1"/>
    <row r="164" spans="2:20" hidden="1">
      <c r="B164" s="205" t="s">
        <v>179</v>
      </c>
      <c r="C164" s="178" t="s">
        <v>180</v>
      </c>
      <c r="E164" s="184">
        <v>44.65</v>
      </c>
      <c r="G164" s="196">
        <f>+E164*(C59+E59*2+1)</f>
        <v>73.672499999999999</v>
      </c>
      <c r="H164" s="196">
        <f>(+E164*(C59+E59*2)*(D59+F59+F59))*50%</f>
        <v>7.9811875000000008</v>
      </c>
      <c r="I164" s="197">
        <f>+(C59+E59*2)*E164*F59</f>
        <v>1.4511250000000002</v>
      </c>
      <c r="J164" s="197">
        <f>+E164*((C59+E59*2+0.06)*E59+(D59*E59*2))</f>
        <v>7.18865</v>
      </c>
      <c r="K164" s="197">
        <f>+(D59+(D59+E59))*E164*2</f>
        <v>89.3</v>
      </c>
      <c r="L164" s="187">
        <f>+(E164)/H59+ IF(E164&gt;0,1,0)</f>
        <v>179.6</v>
      </c>
      <c r="M164" s="198">
        <f>+ROUNDUP(L164,0)</f>
        <v>180</v>
      </c>
      <c r="N164" s="189">
        <f>+(D59+E59-0.08)*2+(C59+E59*2-0.08)</f>
        <v>1.5100000000000002</v>
      </c>
      <c r="O164" s="187">
        <f>+N164/J59+1</f>
        <v>7.0400000000000009</v>
      </c>
      <c r="P164" s="198">
        <f>+ROUNDUP(O164,0)</f>
        <v>8</v>
      </c>
      <c r="Q164" s="188">
        <f>+E164+E164/6*50*(G59/1000)</f>
        <v>48.37083333333333</v>
      </c>
      <c r="R164" s="190">
        <f>+N164*M164+P164*Q164</f>
        <v>658.76666666666665</v>
      </c>
      <c r="S164" s="197">
        <f>((I59*I59)/162)*R164</f>
        <v>406.64609053497941</v>
      </c>
      <c r="T164" s="154" t="s">
        <v>156</v>
      </c>
    </row>
    <row r="165" spans="2:20" hidden="1">
      <c r="C165" s="154" t="s">
        <v>181</v>
      </c>
      <c r="D165" s="191">
        <f>ROUNDUP(+(E164/SQRT(L59^2+M59^2)),0)</f>
        <v>115</v>
      </c>
      <c r="E165" s="184"/>
      <c r="G165" s="199"/>
      <c r="H165" s="199"/>
      <c r="I165" s="200"/>
      <c r="J165" s="200">
        <f>0.5*(0.075+0.05)*0.075*C59*D165</f>
        <v>0.24257812500000001</v>
      </c>
      <c r="K165" s="200">
        <f>+M59*C59*D165</f>
        <v>14.231250000000001</v>
      </c>
      <c r="L165" s="193"/>
      <c r="M165" s="198">
        <f>+ROUNDUP(L165,0)</f>
        <v>0</v>
      </c>
      <c r="N165" s="194"/>
      <c r="O165" s="193"/>
      <c r="P165" s="201"/>
      <c r="Q165" s="195"/>
      <c r="R165" s="190">
        <f>+N165*M165+P165*Q165</f>
        <v>0</v>
      </c>
      <c r="S165" s="197">
        <f>((I59*I59)/162)*R165</f>
        <v>0</v>
      </c>
    </row>
    <row r="166" spans="2:20" hidden="1">
      <c r="C166" s="154" t="s">
        <v>182</v>
      </c>
      <c r="D166" s="154">
        <f>ROUNDUP(+E164/1,0)</f>
        <v>45</v>
      </c>
    </row>
    <row r="167" spans="2:20" hidden="1"/>
    <row r="168" spans="2:20">
      <c r="B168" s="378" t="s">
        <v>179</v>
      </c>
      <c r="C168" s="375" t="s">
        <v>183</v>
      </c>
      <c r="E168" s="184">
        <v>31.57</v>
      </c>
      <c r="G168" s="185">
        <f>+E168*(C63+E63*2+1)</f>
        <v>52.090499999999999</v>
      </c>
      <c r="H168" s="185">
        <f>(+E168*(C63+E63*2)*(D63+F63+F63))*50%</f>
        <v>7.1821750000000018</v>
      </c>
      <c r="I168" s="186">
        <f>+(C63+E63*2)*E168*F63</f>
        <v>1.0260250000000002</v>
      </c>
      <c r="J168" s="186">
        <f>+E168*((C63+E63*2+0.06)*E63+(D63*E63*2))</f>
        <v>6.0298699999999998</v>
      </c>
      <c r="K168" s="186">
        <f>+(D63+(D63+E63))*E168*2</f>
        <v>82.081999999999994</v>
      </c>
      <c r="L168" s="187">
        <f>+(E168)/H63+ IF(E168&gt;0,1,0)</f>
        <v>127.28</v>
      </c>
      <c r="M168" s="188">
        <f>+ROUNDUP(L168,0)</f>
        <v>128</v>
      </c>
      <c r="N168" s="189">
        <f>+(D63+E63-0.08)*2+(C63+E63*2-0.08)</f>
        <v>1.81</v>
      </c>
      <c r="O168" s="187">
        <f>+N168/J63+1</f>
        <v>8.24</v>
      </c>
      <c r="P168" s="188">
        <f>+ROUNDUP(O168,0)</f>
        <v>9</v>
      </c>
      <c r="Q168" s="188">
        <f>+E168+E168/6*50*(G63/1000)</f>
        <v>34.200833333333335</v>
      </c>
      <c r="R168" s="190">
        <f>+N168*M168+P168*Q168</f>
        <v>539.48749999999995</v>
      </c>
      <c r="S168" s="186">
        <f>((I63*I63)/162)*R168</f>
        <v>333.01697530864192</v>
      </c>
      <c r="T168" s="154" t="s">
        <v>156</v>
      </c>
    </row>
    <row r="169" spans="2:20">
      <c r="C169" s="154" t="s">
        <v>181</v>
      </c>
      <c r="D169" s="191">
        <f>ROUNDUP(+(E168/SQRT(L63^2+M63^2)),0)</f>
        <v>82</v>
      </c>
      <c r="E169" s="184"/>
      <c r="G169" s="192"/>
      <c r="H169" s="192"/>
      <c r="I169" s="191"/>
      <c r="J169" s="191">
        <f>0.5*(0.075+0.05)*0.075*C63*D169</f>
        <v>0.17296875</v>
      </c>
      <c r="K169" s="191">
        <f>+M63*C63*D169</f>
        <v>10.147500000000001</v>
      </c>
      <c r="L169" s="193"/>
      <c r="M169" s="188">
        <f>+ROUNDUP(L169,0)</f>
        <v>0</v>
      </c>
      <c r="N169" s="194"/>
      <c r="O169" s="193"/>
      <c r="P169" s="195"/>
      <c r="Q169" s="195"/>
      <c r="R169" s="190">
        <f>+N169*M169+P169*Q169</f>
        <v>0</v>
      </c>
      <c r="S169" s="186">
        <f>((I63*I63)/162)*R169</f>
        <v>0</v>
      </c>
    </row>
    <row r="170" spans="2:20">
      <c r="C170" s="154" t="s">
        <v>182</v>
      </c>
      <c r="D170" s="154">
        <f>ROUNDUP(+E168/1,0)</f>
        <v>32</v>
      </c>
    </row>
    <row r="171" spans="2:20">
      <c r="K171" s="191"/>
    </row>
    <row r="172" spans="2:20" hidden="1">
      <c r="B172" s="205" t="s">
        <v>179</v>
      </c>
      <c r="C172" s="178" t="s">
        <v>184</v>
      </c>
      <c r="E172" s="184">
        <v>73.25</v>
      </c>
      <c r="G172" s="185">
        <f>+E172*(C67+E67*2+1)</f>
        <v>131.85</v>
      </c>
      <c r="H172" s="185">
        <f>(+E172*(C67+E67*2)*(D67+F67+F67))*50%</f>
        <v>20.51</v>
      </c>
      <c r="I172" s="186">
        <f>+(C67+E67*2)*E172*F67</f>
        <v>2.93</v>
      </c>
      <c r="J172" s="186">
        <f>+E172*((C67+E67*2+0.06)*E67+(D67*E67*2))</f>
        <v>15.089500000000001</v>
      </c>
      <c r="K172" s="417">
        <f>+(D67+(D67+E67))*E172*2</f>
        <v>190.44999999999996</v>
      </c>
      <c r="L172" s="187">
        <f>+(E172)/H67+ IF(E172&gt;0,1,0)</f>
        <v>294</v>
      </c>
      <c r="M172" s="188">
        <f>+ROUNDUP(L172,0)</f>
        <v>294</v>
      </c>
      <c r="N172" s="189">
        <f>+(D67+E67-0.08)*2+(C67+E67*2-0.08)</f>
        <v>1.96</v>
      </c>
      <c r="O172" s="187">
        <f>+N172/J67+1</f>
        <v>8.84</v>
      </c>
      <c r="P172" s="188">
        <f>+ROUNDUP(O172,0)</f>
        <v>9</v>
      </c>
      <c r="Q172" s="188">
        <f>+E172+E172/6*50*(G67/1000)</f>
        <v>79.354166666666671</v>
      </c>
      <c r="R172" s="190">
        <f>+N172*M172+P172*Q172</f>
        <v>1290.4275</v>
      </c>
      <c r="S172" s="186">
        <f>((I67*I67)/162)*R172</f>
        <v>796.56018518518511</v>
      </c>
      <c r="T172" s="154" t="s">
        <v>156</v>
      </c>
    </row>
    <row r="173" spans="2:20" hidden="1">
      <c r="C173" s="154" t="s">
        <v>181</v>
      </c>
      <c r="D173" s="191">
        <f>ROUNDUP(+(E172/SQRT(L67^2+M67^2)),0)</f>
        <v>189</v>
      </c>
      <c r="E173" s="184"/>
      <c r="G173" s="192"/>
      <c r="H173" s="192"/>
      <c r="I173" s="191"/>
      <c r="J173" s="191">
        <f>0.5*(0.075+0.05)*0.075*C67*D173</f>
        <v>0.53156249999999994</v>
      </c>
      <c r="K173" s="191">
        <f>+M67*C67*D173</f>
        <v>31.185000000000002</v>
      </c>
      <c r="L173" s="193"/>
      <c r="M173" s="188">
        <f>+ROUNDUP(L173,0)</f>
        <v>0</v>
      </c>
      <c r="N173" s="194"/>
      <c r="O173" s="193"/>
      <c r="P173" s="195"/>
      <c r="Q173" s="195"/>
      <c r="R173" s="190">
        <f>+N173*M173+P173*Q173</f>
        <v>0</v>
      </c>
      <c r="S173" s="186">
        <f>((I67*I67)/162)*R173</f>
        <v>0</v>
      </c>
    </row>
    <row r="174" spans="2:20" hidden="1">
      <c r="C174" s="154" t="s">
        <v>182</v>
      </c>
      <c r="D174" s="154">
        <f>ROUNDUP(+E172/1,0)</f>
        <v>74</v>
      </c>
    </row>
    <row r="175" spans="2:20" hidden="1"/>
    <row r="176" spans="2:20" hidden="1">
      <c r="B176" s="205" t="s">
        <v>179</v>
      </c>
      <c r="C176" s="178" t="s">
        <v>185</v>
      </c>
      <c r="E176" s="184">
        <v>8.6</v>
      </c>
      <c r="G176" s="196">
        <f>+E176*(C71+E71*2+1)</f>
        <v>17.2</v>
      </c>
      <c r="H176" s="196">
        <f>(+E176*(C71+E71*2)*(D71+F71+F71))*50%</f>
        <v>3.8700000000000006</v>
      </c>
      <c r="I176" s="197">
        <f>+(C71+E71*2)*E176*F71</f>
        <v>0.43</v>
      </c>
      <c r="J176" s="197">
        <f>+E176*((C71+E71*2+0.06)*E71+(D71*E71*2))</f>
        <v>2.2875999999999999</v>
      </c>
      <c r="K176" s="197">
        <f>+(D71+(D71+E71))*E176*2</f>
        <v>29.240000000000002</v>
      </c>
      <c r="L176" s="187">
        <f>+(E176)/H71+ IF(E176&gt;0,1,0)</f>
        <v>35.4</v>
      </c>
      <c r="M176" s="198">
        <f>+ROUNDUP(L176,0)</f>
        <v>36</v>
      </c>
      <c r="N176" s="189">
        <f>+(D71+E71-0.08)*2+(C71+E71*2-0.08)</f>
        <v>2.56</v>
      </c>
      <c r="O176" s="187">
        <f>+N176/J71+1</f>
        <v>11.24</v>
      </c>
      <c r="P176" s="198">
        <f>+ROUNDUP(O176,0)</f>
        <v>12</v>
      </c>
      <c r="Q176" s="188">
        <f>+E176+E176/6*50*(G71/1000)</f>
        <v>9.3166666666666664</v>
      </c>
      <c r="R176" s="190">
        <f>+N176*M176+P176*Q176</f>
        <v>203.95999999999998</v>
      </c>
      <c r="S176" s="197">
        <f>((I71*I71)/162)*R176</f>
        <v>125.90123456790121</v>
      </c>
      <c r="T176" s="154" t="s">
        <v>156</v>
      </c>
    </row>
    <row r="177" spans="2:20" hidden="1">
      <c r="C177" s="154" t="s">
        <v>181</v>
      </c>
      <c r="D177" s="191">
        <f>ROUNDUP(+(E176/SQRT(L71^2+M71^2)),0)</f>
        <v>23</v>
      </c>
      <c r="E177" s="184"/>
      <c r="G177" s="199"/>
      <c r="H177" s="199"/>
      <c r="I177" s="200"/>
      <c r="J177" s="200">
        <f>0.5*(0.075+0.05)*0.075*C71*D177</f>
        <v>8.6249999999999993E-2</v>
      </c>
      <c r="K177" s="200">
        <f>+M71*C71*D177</f>
        <v>5.0600000000000005</v>
      </c>
      <c r="L177" s="193"/>
      <c r="M177" s="198">
        <f>+ROUNDUP(L177,0)</f>
        <v>0</v>
      </c>
      <c r="N177" s="194"/>
      <c r="O177" s="193"/>
      <c r="P177" s="201"/>
      <c r="Q177" s="195"/>
      <c r="R177" s="190">
        <f>+N177*M177+P177*Q177</f>
        <v>0</v>
      </c>
      <c r="S177" s="197">
        <f>((I71*I71)/162)*R177</f>
        <v>0</v>
      </c>
    </row>
    <row r="178" spans="2:20" hidden="1">
      <c r="C178" s="154" t="s">
        <v>182</v>
      </c>
      <c r="D178" s="154">
        <f>ROUNDUP(+E176/1,0)</f>
        <v>9</v>
      </c>
      <c r="H178" s="191"/>
    </row>
    <row r="179" spans="2:20" hidden="1"/>
    <row r="180" spans="2:20" hidden="1">
      <c r="B180" s="207" t="s">
        <v>179</v>
      </c>
      <c r="C180" s="178" t="s">
        <v>186</v>
      </c>
      <c r="E180" s="184">
        <v>13.83</v>
      </c>
      <c r="G180" s="196">
        <f>+E180*(C75+E75*2+1)</f>
        <v>31.1175</v>
      </c>
      <c r="H180" s="196">
        <f>(+E180*(C75+E75*2)*(D75+F75+F75))*50%</f>
        <v>9.5081250000000015</v>
      </c>
      <c r="I180" s="197">
        <f>+(C75+E75*2)*E180*F75</f>
        <v>0.86437500000000012</v>
      </c>
      <c r="J180" s="197">
        <f>+E180*((C75+E75*2+0.06)*E75+(D75*E75*2))</f>
        <v>5.7221625000000005</v>
      </c>
      <c r="K180" s="197">
        <f>+(D75+(D75+E75))*E180*2</f>
        <v>58.777500000000003</v>
      </c>
      <c r="L180" s="187">
        <f>+(E180)/H75+ IF(E180&gt;0,1,0)</f>
        <v>56.32</v>
      </c>
      <c r="M180" s="198">
        <f>+ROUNDUP(L180,0)</f>
        <v>57</v>
      </c>
      <c r="N180" s="189">
        <f>+(D75+E75-0.08)*2+(C75+E75*2-0.08)</f>
        <v>3.26</v>
      </c>
      <c r="O180" s="187">
        <f>+N180/J75+1</f>
        <v>14.04</v>
      </c>
      <c r="P180" s="198">
        <f>+ROUNDUP(O180,0)</f>
        <v>15</v>
      </c>
      <c r="Q180" s="188">
        <f>+E180+E180/6*50*(G75/1000)</f>
        <v>14.9825</v>
      </c>
      <c r="R180" s="190">
        <f>+N180*M180+P180*Q180</f>
        <v>410.5575</v>
      </c>
      <c r="S180" s="197">
        <f>((I75*I75)/162)*R180</f>
        <v>253.43055555555554</v>
      </c>
      <c r="T180" s="154" t="s">
        <v>156</v>
      </c>
    </row>
    <row r="181" spans="2:20" hidden="1">
      <c r="C181" s="154" t="s">
        <v>181</v>
      </c>
      <c r="D181" s="191">
        <f>ROUNDUP(+(E180/SQRT(L75^2+M75^2)),0)</f>
        <v>36</v>
      </c>
      <c r="E181" s="184"/>
      <c r="G181" s="199"/>
      <c r="H181" s="199"/>
      <c r="I181" s="200"/>
      <c r="J181" s="200">
        <f>0.5*(0.075+0.05)*0.075*C75*D181</f>
        <v>0.16874999999999998</v>
      </c>
      <c r="K181" s="200">
        <f>+M75*C75*D181</f>
        <v>9.9</v>
      </c>
      <c r="L181" s="193"/>
      <c r="M181" s="198">
        <f>+ROUNDUP(L181,0)</f>
        <v>0</v>
      </c>
      <c r="N181" s="194"/>
      <c r="O181" s="193"/>
      <c r="P181" s="201"/>
      <c r="Q181" s="195"/>
      <c r="R181" s="190">
        <f>+N181*M181+P181*Q181</f>
        <v>0</v>
      </c>
      <c r="S181" s="197">
        <f>((I75*I75)/162)*R181</f>
        <v>0</v>
      </c>
    </row>
    <row r="182" spans="2:20" hidden="1">
      <c r="C182" s="154" t="s">
        <v>182</v>
      </c>
      <c r="D182" s="154">
        <f>ROUNDUP(+E180/1,0)</f>
        <v>14</v>
      </c>
    </row>
    <row r="183" spans="2:20" hidden="1"/>
    <row r="184" spans="2:20" hidden="1">
      <c r="B184" s="205" t="s">
        <v>187</v>
      </c>
      <c r="C184" s="178" t="s">
        <v>180</v>
      </c>
      <c r="E184" s="184">
        <v>100</v>
      </c>
      <c r="G184" s="196">
        <f>+E184*(C79+E79*2+1)</f>
        <v>165</v>
      </c>
      <c r="H184" s="196">
        <f>0.5*L79*M79*D185</f>
        <v>20.25</v>
      </c>
      <c r="I184" s="197">
        <f>+(L79*(C79+2*E79)*D185*E79)</f>
        <v>5.8500000000000014</v>
      </c>
      <c r="J184" s="197">
        <f>+D185*(L79+M79)*E79*(C79+2*E79)+D185*((L79+M79)*E79*D79)*2</f>
        <v>20.925000000000001</v>
      </c>
      <c r="K184" s="197">
        <f>+(D79+(D79+E79))*E184*2</f>
        <v>200</v>
      </c>
      <c r="L184" s="187">
        <f>+(D185*(L79+M79))/H79+ IF(E184&gt;0,1,0)</f>
        <v>541</v>
      </c>
      <c r="M184" s="198">
        <f>+ROUNDUP(L184,0)</f>
        <v>541</v>
      </c>
      <c r="N184" s="189">
        <f>+(D79+E79-0.08)*2+(C79+E79*2-0.08)</f>
        <v>1.5100000000000002</v>
      </c>
      <c r="O184" s="187">
        <f>+N184/J79+1</f>
        <v>7.0400000000000009</v>
      </c>
      <c r="P184" s="198">
        <f>+ROUNDUP(O184,0)</f>
        <v>8</v>
      </c>
      <c r="Q184" s="188">
        <f>+(L79+M79-2*0.04)*D185+(((L79+M79-2*0.04)*D185)/6*50*(I79/1000))</f>
        <v>137.58333333333334</v>
      </c>
      <c r="R184" s="190">
        <f>+N184*M184+P184*Q184</f>
        <v>1917.5766666666668</v>
      </c>
      <c r="S184" s="197">
        <f>((I79*I79)/162)*R184</f>
        <v>1183.6893004115227</v>
      </c>
      <c r="T184" s="154" t="s">
        <v>156</v>
      </c>
    </row>
    <row r="185" spans="2:20" hidden="1">
      <c r="C185" s="154" t="s">
        <v>181</v>
      </c>
      <c r="D185" s="191">
        <f>ROUNDUP(+(E184/SQRT(L79^2+M79^2)),0)</f>
        <v>100</v>
      </c>
      <c r="E185" s="184"/>
      <c r="G185" s="199"/>
      <c r="H185" s="199"/>
      <c r="I185" s="200"/>
      <c r="J185" s="200"/>
      <c r="K185" s="200"/>
      <c r="L185" s="193"/>
      <c r="M185" s="198"/>
      <c r="N185" s="194"/>
      <c r="O185" s="193"/>
      <c r="P185" s="201"/>
      <c r="Q185" s="195"/>
      <c r="R185" s="190"/>
      <c r="S185" s="197"/>
    </row>
    <row r="186" spans="2:20" hidden="1">
      <c r="C186" s="154" t="s">
        <v>182</v>
      </c>
      <c r="D186" s="154">
        <f>ROUNDUP(+E184/1,0)</f>
        <v>100</v>
      </c>
    </row>
    <row r="187" spans="2:20" hidden="1"/>
    <row r="188" spans="2:20" hidden="1">
      <c r="B188" s="205" t="s">
        <v>187</v>
      </c>
      <c r="C188" s="178" t="s">
        <v>183</v>
      </c>
      <c r="E188" s="184">
        <v>28.19</v>
      </c>
      <c r="G188" s="196">
        <f>+E188*(C83+E83*2+1)</f>
        <v>46.513500000000001</v>
      </c>
      <c r="H188" s="196">
        <f>0.5*L83*M83*D189</f>
        <v>5.8725000000000005</v>
      </c>
      <c r="I188" s="197">
        <f>+(L83*(C83+2*E83)*D189*E83)</f>
        <v>1.6965000000000003</v>
      </c>
      <c r="J188" s="197">
        <f>+D189*(L83+M83)*E83*(C83+2*E83)+D189*((L83+M83)*E83*D83)*2</f>
        <v>7.2427500000000009</v>
      </c>
      <c r="K188" s="197">
        <f>+(D83+(D83+E83))*E188*2</f>
        <v>73.293999999999997</v>
      </c>
      <c r="L188" s="187">
        <f>+(D189*(L83+M83))/H83+ IF(E188&gt;0,1,0)</f>
        <v>157.60000000000002</v>
      </c>
      <c r="M188" s="198">
        <f>+ROUNDUP(L188,0)</f>
        <v>158</v>
      </c>
      <c r="N188" s="189">
        <f>+(D83+E83-0.08)*2+(C83+E83*2-0.08)</f>
        <v>1.81</v>
      </c>
      <c r="O188" s="187">
        <f>+N188/J83+1</f>
        <v>8.24</v>
      </c>
      <c r="P188" s="198">
        <f>+ROUNDUP(O188,0)</f>
        <v>9</v>
      </c>
      <c r="Q188" s="188">
        <f>+(L83+M83-2*0.04)*D189+(((L83+M83-2*0.04)*D189)/6*50*(I83/1000))</f>
        <v>39.899166666666666</v>
      </c>
      <c r="R188" s="190">
        <f>+N188*M188+P188*Q188</f>
        <v>645.07249999999999</v>
      </c>
      <c r="S188" s="197">
        <f>((I83*I83)/162)*R188</f>
        <v>398.1929012345679</v>
      </c>
      <c r="T188" s="154" t="s">
        <v>156</v>
      </c>
    </row>
    <row r="189" spans="2:20" hidden="1">
      <c r="C189" s="154" t="s">
        <v>181</v>
      </c>
      <c r="D189" s="191">
        <f>ROUNDUP(+(E188/SQRT(L83^2+M83^2)),0)</f>
        <v>29</v>
      </c>
      <c r="E189" s="184"/>
      <c r="G189" s="199"/>
      <c r="H189" s="199"/>
      <c r="I189" s="200"/>
      <c r="J189" s="200"/>
      <c r="K189" s="200"/>
      <c r="L189" s="193"/>
      <c r="M189" s="198"/>
      <c r="N189" s="194"/>
      <c r="O189" s="193"/>
      <c r="P189" s="201"/>
      <c r="Q189" s="195"/>
      <c r="R189" s="190"/>
      <c r="S189" s="197"/>
    </row>
    <row r="190" spans="2:20" hidden="1">
      <c r="C190" s="154" t="s">
        <v>182</v>
      </c>
      <c r="D190" s="154">
        <f>ROUNDUP(+E188/1,0)</f>
        <v>29</v>
      </c>
    </row>
    <row r="191" spans="2:20" hidden="1"/>
    <row r="192" spans="2:20" hidden="1">
      <c r="B192" s="205" t="s">
        <v>187</v>
      </c>
      <c r="C192" s="178" t="s">
        <v>184</v>
      </c>
      <c r="E192" s="184">
        <v>100</v>
      </c>
      <c r="G192" s="196">
        <f>+E192*(C87+E87*2+1)</f>
        <v>180</v>
      </c>
      <c r="H192" s="196">
        <f>0.5*L87*M87*D193</f>
        <v>20.25</v>
      </c>
      <c r="I192" s="197">
        <f>+(L87*(C87+2*E87)*D193*E87)</f>
        <v>7.200000000000002</v>
      </c>
      <c r="J192" s="197">
        <f>+D193*(L87+M87)*E87*(C87+2*E87)+D193*((L87+M87)*E87*D87)*2</f>
        <v>27</v>
      </c>
      <c r="K192" s="197">
        <f>+(D87+(D87+E87))*E192*2</f>
        <v>259.99999999999994</v>
      </c>
      <c r="L192" s="187">
        <f>+(D193*(L87+M87))/H87+ IF(E192&gt;0,1,0)</f>
        <v>541</v>
      </c>
      <c r="M192" s="198">
        <f>+ROUNDUP(L192,0)</f>
        <v>541</v>
      </c>
      <c r="N192" s="189">
        <f>+(D87+E87-0.08)*2+(C87+E87*2-0.08)</f>
        <v>1.96</v>
      </c>
      <c r="O192" s="187">
        <f>+N192/J87+1</f>
        <v>8.84</v>
      </c>
      <c r="P192" s="198">
        <f>+ROUNDUP(O192,0)</f>
        <v>9</v>
      </c>
      <c r="Q192" s="188">
        <f>+(L87+M87-2*0.04)*D193+(((L87+M87-2*0.04)*D193)/6*50*(I87/1000))</f>
        <v>137.58333333333334</v>
      </c>
      <c r="R192" s="190">
        <f>+N192*M192+P192*Q192</f>
        <v>2298.6099999999997</v>
      </c>
      <c r="S192" s="197">
        <f>((I87*I87)/162)*R192</f>
        <v>1418.8950617283947</v>
      </c>
      <c r="T192" s="154" t="s">
        <v>156</v>
      </c>
    </row>
    <row r="193" spans="2:20" hidden="1">
      <c r="C193" s="154" t="s">
        <v>181</v>
      </c>
      <c r="D193" s="191">
        <f>ROUNDUP(+(E192/SQRT(L87^2+M87^2)),0)</f>
        <v>100</v>
      </c>
      <c r="E193" s="184"/>
      <c r="G193" s="199"/>
      <c r="H193" s="199"/>
      <c r="I193" s="200"/>
      <c r="J193" s="200"/>
      <c r="K193" s="200"/>
      <c r="L193" s="193"/>
      <c r="M193" s="198"/>
      <c r="N193" s="194"/>
      <c r="O193" s="193"/>
      <c r="P193" s="201"/>
      <c r="Q193" s="195"/>
      <c r="R193" s="190"/>
      <c r="S193" s="197"/>
    </row>
    <row r="194" spans="2:20" hidden="1">
      <c r="C194" s="154" t="s">
        <v>182</v>
      </c>
      <c r="D194" s="154">
        <f>ROUNDUP(+E192/1,0)</f>
        <v>100</v>
      </c>
    </row>
    <row r="195" spans="2:20" hidden="1"/>
    <row r="196" spans="2:20" hidden="1">
      <c r="B196" s="205" t="s">
        <v>187</v>
      </c>
      <c r="C196" s="178" t="s">
        <v>185</v>
      </c>
      <c r="E196" s="184">
        <v>100</v>
      </c>
      <c r="G196" s="196">
        <f>+E196*(C91+E91*2+1)</f>
        <v>200</v>
      </c>
      <c r="H196" s="196">
        <f>0.5*L91*M91*D197</f>
        <v>20.25</v>
      </c>
      <c r="I196" s="197">
        <f>+(L91*(C91+2*E91)*D197*E91)</f>
        <v>9</v>
      </c>
      <c r="J196" s="197">
        <f>+D197*(L91+M91)*E91*(C91+2*E91)+D197*((L91+M91)*E91*D91)*2</f>
        <v>35.1</v>
      </c>
      <c r="K196" s="197">
        <f>+(D91+(D91+E91))*E196*2</f>
        <v>340.00000000000006</v>
      </c>
      <c r="L196" s="187">
        <f>+(D197*(L91+M91))/H91+ IF(E196&gt;0,1,0)</f>
        <v>541</v>
      </c>
      <c r="M196" s="198">
        <f>+ROUNDUP(L196,0)</f>
        <v>541</v>
      </c>
      <c r="N196" s="189">
        <f>+(D91+E91-0.08)*2+(C91+E91*2-0.08)</f>
        <v>2.56</v>
      </c>
      <c r="O196" s="187">
        <f>+N196/J91+1</f>
        <v>11.24</v>
      </c>
      <c r="P196" s="198">
        <f>+ROUNDUP(O196,0)</f>
        <v>12</v>
      </c>
      <c r="Q196" s="188">
        <f>+(L91+M91-2*0.04)*D197+(((L91+M91-2*0.04)*D197)/6*50*(I91/1000))</f>
        <v>137.58333333333334</v>
      </c>
      <c r="R196" s="190">
        <f>+N196*M196+P196*Q196</f>
        <v>3035.96</v>
      </c>
      <c r="S196" s="197">
        <f>((I91*I91)/162)*R196</f>
        <v>1874.0493827160492</v>
      </c>
      <c r="T196" s="154" t="s">
        <v>156</v>
      </c>
    </row>
    <row r="197" spans="2:20" hidden="1">
      <c r="C197" s="154" t="s">
        <v>181</v>
      </c>
      <c r="D197" s="191">
        <f>ROUNDUP(+(E196/SQRT(L91^2+M91^2)),0)</f>
        <v>100</v>
      </c>
      <c r="E197" s="184"/>
      <c r="G197" s="199"/>
      <c r="H197" s="199"/>
      <c r="I197" s="200"/>
      <c r="J197" s="200"/>
      <c r="K197" s="200"/>
      <c r="L197" s="193"/>
      <c r="M197" s="198"/>
      <c r="N197" s="194"/>
      <c r="O197" s="193"/>
      <c r="P197" s="201"/>
      <c r="Q197" s="195"/>
      <c r="R197" s="190"/>
      <c r="S197" s="197"/>
    </row>
    <row r="198" spans="2:20" hidden="1">
      <c r="C198" s="154" t="s">
        <v>182</v>
      </c>
      <c r="D198" s="154">
        <f>ROUNDUP(+E196/1,0)</f>
        <v>100</v>
      </c>
    </row>
    <row r="199" spans="2:20" hidden="1"/>
    <row r="200" spans="2:20" hidden="1">
      <c r="B200" s="205" t="s">
        <v>187</v>
      </c>
      <c r="C200" s="178" t="s">
        <v>188</v>
      </c>
      <c r="E200" s="184">
        <f>(22.38+21.09+22.47+16.84)*1.06418</f>
        <v>88.092820399999994</v>
      </c>
      <c r="G200" s="196">
        <f>+E200*(C95+E95*2+1)</f>
        <v>198.20884589999997</v>
      </c>
      <c r="H200" s="196">
        <f>0.5*L95*M95*D201</f>
        <v>17.82</v>
      </c>
      <c r="I200" s="197">
        <f>+(L95*(C95+2*E95)*D201*E95)</f>
        <v>12.375</v>
      </c>
      <c r="J200" s="197">
        <f>+D201*(L95+M95)*E95*(C95+2*E95)+D201*((L95+M95)*E95*D95)*2</f>
        <v>40.837500000000006</v>
      </c>
      <c r="K200" s="197">
        <f>+(D95+(D95+E95))*E200*2</f>
        <v>286.30166629999997</v>
      </c>
      <c r="L200" s="187">
        <f>+(D201*(L95+M95))/H95+ IF(E200&gt;0,1,0)</f>
        <v>476.20000000000005</v>
      </c>
      <c r="M200" s="198">
        <f>+ROUNDUP(L200,0)</f>
        <v>477</v>
      </c>
      <c r="N200" s="189">
        <f>+(D95+E95-0.08)*2+(C95+E95*2-0.08)</f>
        <v>2.76</v>
      </c>
      <c r="O200" s="187">
        <f>+N200/J95+1</f>
        <v>12.04</v>
      </c>
      <c r="P200" s="198">
        <f>+ROUNDUP(O200,0)</f>
        <v>13</v>
      </c>
      <c r="Q200" s="188">
        <f>+(L95+M95-2*0.04)*D201+(((L95+M95-2*0.04)*D201)/6*50*(I95/1000))</f>
        <v>121.07333333333334</v>
      </c>
      <c r="R200" s="190">
        <f>+N200*M200+P200*Q200</f>
        <v>2890.4733333333334</v>
      </c>
      <c r="S200" s="197">
        <f>((I95*I95)/162)*R200</f>
        <v>1784.2427983539094</v>
      </c>
      <c r="T200" s="154" t="s">
        <v>156</v>
      </c>
    </row>
    <row r="201" spans="2:20" hidden="1">
      <c r="C201" s="154" t="s">
        <v>181</v>
      </c>
      <c r="D201" s="191">
        <f>ROUNDUP(+(E200/SQRT(L95^2+M95^2)),0)</f>
        <v>88</v>
      </c>
      <c r="E201" s="184"/>
      <c r="G201" s="199"/>
      <c r="H201" s="199"/>
      <c r="I201" s="200"/>
      <c r="J201" s="200">
        <f>0.5*(0.075+0.05)*0.075*C95*D201</f>
        <v>0.41249999999999998</v>
      </c>
      <c r="K201" s="200">
        <f>D201*C95*M95</f>
        <v>39.6</v>
      </c>
      <c r="L201" s="193"/>
      <c r="M201" s="198"/>
      <c r="N201" s="194"/>
      <c r="O201" s="193"/>
      <c r="P201" s="201"/>
      <c r="Q201" s="195"/>
      <c r="R201" s="190"/>
      <c r="S201" s="197"/>
    </row>
    <row r="202" spans="2:20" hidden="1">
      <c r="C202" s="154" t="s">
        <v>182</v>
      </c>
      <c r="D202" s="154">
        <f>ROUNDUP(+E200/1,0)</f>
        <v>89</v>
      </c>
    </row>
    <row r="203" spans="2:20" hidden="1">
      <c r="G203" s="206" t="s">
        <v>189</v>
      </c>
      <c r="H203" s="206" t="s">
        <v>190</v>
      </c>
      <c r="I203" s="206" t="s">
        <v>52</v>
      </c>
    </row>
    <row r="205" spans="2:20" hidden="1">
      <c r="B205" s="202"/>
      <c r="E205" s="202"/>
    </row>
    <row r="206" spans="2:20" hidden="1"/>
    <row r="207" spans="2:20" hidden="1">
      <c r="E207" s="202"/>
    </row>
    <row r="208" spans="2:20" hidden="1"/>
    <row r="209" spans="5:5" hidden="1">
      <c r="E209" s="202"/>
    </row>
    <row r="210" spans="5:5" hidden="1"/>
    <row r="211" spans="5:5" hidden="1">
      <c r="E211" s="202"/>
    </row>
    <row r="212" spans="5:5" hidden="1"/>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4" spans="5:5" hidden="1"/>
    <row r="225" spans="2:7" hidden="1"/>
    <row r="226" spans="2:7" hidden="1">
      <c r="B226" s="202" t="s">
        <v>158</v>
      </c>
    </row>
    <row r="227" spans="2:7" ht="28.8" hidden="1">
      <c r="B227" s="207" t="s">
        <v>191</v>
      </c>
      <c r="C227" s="208"/>
    </row>
    <row r="228" spans="2:7" hidden="1"/>
    <row r="229" spans="2:7" hidden="1">
      <c r="B229" s="154" t="s">
        <v>192</v>
      </c>
      <c r="C229" s="191"/>
    </row>
    <row r="230" spans="2:7" hidden="1">
      <c r="B230" s="154" t="s">
        <v>193</v>
      </c>
      <c r="C230" s="154">
        <v>0.5</v>
      </c>
    </row>
    <row r="231" spans="2:7" hidden="1">
      <c r="C231" s="191"/>
    </row>
    <row r="232" spans="2:7" hidden="1">
      <c r="B232" s="154" t="s">
        <v>194</v>
      </c>
      <c r="C232" s="154">
        <f>ROUNDUP(C227/C230,0)</f>
        <v>0</v>
      </c>
    </row>
    <row r="233" spans="2:7" hidden="1"/>
    <row r="234" spans="2:7" hidden="1"/>
    <row r="235" spans="2:7" hidden="1">
      <c r="B235" s="154" t="s">
        <v>195</v>
      </c>
      <c r="C235" s="154">
        <f>C232*0.16*0.5</f>
        <v>0</v>
      </c>
      <c r="E235" s="202" t="s">
        <v>196</v>
      </c>
    </row>
    <row r="236" spans="2:7" hidden="1">
      <c r="B236" s="154" t="s">
        <v>82</v>
      </c>
      <c r="C236" s="154">
        <f>((0.16*2)+(0.15*0.5*2))*C232</f>
        <v>0</v>
      </c>
    </row>
    <row r="237" spans="2:7" hidden="1"/>
    <row r="238" spans="2:7" hidden="1">
      <c r="B238" s="154" t="s">
        <v>197</v>
      </c>
      <c r="C238" s="193">
        <v>2.12</v>
      </c>
      <c r="D238" s="209">
        <f>ROUNDUP(0.5/0.125,0)+1</f>
        <v>5</v>
      </c>
      <c r="E238" s="154">
        <f>C232</f>
        <v>0</v>
      </c>
      <c r="F238" s="154">
        <v>1.1000000000000001</v>
      </c>
      <c r="G238" s="154">
        <f>PRODUCT(C238:F238)</f>
        <v>0</v>
      </c>
    </row>
    <row r="239" spans="2:7" hidden="1">
      <c r="C239" s="154">
        <v>0.5</v>
      </c>
      <c r="D239" s="209">
        <f>ROUNDUP(C238/0.2+1,0)</f>
        <v>12</v>
      </c>
      <c r="E239" s="154">
        <f>C232</f>
        <v>0</v>
      </c>
      <c r="F239" s="154">
        <v>1.1000000000000001</v>
      </c>
      <c r="G239" s="154">
        <f>PRODUCT(C239:F239)</f>
        <v>0</v>
      </c>
    </row>
    <row r="240" spans="2:7" hidden="1"/>
    <row r="241" spans="2:10" hidden="1">
      <c r="G241" s="154">
        <f>SUM(G238:G240)</f>
        <v>0</v>
      </c>
      <c r="H241" s="154">
        <f>ROUND(100/162,3)</f>
        <v>0.61699999999999999</v>
      </c>
      <c r="J241" s="193">
        <f>ROUNDUP(PRODUCT(G241:H241),0)</f>
        <v>0</v>
      </c>
    </row>
    <row r="242" spans="2:10" hidden="1"/>
    <row r="243" spans="2:10" hidden="1"/>
    <row r="244" spans="2:10" hidden="1"/>
    <row r="245" spans="2:10" hidden="1"/>
    <row r="246" spans="2:10" hidden="1"/>
    <row r="247" spans="2:10" hidden="1"/>
    <row r="248" spans="2:10" hidden="1">
      <c r="B248" s="202" t="s">
        <v>198</v>
      </c>
    </row>
    <row r="249" spans="2:10" hidden="1">
      <c r="C249" s="202" t="s">
        <v>189</v>
      </c>
      <c r="D249" s="202" t="s">
        <v>486</v>
      </c>
      <c r="F249" s="202" t="s">
        <v>487</v>
      </c>
    </row>
    <row r="250" spans="2:10" hidden="1">
      <c r="B250" s="202" t="s">
        <v>488</v>
      </c>
      <c r="C250" s="191">
        <f>E106</f>
        <v>104.38</v>
      </c>
      <c r="D250" s="191">
        <f>(C6+E6+E6)</f>
        <v>0.5</v>
      </c>
      <c r="F250" s="154">
        <f>C250*D250</f>
        <v>52.19</v>
      </c>
      <c r="G250" s="154">
        <v>1.1000000000000001</v>
      </c>
      <c r="H250" s="154">
        <f>F250*G250</f>
        <v>57.408999999999999</v>
      </c>
    </row>
    <row r="251" spans="2:10" hidden="1"/>
    <row r="252" spans="2:10" hidden="1"/>
    <row r="253" spans="2:10" hidden="1"/>
    <row r="254" spans="2:10" hidden="1"/>
    <row r="255" spans="2:10" hidden="1"/>
    <row r="256" spans="2:10" hidden="1"/>
    <row r="257" spans="2:21" hidden="1"/>
    <row r="258" spans="2:21" hidden="1"/>
    <row r="259" spans="2:21" hidden="1"/>
    <row r="260" spans="2:21" hidden="1"/>
    <row r="261" spans="2:21" hidden="1"/>
    <row r="262" spans="2:21">
      <c r="B262" s="374"/>
      <c r="C262" s="375" t="s">
        <v>747</v>
      </c>
      <c r="E262" s="154">
        <v>37.5</v>
      </c>
      <c r="G262" s="154">
        <v>0</v>
      </c>
      <c r="H262" s="418">
        <f>E262*1*0.3*1.1</f>
        <v>12.375000000000002</v>
      </c>
      <c r="I262" s="154">
        <v>0</v>
      </c>
      <c r="J262" s="154">
        <f>E262*0.52*1.1</f>
        <v>21.450000000000003</v>
      </c>
      <c r="K262" s="418">
        <f>E262*1.05*1.1</f>
        <v>43.3125</v>
      </c>
      <c r="M262" s="154">
        <f>E262*7</f>
        <v>262.5</v>
      </c>
      <c r="N262" s="418">
        <f>(M262/6)*(0.01*50)</f>
        <v>21.875</v>
      </c>
      <c r="O262" s="154">
        <f>1.22*151</f>
        <v>184.22</v>
      </c>
      <c r="P262" s="418">
        <f>(O262/6)*(0.01*50)</f>
        <v>15.351666666666667</v>
      </c>
      <c r="R262" s="154">
        <f>SUM(M262:P262)*1.1</f>
        <v>532.34133333333341</v>
      </c>
      <c r="S262" s="154">
        <f>ROUNDUP(R262*0.617,2)</f>
        <v>328.46</v>
      </c>
      <c r="U262" s="154">
        <f>S262</f>
        <v>328.46</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3FA2E-81F7-4D5C-A186-9E208289AB4D}">
  <dimension ref="A1:M30"/>
  <sheetViews>
    <sheetView workbookViewId="0">
      <selection activeCell="B16" sqref="B16"/>
    </sheetView>
  </sheetViews>
  <sheetFormatPr defaultColWidth="9.109375" defaultRowHeight="13.8"/>
  <cols>
    <col min="1" max="1" width="15.6640625" style="379" bestFit="1" customWidth="1"/>
    <col min="2" max="2" width="9.109375" style="379"/>
    <col min="3" max="3" width="9.5546875" style="379" bestFit="1" customWidth="1"/>
    <col min="4" max="5" width="9.109375" style="379"/>
    <col min="6" max="6" width="13.44140625" style="379" bestFit="1" customWidth="1"/>
    <col min="7" max="8" width="9.109375" style="379"/>
    <col min="9" max="9" width="17.44140625" style="379" bestFit="1" customWidth="1"/>
    <col min="10" max="10" width="19.44140625" style="379" bestFit="1" customWidth="1"/>
    <col min="11" max="11" width="11.5546875" style="379" bestFit="1" customWidth="1"/>
    <col min="12" max="12" width="13.33203125" style="379" customWidth="1"/>
    <col min="13" max="13" width="14" style="379" customWidth="1"/>
    <col min="14" max="14" width="11.5546875" style="379" bestFit="1" customWidth="1"/>
    <col min="15" max="16384" width="9.109375" style="379"/>
  </cols>
  <sheetData>
    <row r="1" spans="1:13">
      <c r="A1" s="379" t="s">
        <v>748</v>
      </c>
    </row>
    <row r="2" spans="1:13">
      <c r="F2" s="380" t="s">
        <v>749</v>
      </c>
      <c r="G2" s="380"/>
      <c r="H2" s="380" t="s">
        <v>1</v>
      </c>
      <c r="I2" s="347" t="s">
        <v>750</v>
      </c>
      <c r="J2" s="381" t="s">
        <v>751</v>
      </c>
      <c r="K2" s="379" t="s">
        <v>498</v>
      </c>
      <c r="L2" s="419" t="s">
        <v>494</v>
      </c>
      <c r="M2" s="419" t="s">
        <v>621</v>
      </c>
    </row>
    <row r="3" spans="1:13">
      <c r="A3" s="380" t="s">
        <v>0</v>
      </c>
      <c r="B3" s="380"/>
      <c r="C3" s="380" t="s">
        <v>1</v>
      </c>
      <c r="D3" s="380"/>
      <c r="E3" s="380"/>
      <c r="M3" s="380"/>
    </row>
    <row r="4" spans="1:13">
      <c r="F4" s="379" t="s">
        <v>737</v>
      </c>
      <c r="H4" s="379">
        <v>4.75</v>
      </c>
      <c r="I4" s="379">
        <v>7.15</v>
      </c>
      <c r="J4" s="379">
        <v>12.35</v>
      </c>
      <c r="K4" s="379">
        <v>39.369999999999997</v>
      </c>
      <c r="L4" s="379">
        <v>27.63</v>
      </c>
      <c r="M4" s="379">
        <v>13.73</v>
      </c>
    </row>
    <row r="5" spans="1:13">
      <c r="A5" s="379" t="s">
        <v>208</v>
      </c>
      <c r="C5" s="379">
        <f>33.17+34.12+37.09</f>
        <v>104.38</v>
      </c>
      <c r="F5" s="379" t="s">
        <v>738</v>
      </c>
      <c r="H5" s="379">
        <v>11</v>
      </c>
      <c r="I5" s="379">
        <v>7.15</v>
      </c>
      <c r="J5" s="379">
        <f>(12.35+12.98)/2</f>
        <v>12.664999999999999</v>
      </c>
      <c r="K5" s="379">
        <f>(39.37+58)/2</f>
        <v>48.685000000000002</v>
      </c>
      <c r="L5" s="379">
        <f>(27.63+35.19)/2</f>
        <v>31.409999999999997</v>
      </c>
      <c r="M5" s="379">
        <f>(13.73+15.93)/2</f>
        <v>14.83</v>
      </c>
    </row>
    <row r="6" spans="1:13">
      <c r="A6" s="379" t="s">
        <v>3</v>
      </c>
      <c r="C6" s="379">
        <f>23.86+20.18</f>
        <v>44.04</v>
      </c>
      <c r="F6" s="379" t="s">
        <v>739</v>
      </c>
      <c r="H6" s="379">
        <v>14.3</v>
      </c>
      <c r="I6" s="379">
        <f>(7.15+5.23)/2</f>
        <v>6.19</v>
      </c>
      <c r="J6" s="379">
        <f>(12.98+10.59)/2</f>
        <v>11.785</v>
      </c>
      <c r="K6" s="379">
        <f>(58+14)/2</f>
        <v>36</v>
      </c>
      <c r="L6" s="379">
        <f>(35.19+26.24)/2</f>
        <v>30.714999999999996</v>
      </c>
      <c r="M6" s="379">
        <f>(15.93+13)/2</f>
        <v>14.465</v>
      </c>
    </row>
    <row r="7" spans="1:13">
      <c r="A7" s="379" t="s">
        <v>4</v>
      </c>
      <c r="C7" s="379">
        <f>35.96+36.45</f>
        <v>72.41</v>
      </c>
      <c r="F7" s="379" t="s">
        <v>598</v>
      </c>
      <c r="H7" s="379">
        <v>6.12</v>
      </c>
      <c r="I7" s="379">
        <v>5.23</v>
      </c>
      <c r="J7" s="379">
        <v>6.75</v>
      </c>
      <c r="K7" s="379">
        <v>14</v>
      </c>
      <c r="L7" s="379">
        <v>26.24</v>
      </c>
      <c r="M7" s="379">
        <v>13</v>
      </c>
    </row>
    <row r="8" spans="1:13">
      <c r="A8" s="379" t="s">
        <v>752</v>
      </c>
      <c r="C8" s="379">
        <v>72.95</v>
      </c>
    </row>
    <row r="9" spans="1:13">
      <c r="A9" s="379" t="s">
        <v>753</v>
      </c>
      <c r="C9" s="379">
        <v>37.5</v>
      </c>
    </row>
    <row r="10" spans="1:13">
      <c r="A10" s="379" t="s">
        <v>2</v>
      </c>
      <c r="C10" s="379">
        <f>17.12+14.45</f>
        <v>31.57</v>
      </c>
    </row>
    <row r="13" spans="1:13">
      <c r="A13" s="379" t="s">
        <v>754</v>
      </c>
      <c r="C13" s="379">
        <v>38.35</v>
      </c>
    </row>
    <row r="15" spans="1:13">
      <c r="A15" s="379" t="s">
        <v>755</v>
      </c>
      <c r="C15" s="379">
        <v>95.88</v>
      </c>
    </row>
    <row r="17" spans="1:8">
      <c r="A17" s="379" t="s">
        <v>756</v>
      </c>
      <c r="B17" s="379" t="s">
        <v>6</v>
      </c>
      <c r="C17" s="379">
        <v>239.69</v>
      </c>
    </row>
    <row r="18" spans="1:8">
      <c r="B18" s="379" t="s">
        <v>7</v>
      </c>
      <c r="C18" s="379">
        <v>212.5</v>
      </c>
    </row>
    <row r="19" spans="1:8">
      <c r="F19" s="379" t="s">
        <v>757</v>
      </c>
      <c r="H19" s="379">
        <f>7.52+6.25</f>
        <v>13.77</v>
      </c>
    </row>
    <row r="20" spans="1:8">
      <c r="C20" s="379">
        <f>SUM(C17:C19)</f>
        <v>452.19</v>
      </c>
    </row>
    <row r="21" spans="1:8">
      <c r="F21" s="379" t="s">
        <v>500</v>
      </c>
      <c r="G21" s="379" t="s">
        <v>471</v>
      </c>
    </row>
    <row r="22" spans="1:8">
      <c r="F22" s="379" t="s">
        <v>476</v>
      </c>
      <c r="G22" s="379">
        <v>13.35</v>
      </c>
    </row>
    <row r="23" spans="1:8">
      <c r="A23" s="380" t="s">
        <v>758</v>
      </c>
      <c r="C23" s="379" t="s">
        <v>1</v>
      </c>
      <c r="F23" s="379" t="s">
        <v>501</v>
      </c>
      <c r="G23" s="379">
        <v>2.4700000000000002</v>
      </c>
    </row>
    <row r="25" spans="1:8">
      <c r="A25" s="379">
        <v>57</v>
      </c>
      <c r="C25" s="379">
        <v>8</v>
      </c>
      <c r="D25" s="379" t="s">
        <v>5</v>
      </c>
    </row>
    <row r="26" spans="1:8">
      <c r="A26" s="379">
        <v>57</v>
      </c>
      <c r="C26" s="379">
        <v>10</v>
      </c>
      <c r="D26" s="379" t="s">
        <v>5</v>
      </c>
    </row>
    <row r="28" spans="1:8">
      <c r="A28" s="379" t="s">
        <v>759</v>
      </c>
    </row>
    <row r="30" spans="1:8">
      <c r="A30" s="379">
        <v>6</v>
      </c>
      <c r="C30" s="379">
        <v>15</v>
      </c>
      <c r="D30" s="379" t="s">
        <v>5</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6FFE9-8FC5-4AA6-8A6B-FEE90BAA0B88}">
  <dimension ref="A1:N13"/>
  <sheetViews>
    <sheetView workbookViewId="0">
      <selection activeCell="B16" sqref="B16"/>
    </sheetView>
  </sheetViews>
  <sheetFormatPr defaultColWidth="9.109375" defaultRowHeight="14.4"/>
  <cols>
    <col min="1" max="1" width="15.664062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5.5546875" style="1" bestFit="1" customWidth="1"/>
    <col min="11" max="11" width="14.5546875" style="1" customWidth="1"/>
    <col min="12" max="13" width="9.109375" style="1"/>
    <col min="14" max="14" width="11.5546875" style="1" bestFit="1" customWidth="1"/>
    <col min="15" max="16384" width="9.109375" style="1"/>
  </cols>
  <sheetData>
    <row r="1" spans="1:14">
      <c r="A1" s="1" t="s">
        <v>760</v>
      </c>
      <c r="F1" s="1" t="str">
        <f>A12</f>
        <v>Counterfort RW</v>
      </c>
    </row>
    <row r="2" spans="1:14">
      <c r="J2" s="1" t="s">
        <v>761</v>
      </c>
      <c r="K2" s="1" t="s">
        <v>761</v>
      </c>
    </row>
    <row r="3" spans="1:14">
      <c r="A3" s="2" t="s">
        <v>0</v>
      </c>
      <c r="B3" s="2"/>
      <c r="C3" s="2" t="s">
        <v>1</v>
      </c>
      <c r="D3" s="2"/>
      <c r="E3" s="2"/>
      <c r="F3" s="2" t="s">
        <v>762</v>
      </c>
      <c r="G3" s="2"/>
      <c r="H3" s="2" t="s">
        <v>1</v>
      </c>
      <c r="I3" s="1" t="s">
        <v>494</v>
      </c>
      <c r="J3" s="1" t="s">
        <v>763</v>
      </c>
      <c r="K3" s="1" t="s">
        <v>764</v>
      </c>
      <c r="L3" s="2"/>
      <c r="M3" s="2"/>
      <c r="N3" s="2"/>
    </row>
    <row r="5" spans="1:14">
      <c r="A5" s="1" t="s">
        <v>208</v>
      </c>
      <c r="C5" s="1">
        <f>19.72+22.95</f>
        <v>42.67</v>
      </c>
      <c r="F5" s="1" t="s">
        <v>596</v>
      </c>
      <c r="H5" s="1">
        <v>4.75</v>
      </c>
      <c r="I5" s="1">
        <v>13</v>
      </c>
      <c r="J5" s="1">
        <v>24.73</v>
      </c>
      <c r="K5" s="1">
        <v>21.31</v>
      </c>
    </row>
    <row r="6" spans="1:14">
      <c r="A6" s="1" t="s">
        <v>3</v>
      </c>
      <c r="C6" s="1">
        <v>25.9</v>
      </c>
      <c r="F6" s="1" t="s">
        <v>597</v>
      </c>
      <c r="H6" s="1">
        <v>11</v>
      </c>
      <c r="I6" s="1">
        <f>(13+11.14)/2</f>
        <v>12.07</v>
      </c>
      <c r="J6" s="1">
        <f>(21.82+24.73)/2</f>
        <v>23.274999999999999</v>
      </c>
      <c r="K6" s="1">
        <f>(19.8+21.31)/2</f>
        <v>20.555</v>
      </c>
    </row>
    <row r="7" spans="1:14">
      <c r="A7" s="1" t="s">
        <v>4</v>
      </c>
      <c r="C7" s="1">
        <v>6</v>
      </c>
      <c r="F7" s="1" t="s">
        <v>598</v>
      </c>
      <c r="H7" s="1">
        <v>9.64</v>
      </c>
      <c r="I7" s="1">
        <v>11.14</v>
      </c>
      <c r="J7" s="1">
        <v>21.82</v>
      </c>
      <c r="K7" s="1">
        <v>19.8</v>
      </c>
    </row>
    <row r="8" spans="1:14">
      <c r="A8" s="1" t="s">
        <v>497</v>
      </c>
      <c r="C8" s="1">
        <f>6*1.4142</f>
        <v>8.485199999999999</v>
      </c>
    </row>
    <row r="9" spans="1:14">
      <c r="A9" s="1" t="s">
        <v>2</v>
      </c>
      <c r="C9" s="1">
        <f>5*1.4142</f>
        <v>7.0709999999999997</v>
      </c>
    </row>
    <row r="10" spans="1:14">
      <c r="F10" s="1" t="str">
        <f>A13</f>
        <v>RRM Ret. Wall</v>
      </c>
    </row>
    <row r="12" spans="1:14">
      <c r="A12" s="1" t="s">
        <v>765</v>
      </c>
      <c r="C12" s="1">
        <v>25.38</v>
      </c>
      <c r="F12" s="1" t="s">
        <v>766</v>
      </c>
      <c r="H12" s="1">
        <f>C13</f>
        <v>15.96</v>
      </c>
      <c r="J12" s="4"/>
      <c r="K12" s="5"/>
    </row>
    <row r="13" spans="1:14">
      <c r="A13" s="1" t="s">
        <v>767</v>
      </c>
      <c r="C13" s="1">
        <v>15.96</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140F-514F-4E4C-AE58-CC2D3DF69E36}">
  <sheetPr>
    <tabColor rgb="FF002060"/>
  </sheetPr>
  <dimension ref="A1:M35"/>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5.21875"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t="str">
        <f>'Bill No. 4.2'!A1:F1</f>
        <v>LOT -06 - BILLS OF QUANTITIES</v>
      </c>
      <c r="B1" s="870"/>
      <c r="C1" s="870"/>
      <c r="D1" s="870"/>
      <c r="E1" s="870"/>
      <c r="F1" s="871"/>
    </row>
    <row r="2" spans="1:13" customFormat="1" ht="58.95" customHeight="1" thickBot="1">
      <c r="A2" s="872" t="s">
        <v>1503</v>
      </c>
      <c r="B2" s="873"/>
      <c r="C2" s="873"/>
      <c r="D2" s="873"/>
      <c r="E2" s="873"/>
      <c r="F2" s="874"/>
    </row>
    <row r="3" spans="1:13" customFormat="1" ht="15" thickBot="1">
      <c r="A3" s="752"/>
      <c r="B3" s="6" t="s">
        <v>8</v>
      </c>
      <c r="C3" s="6"/>
      <c r="D3" s="7"/>
      <c r="E3" s="8"/>
      <c r="F3" s="753" t="s">
        <v>9</v>
      </c>
    </row>
    <row r="4" spans="1:13" s="11" customFormat="1" ht="36" customHeight="1">
      <c r="A4" s="9"/>
      <c r="B4" s="875" t="str">
        <f>'Bill 5.1'!$A$1</f>
        <v>BILL No. 5.1 - SITE CLEARING</v>
      </c>
      <c r="C4" s="875"/>
      <c r="D4" s="875"/>
      <c r="E4" s="876"/>
      <c r="F4" s="10"/>
      <c r="H4" s="12"/>
      <c r="I4" s="13"/>
      <c r="J4" s="12"/>
      <c r="L4" s="14"/>
    </row>
    <row r="5" spans="1:13" s="11" customFormat="1" ht="36" customHeight="1">
      <c r="A5" s="9"/>
      <c r="B5" s="890" t="str">
        <f>'Bill 5.2'!$A$1</f>
        <v>BILL No. 5.2 - EARTHWORKS</v>
      </c>
      <c r="C5" s="890"/>
      <c r="D5" s="890"/>
      <c r="E5" s="891"/>
      <c r="F5" s="10"/>
      <c r="H5" s="12"/>
      <c r="I5" s="13"/>
      <c r="J5" s="12"/>
      <c r="L5" s="14"/>
    </row>
    <row r="6" spans="1:13" s="11" customFormat="1" ht="36" customHeight="1" thickBot="1">
      <c r="A6" s="9"/>
      <c r="B6" s="890" t="str">
        <f>'Bill 5.3'!A1</f>
        <v>BILL No. 5.3 - STRUCTURE CONSTRUCTION &amp; VEGETATION</v>
      </c>
      <c r="C6" s="890"/>
      <c r="D6" s="890"/>
      <c r="E6" s="891"/>
      <c r="F6" s="10"/>
      <c r="H6" s="12"/>
      <c r="I6" s="13"/>
      <c r="J6" s="12"/>
      <c r="L6" s="14"/>
    </row>
    <row r="7" spans="1:13" s="11" customFormat="1" ht="24.9" customHeight="1" thickBot="1">
      <c r="A7" s="15"/>
      <c r="B7" s="877" t="s">
        <v>10</v>
      </c>
      <c r="C7" s="877"/>
      <c r="D7" s="877"/>
      <c r="E7" s="878"/>
      <c r="F7" s="16"/>
      <c r="H7" s="12"/>
      <c r="I7" s="17"/>
      <c r="J7" s="12"/>
      <c r="K7" s="14"/>
      <c r="M7" s="12"/>
    </row>
    <row r="8" spans="1:13" s="11" customFormat="1">
      <c r="A8" s="18"/>
      <c r="C8" s="18"/>
      <c r="D8" s="19"/>
      <c r="E8" s="20"/>
      <c r="F8" s="20"/>
      <c r="H8" s="12"/>
      <c r="I8" s="13"/>
      <c r="J8" s="12"/>
    </row>
    <row r="9" spans="1:13" s="11" customFormat="1">
      <c r="A9" s="18"/>
      <c r="C9" s="18"/>
      <c r="D9" s="19"/>
      <c r="E9" s="20"/>
      <c r="F9" s="20"/>
      <c r="H9" s="12"/>
      <c r="I9" s="13"/>
      <c r="J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row r="35" spans="1:10" s="11" customFormat="1">
      <c r="A35" s="18"/>
      <c r="C35" s="18"/>
      <c r="D35" s="19"/>
      <c r="E35" s="20"/>
      <c r="F35" s="20"/>
      <c r="H35" s="12"/>
      <c r="I35" s="13"/>
      <c r="J35" s="12"/>
    </row>
  </sheetData>
  <mergeCells count="6">
    <mergeCell ref="B7:E7"/>
    <mergeCell ref="A1:F1"/>
    <mergeCell ref="A2:F2"/>
    <mergeCell ref="B4:E4"/>
    <mergeCell ref="B5:E5"/>
    <mergeCell ref="B6:E6"/>
  </mergeCells>
  <printOptions horizontalCentered="1"/>
  <pageMargins left="0.75" right="0.4" top="0.75" bottom="0.5" header="0" footer="0"/>
  <pageSetup paperSize="9" scale="70"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F203-4A4D-48FD-99BA-CB41F7044951}">
  <sheetPr>
    <tabColor rgb="FFFF9933"/>
  </sheetPr>
  <dimension ref="A1:L14"/>
  <sheetViews>
    <sheetView view="pageBreakPreview" zoomScaleNormal="100" zoomScaleSheetLayoutView="100" workbookViewId="0">
      <selection activeCell="I1" sqref="I1:M1048576"/>
    </sheetView>
  </sheetViews>
  <sheetFormatPr defaultColWidth="9.109375" defaultRowHeight="13.2"/>
  <cols>
    <col min="1" max="1" width="7.6640625" style="31" customWidth="1"/>
    <col min="2" max="2" width="9.6640625" style="31" customWidth="1"/>
    <col min="3" max="3" width="50.6640625" style="31" customWidth="1"/>
    <col min="4" max="4" width="7.6640625" style="31" customWidth="1"/>
    <col min="5" max="5" width="8.6640625" style="689" customWidth="1"/>
    <col min="6" max="6" width="14.44140625" style="31" customWidth="1"/>
    <col min="7" max="7" width="18.5546875" style="31" customWidth="1"/>
    <col min="8" max="8" width="9.109375" style="31"/>
    <col min="9" max="13" width="0" style="31" hidden="1" customWidth="1"/>
    <col min="14" max="16384" width="9.109375" style="31"/>
  </cols>
  <sheetData>
    <row r="1" spans="1:12" s="27" customFormat="1" ht="70.8" customHeight="1" thickBot="1">
      <c r="A1" s="892" t="s">
        <v>768</v>
      </c>
      <c r="B1" s="893"/>
      <c r="C1" s="893"/>
      <c r="D1" s="953" t="str">
        <f>'Bill No. 5'!A2</f>
        <v>BILL NO. 05-REDUCTION OF LANDSLIDE VULNERABILITY  BY MITIGATION MEASURES
 ANANDA SASTHRALAYA VIDYALAYA,MATHUGAMA (SITE NO. 86)</v>
      </c>
      <c r="E1" s="953"/>
      <c r="F1" s="953"/>
      <c r="G1" s="954"/>
    </row>
    <row r="2" spans="1:12" ht="26.4">
      <c r="A2" s="754" t="s">
        <v>11</v>
      </c>
      <c r="B2" s="28" t="s">
        <v>12</v>
      </c>
      <c r="C2" s="29" t="s">
        <v>8</v>
      </c>
      <c r="D2" s="28" t="s">
        <v>13</v>
      </c>
      <c r="E2" s="686" t="s">
        <v>14</v>
      </c>
      <c r="F2" s="30" t="s">
        <v>15</v>
      </c>
      <c r="G2" s="755" t="s">
        <v>16</v>
      </c>
    </row>
    <row r="3" spans="1:12" ht="30" customHeight="1">
      <c r="A3" s="756" t="s">
        <v>769</v>
      </c>
      <c r="B3" s="32"/>
      <c r="C3" s="219" t="s">
        <v>17</v>
      </c>
      <c r="D3" s="32"/>
      <c r="E3" s="692"/>
      <c r="F3" s="32"/>
      <c r="G3" s="757"/>
      <c r="I3" s="220" t="s">
        <v>0</v>
      </c>
      <c r="J3" s="345" t="s">
        <v>770</v>
      </c>
      <c r="K3" s="346"/>
    </row>
    <row r="4" spans="1:12" ht="26.4">
      <c r="A4" s="758" t="s">
        <v>771</v>
      </c>
      <c r="B4" s="33" t="s">
        <v>18</v>
      </c>
      <c r="C4" s="34" t="s">
        <v>19</v>
      </c>
      <c r="D4" s="33" t="s">
        <v>20</v>
      </c>
      <c r="E4" s="241">
        <v>390</v>
      </c>
      <c r="F4" s="35"/>
      <c r="G4" s="759"/>
      <c r="I4" s="44">
        <f>Drains86!G109+Drains86!G164</f>
        <v>212.0805</v>
      </c>
      <c r="J4" s="44">
        <f>'QTY86'!J11</f>
        <v>173.96</v>
      </c>
      <c r="K4" s="347"/>
      <c r="L4" s="44">
        <f>SUM(I4:K4)</f>
        <v>386.04050000000001</v>
      </c>
    </row>
    <row r="5" spans="1:12" s="27" customFormat="1" ht="30" customHeight="1">
      <c r="A5" s="758" t="s">
        <v>772</v>
      </c>
      <c r="B5" s="36" t="s">
        <v>21</v>
      </c>
      <c r="C5" s="37" t="s">
        <v>22</v>
      </c>
      <c r="D5" s="36" t="s">
        <v>23</v>
      </c>
      <c r="E5" s="239">
        <v>40</v>
      </c>
      <c r="F5" s="38"/>
      <c r="G5" s="39"/>
      <c r="H5" s="40"/>
    </row>
    <row r="6" spans="1:12" s="27" customFormat="1" ht="30" customHeight="1">
      <c r="A6" s="758" t="s">
        <v>773</v>
      </c>
      <c r="B6" s="36" t="s">
        <v>24</v>
      </c>
      <c r="C6" s="37" t="s">
        <v>25</v>
      </c>
      <c r="D6" s="36" t="s">
        <v>23</v>
      </c>
      <c r="E6" s="239">
        <v>35</v>
      </c>
      <c r="F6" s="38"/>
      <c r="G6" s="39"/>
      <c r="H6" s="40"/>
    </row>
    <row r="7" spans="1:12" s="27" customFormat="1" ht="30" customHeight="1">
      <c r="A7" s="222" t="s">
        <v>774</v>
      </c>
      <c r="B7" s="56" t="s">
        <v>200</v>
      </c>
      <c r="C7" s="223" t="s">
        <v>201</v>
      </c>
      <c r="D7" s="36" t="s">
        <v>23</v>
      </c>
      <c r="E7" s="239">
        <v>10</v>
      </c>
      <c r="F7" s="57"/>
      <c r="G7" s="39"/>
      <c r="H7" s="40"/>
      <c r="I7" s="40"/>
      <c r="J7" s="349"/>
    </row>
    <row r="8" spans="1:12" s="27" customFormat="1" ht="30" customHeight="1">
      <c r="A8" s="222" t="s">
        <v>775</v>
      </c>
      <c r="B8" s="56" t="s">
        <v>202</v>
      </c>
      <c r="C8" s="223" t="s">
        <v>203</v>
      </c>
      <c r="D8" s="36" t="s">
        <v>23</v>
      </c>
      <c r="E8" s="239">
        <v>5</v>
      </c>
      <c r="F8" s="57"/>
      <c r="G8" s="39"/>
      <c r="H8" s="40"/>
      <c r="I8" s="40"/>
      <c r="J8" s="349"/>
    </row>
    <row r="9" spans="1:12" s="27" customFormat="1" ht="30" customHeight="1">
      <c r="A9" s="222" t="s">
        <v>776</v>
      </c>
      <c r="B9" s="56" t="s">
        <v>26</v>
      </c>
      <c r="C9" s="223" t="s">
        <v>204</v>
      </c>
      <c r="D9" s="36" t="s">
        <v>23</v>
      </c>
      <c r="E9" s="239">
        <v>15</v>
      </c>
      <c r="F9" s="57"/>
      <c r="G9" s="39"/>
      <c r="H9" s="40"/>
      <c r="I9" s="40"/>
      <c r="J9" s="349"/>
    </row>
    <row r="10" spans="1:12" s="27" customFormat="1" ht="30" customHeight="1">
      <c r="A10" s="222" t="s">
        <v>777</v>
      </c>
      <c r="B10" s="56" t="s">
        <v>205</v>
      </c>
      <c r="C10" s="223" t="s">
        <v>206</v>
      </c>
      <c r="D10" s="36" t="s">
        <v>23</v>
      </c>
      <c r="E10" s="239">
        <v>10</v>
      </c>
      <c r="F10" s="57"/>
      <c r="G10" s="39"/>
      <c r="H10" s="40"/>
      <c r="I10" s="40"/>
      <c r="J10" s="349"/>
    </row>
    <row r="11" spans="1:12" customFormat="1" ht="30" customHeight="1">
      <c r="A11" s="770" t="s">
        <v>778</v>
      </c>
      <c r="B11" s="350"/>
      <c r="C11" s="351" t="s">
        <v>399</v>
      </c>
      <c r="D11" s="350"/>
      <c r="E11" s="693"/>
      <c r="F11" s="57"/>
      <c r="G11" s="771"/>
    </row>
    <row r="12" spans="1:12" customFormat="1" ht="30" customHeight="1">
      <c r="A12" s="222" t="s">
        <v>779</v>
      </c>
      <c r="B12" s="350" t="s">
        <v>401</v>
      </c>
      <c r="C12" s="353" t="s">
        <v>402</v>
      </c>
      <c r="D12" s="350" t="s">
        <v>28</v>
      </c>
      <c r="E12" s="693">
        <v>10</v>
      </c>
      <c r="F12" s="57"/>
      <c r="G12" s="771"/>
    </row>
    <row r="13" spans="1:12" customFormat="1" ht="30" customHeight="1">
      <c r="A13" s="222" t="s">
        <v>780</v>
      </c>
      <c r="B13" s="354" t="s">
        <v>404</v>
      </c>
      <c r="C13" s="355" t="s">
        <v>405</v>
      </c>
      <c r="D13" s="354" t="s">
        <v>28</v>
      </c>
      <c r="E13" s="694">
        <v>10</v>
      </c>
      <c r="F13" s="357"/>
      <c r="G13" s="771"/>
    </row>
    <row r="14" spans="1:12" ht="22.5" customHeight="1" thickBot="1">
      <c r="A14" s="760"/>
      <c r="B14" s="896" t="s">
        <v>781</v>
      </c>
      <c r="C14" s="897"/>
      <c r="D14" s="897"/>
      <c r="E14" s="897"/>
      <c r="F14" s="898"/>
      <c r="G14" s="761"/>
    </row>
  </sheetData>
  <mergeCells count="3">
    <mergeCell ref="A1:C1"/>
    <mergeCell ref="D1:G1"/>
    <mergeCell ref="B14:F14"/>
  </mergeCells>
  <printOptions horizontalCentered="1"/>
  <pageMargins left="0.75" right="0.4" top="0.75" bottom="0.5" header="0" footer="0"/>
  <pageSetup paperSize="9" scale="70"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8CA77-8177-42C4-9787-4893CCF244CE}">
  <sheetPr>
    <tabColor rgb="FFFF9933"/>
  </sheetPr>
  <dimension ref="A1:L15"/>
  <sheetViews>
    <sheetView view="pageBreakPreview" topLeftCell="A10" zoomScaleNormal="100" zoomScaleSheetLayoutView="100" workbookViewId="0">
      <selection activeCell="H1" sqref="H1:K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689" customWidth="1"/>
    <col min="6" max="6" width="14.77734375" style="31" customWidth="1"/>
    <col min="7" max="7" width="20" style="31" customWidth="1"/>
    <col min="8" max="8" width="9.44140625" style="31" hidden="1" customWidth="1"/>
    <col min="9" max="11" width="0" style="31" hidden="1" customWidth="1"/>
    <col min="12" max="16384" width="9.109375" style="31"/>
  </cols>
  <sheetData>
    <row r="1" spans="1:12" s="27" customFormat="1" ht="69.599999999999994" customHeight="1" thickBot="1">
      <c r="A1" s="892" t="s">
        <v>782</v>
      </c>
      <c r="B1" s="893"/>
      <c r="C1" s="893"/>
      <c r="D1" s="953" t="str">
        <f>+'Bill 5.1'!D1:G1</f>
        <v>BILL NO. 05-REDUCTION OF LANDSLIDE VULNERABILITY  BY MITIGATION MEASURES
 ANANDA SASTHRALAYA VIDYALAYA,MATHUGAMA (SITE NO. 86)</v>
      </c>
      <c r="E1" s="953"/>
      <c r="F1" s="953"/>
      <c r="G1" s="954"/>
    </row>
    <row r="2" spans="1:12" ht="26.4">
      <c r="A2" s="754" t="s">
        <v>11</v>
      </c>
      <c r="B2" s="28" t="s">
        <v>12</v>
      </c>
      <c r="C2" s="29" t="s">
        <v>8</v>
      </c>
      <c r="D2" s="28" t="s">
        <v>13</v>
      </c>
      <c r="E2" s="686" t="s">
        <v>14</v>
      </c>
      <c r="F2" s="30" t="s">
        <v>15</v>
      </c>
      <c r="G2" s="755" t="s">
        <v>16</v>
      </c>
    </row>
    <row r="3" spans="1:12" ht="24.75" customHeight="1">
      <c r="A3" s="762" t="s">
        <v>783</v>
      </c>
      <c r="B3" s="41"/>
      <c r="C3" s="42" t="s">
        <v>229</v>
      </c>
      <c r="D3" s="41"/>
      <c r="E3" s="688"/>
      <c r="F3" s="41"/>
      <c r="G3" s="765"/>
    </row>
    <row r="4" spans="1:12" ht="36" customHeight="1">
      <c r="A4" s="758" t="s">
        <v>784</v>
      </c>
      <c r="B4" s="33" t="s">
        <v>222</v>
      </c>
      <c r="C4" s="45" t="s">
        <v>636</v>
      </c>
      <c r="D4" s="33" t="s">
        <v>27</v>
      </c>
      <c r="E4" s="240">
        <v>100</v>
      </c>
      <c r="F4" s="35"/>
      <c r="G4" s="764"/>
      <c r="H4" s="44"/>
      <c r="I4" s="955" t="s">
        <v>785</v>
      </c>
      <c r="J4" s="956"/>
    </row>
    <row r="5" spans="1:12" ht="32.25" customHeight="1">
      <c r="A5" s="758" t="s">
        <v>786</v>
      </c>
      <c r="B5" s="33" t="s">
        <v>224</v>
      </c>
      <c r="C5" s="45" t="s">
        <v>638</v>
      </c>
      <c r="D5" s="33" t="s">
        <v>27</v>
      </c>
      <c r="E5" s="240">
        <v>200</v>
      </c>
      <c r="F5" s="35"/>
      <c r="G5" s="764"/>
      <c r="H5" s="44"/>
      <c r="I5" s="957"/>
      <c r="J5" s="958"/>
    </row>
    <row r="6" spans="1:12" ht="32.25" customHeight="1">
      <c r="A6" s="758" t="s">
        <v>787</v>
      </c>
      <c r="B6" s="46" t="s">
        <v>226</v>
      </c>
      <c r="C6" s="47" t="s">
        <v>640</v>
      </c>
      <c r="D6" s="46" t="s">
        <v>28</v>
      </c>
      <c r="E6" s="238">
        <v>200</v>
      </c>
      <c r="F6" s="35"/>
      <c r="G6" s="764"/>
      <c r="H6" s="44"/>
      <c r="I6" s="957"/>
      <c r="J6" s="958"/>
    </row>
    <row r="7" spans="1:12" ht="32.25" customHeight="1">
      <c r="A7" s="758" t="s">
        <v>788</v>
      </c>
      <c r="B7" s="48" t="s">
        <v>228</v>
      </c>
      <c r="C7" s="49" t="s">
        <v>642</v>
      </c>
      <c r="D7" s="50" t="s">
        <v>27</v>
      </c>
      <c r="E7" s="238">
        <v>100</v>
      </c>
      <c r="F7" s="35"/>
      <c r="G7" s="764"/>
      <c r="H7" s="44"/>
      <c r="I7" s="959"/>
      <c r="J7" s="960"/>
    </row>
    <row r="8" spans="1:12" ht="26.25" customHeight="1">
      <c r="A8" s="762" t="s">
        <v>789</v>
      </c>
      <c r="B8" s="41"/>
      <c r="C8" s="42" t="s">
        <v>29</v>
      </c>
      <c r="D8" s="51"/>
      <c r="E8" s="688"/>
      <c r="F8" s="41"/>
      <c r="G8" s="765"/>
    </row>
    <row r="9" spans="1:12" ht="48" customHeight="1">
      <c r="A9" s="758" t="s">
        <v>790</v>
      </c>
      <c r="B9" s="52" t="s">
        <v>30</v>
      </c>
      <c r="C9" s="53" t="s">
        <v>31</v>
      </c>
      <c r="D9" s="52" t="s">
        <v>28</v>
      </c>
      <c r="E9" s="241">
        <v>25</v>
      </c>
      <c r="F9" s="35"/>
      <c r="G9" s="764"/>
      <c r="H9" s="44">
        <f>Drains86!H109+Drains86!H164</f>
        <v>22.678825000000003</v>
      </c>
    </row>
    <row r="10" spans="1:12" ht="51" customHeight="1">
      <c r="A10" s="758" t="s">
        <v>791</v>
      </c>
      <c r="B10" s="52" t="s">
        <v>30</v>
      </c>
      <c r="C10" s="53" t="s">
        <v>792</v>
      </c>
      <c r="D10" s="52" t="s">
        <v>28</v>
      </c>
      <c r="E10" s="241">
        <v>200</v>
      </c>
      <c r="F10" s="35"/>
      <c r="G10" s="764"/>
      <c r="H10" s="44">
        <f>'QTY86'!J28</f>
        <v>118.72118500000002</v>
      </c>
      <c r="L10" s="54"/>
    </row>
    <row r="11" spans="1:12" ht="35.25" customHeight="1">
      <c r="A11" s="758" t="s">
        <v>793</v>
      </c>
      <c r="B11" s="52" t="s">
        <v>418</v>
      </c>
      <c r="C11" s="53" t="s">
        <v>794</v>
      </c>
      <c r="D11" s="52" t="s">
        <v>28</v>
      </c>
      <c r="E11" s="241">
        <v>100</v>
      </c>
      <c r="F11" s="35"/>
      <c r="G11" s="764"/>
      <c r="H11" s="44">
        <f>'QTY86'!J33</f>
        <v>6.9308799999999993</v>
      </c>
      <c r="L11" s="54"/>
    </row>
    <row r="12" spans="1:12" ht="35.25" customHeight="1">
      <c r="A12" s="758" t="s">
        <v>795</v>
      </c>
      <c r="B12" s="46" t="s">
        <v>32</v>
      </c>
      <c r="C12" s="47" t="s">
        <v>650</v>
      </c>
      <c r="D12" s="46" t="s">
        <v>28</v>
      </c>
      <c r="E12" s="238">
        <v>50</v>
      </c>
      <c r="F12" s="35"/>
      <c r="G12" s="764"/>
      <c r="I12" s="955" t="s">
        <v>785</v>
      </c>
      <c r="J12" s="956"/>
      <c r="L12" s="54"/>
    </row>
    <row r="13" spans="1:12" ht="35.25" customHeight="1">
      <c r="A13" s="758" t="s">
        <v>796</v>
      </c>
      <c r="B13" s="46" t="s">
        <v>33</v>
      </c>
      <c r="C13" s="47" t="s">
        <v>640</v>
      </c>
      <c r="D13" s="46" t="s">
        <v>28</v>
      </c>
      <c r="E13" s="238">
        <v>50</v>
      </c>
      <c r="F13" s="35"/>
      <c r="G13" s="764"/>
      <c r="I13" s="959"/>
      <c r="J13" s="960"/>
      <c r="L13" s="54"/>
    </row>
    <row r="14" spans="1:12" ht="35.25" customHeight="1">
      <c r="A14" s="758" t="s">
        <v>797</v>
      </c>
      <c r="B14" s="48" t="s">
        <v>34</v>
      </c>
      <c r="C14" s="49" t="s">
        <v>35</v>
      </c>
      <c r="D14" s="50" t="s">
        <v>27</v>
      </c>
      <c r="E14" s="238">
        <v>100</v>
      </c>
      <c r="F14" s="35"/>
      <c r="G14" s="764"/>
      <c r="H14" s="44">
        <f>(E9+E10)-E11</f>
        <v>125</v>
      </c>
      <c r="L14" s="54"/>
    </row>
    <row r="15" spans="1:12" ht="28.5" customHeight="1" thickBot="1">
      <c r="A15" s="760"/>
      <c r="B15" s="896" t="s">
        <v>798</v>
      </c>
      <c r="C15" s="897"/>
      <c r="D15" s="897"/>
      <c r="E15" s="897"/>
      <c r="F15" s="898"/>
      <c r="G15" s="761"/>
    </row>
  </sheetData>
  <mergeCells count="5">
    <mergeCell ref="A1:C1"/>
    <mergeCell ref="D1:G1"/>
    <mergeCell ref="I4:J7"/>
    <mergeCell ref="I12:J13"/>
    <mergeCell ref="B15:F15"/>
  </mergeCells>
  <printOptions horizontalCentered="1"/>
  <pageMargins left="0.75" right="0.4" top="0.75" bottom="0.5" header="0" footer="0"/>
  <pageSetup paperSize="9" scale="70"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FFCAE-09B6-44CD-96E8-8C61EBDF81FA}">
  <sheetPr>
    <tabColor rgb="FFFF9933"/>
  </sheetPr>
  <dimension ref="A1:I26"/>
  <sheetViews>
    <sheetView view="pageBreakPreview" zoomScale="110" zoomScaleNormal="110" zoomScaleSheetLayoutView="110" workbookViewId="0">
      <pane ySplit="2" topLeftCell="A6" activePane="bottomLeft" state="frozen"/>
      <selection activeCell="E36" sqref="E36"/>
      <selection pane="bottomLeft" activeCell="H1" sqref="H1:H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689" customWidth="1"/>
    <col min="6" max="6" width="15.109375" style="31" customWidth="1"/>
    <col min="7" max="7" width="17.6640625" style="31" customWidth="1"/>
    <col min="8" max="8" width="11.44140625" style="59" hidden="1" customWidth="1"/>
    <col min="9" max="16384" width="9.109375" style="31"/>
  </cols>
  <sheetData>
    <row r="1" spans="1:9" s="27" customFormat="1" ht="73.8" customHeight="1" thickBot="1">
      <c r="A1" s="892" t="s">
        <v>799</v>
      </c>
      <c r="B1" s="893"/>
      <c r="C1" s="893"/>
      <c r="D1" s="953" t="str">
        <f>+'Bill 5.1'!D1:G1</f>
        <v>BILL NO. 05-REDUCTION OF LANDSLIDE VULNERABILITY  BY MITIGATION MEASURES
 ANANDA SASTHRALAYA VIDYALAYA,MATHUGAMA (SITE NO. 86)</v>
      </c>
      <c r="E1" s="953"/>
      <c r="F1" s="953"/>
      <c r="G1" s="954"/>
    </row>
    <row r="2" spans="1:9" ht="26.4">
      <c r="A2" s="754" t="s">
        <v>11</v>
      </c>
      <c r="B2" s="28" t="s">
        <v>12</v>
      </c>
      <c r="C2" s="29" t="s">
        <v>8</v>
      </c>
      <c r="D2" s="28" t="s">
        <v>13</v>
      </c>
      <c r="E2" s="686" t="s">
        <v>14</v>
      </c>
      <c r="F2" s="30" t="s">
        <v>15</v>
      </c>
      <c r="G2" s="755" t="s">
        <v>16</v>
      </c>
    </row>
    <row r="3" spans="1:9" ht="29.4" customHeight="1">
      <c r="A3" s="766" t="s">
        <v>800</v>
      </c>
      <c r="B3" s="60"/>
      <c r="C3" s="42" t="s">
        <v>36</v>
      </c>
      <c r="D3" s="61"/>
      <c r="E3" s="242"/>
      <c r="F3" s="61"/>
      <c r="G3" s="767"/>
    </row>
    <row r="4" spans="1:9" ht="29.4" customHeight="1">
      <c r="A4" s="758" t="s">
        <v>801</v>
      </c>
      <c r="B4" s="62" t="s">
        <v>37</v>
      </c>
      <c r="C4" s="45" t="s">
        <v>38</v>
      </c>
      <c r="D4" s="33" t="s">
        <v>27</v>
      </c>
      <c r="E4" s="241">
        <v>2</v>
      </c>
      <c r="F4" s="35"/>
      <c r="G4" s="764"/>
      <c r="H4" s="59">
        <f>Drains86!I109</f>
        <v>1.7793749999999999</v>
      </c>
    </row>
    <row r="5" spans="1:9" ht="29.4" customHeight="1">
      <c r="A5" s="758" t="s">
        <v>802</v>
      </c>
      <c r="B5" s="62" t="s">
        <v>39</v>
      </c>
      <c r="C5" s="45" t="s">
        <v>40</v>
      </c>
      <c r="D5" s="33" t="s">
        <v>27</v>
      </c>
      <c r="E5" s="241">
        <v>9</v>
      </c>
      <c r="F5" s="35"/>
      <c r="G5" s="764"/>
      <c r="H5" s="59">
        <f>Drains86!J109+Drains86!J110</f>
        <v>8.5263281250000027</v>
      </c>
    </row>
    <row r="6" spans="1:9" ht="29.4" customHeight="1">
      <c r="A6" s="758" t="s">
        <v>803</v>
      </c>
      <c r="B6" s="62" t="s">
        <v>41</v>
      </c>
      <c r="C6" s="45" t="s">
        <v>42</v>
      </c>
      <c r="D6" s="33" t="s">
        <v>43</v>
      </c>
      <c r="E6" s="241">
        <v>556</v>
      </c>
      <c r="F6" s="35"/>
      <c r="G6" s="764"/>
      <c r="H6" s="59">
        <f>Drains86!U110</f>
        <v>555.56172839506178</v>
      </c>
    </row>
    <row r="7" spans="1:9" ht="29.4" customHeight="1">
      <c r="A7" s="758" t="s">
        <v>804</v>
      </c>
      <c r="B7" s="62" t="s">
        <v>44</v>
      </c>
      <c r="C7" s="45" t="s">
        <v>45</v>
      </c>
      <c r="D7" s="33" t="s">
        <v>20</v>
      </c>
      <c r="E7" s="241">
        <v>111</v>
      </c>
      <c r="F7" s="35"/>
      <c r="G7" s="764"/>
      <c r="H7" s="59">
        <f>Drains86!K109+Drains86!K110</f>
        <v>110.82525</v>
      </c>
    </row>
    <row r="8" spans="1:9" ht="29.4" customHeight="1">
      <c r="A8" s="766" t="s">
        <v>1463</v>
      </c>
      <c r="B8" s="51"/>
      <c r="C8" s="55" t="s">
        <v>441</v>
      </c>
      <c r="D8" s="41"/>
      <c r="E8" s="243"/>
      <c r="F8" s="41"/>
      <c r="G8" s="765"/>
    </row>
    <row r="9" spans="1:9" ht="29.4" customHeight="1">
      <c r="A9" s="758" t="s">
        <v>1464</v>
      </c>
      <c r="B9" s="62" t="s">
        <v>37</v>
      </c>
      <c r="C9" s="45" t="s">
        <v>38</v>
      </c>
      <c r="D9" s="33" t="s">
        <v>27</v>
      </c>
      <c r="E9" s="241">
        <v>1</v>
      </c>
      <c r="F9" s="35"/>
      <c r="G9" s="764"/>
      <c r="H9" s="59">
        <f>Drains86!I164</f>
        <v>0.24115000000000003</v>
      </c>
    </row>
    <row r="10" spans="1:9" ht="29.4" customHeight="1">
      <c r="A10" s="758" t="s">
        <v>1465</v>
      </c>
      <c r="B10" s="62" t="s">
        <v>39</v>
      </c>
      <c r="C10" s="45" t="s">
        <v>40</v>
      </c>
      <c r="D10" s="33" t="s">
        <v>27</v>
      </c>
      <c r="E10" s="241">
        <v>2</v>
      </c>
      <c r="F10" s="35"/>
      <c r="G10" s="764"/>
      <c r="H10" s="59">
        <f>Drains86!J164+Drains86!J165</f>
        <v>1.2368075000000001</v>
      </c>
    </row>
    <row r="11" spans="1:9" ht="29.4" customHeight="1">
      <c r="A11" s="758" t="s">
        <v>1466</v>
      </c>
      <c r="B11" s="62" t="s">
        <v>41</v>
      </c>
      <c r="C11" s="45" t="s">
        <v>42</v>
      </c>
      <c r="D11" s="33" t="s">
        <v>43</v>
      </c>
      <c r="E11" s="241">
        <v>69</v>
      </c>
      <c r="F11" s="35"/>
      <c r="G11" s="764"/>
      <c r="H11" s="59">
        <f>Drains86!S164</f>
        <v>68.590534979423865</v>
      </c>
    </row>
    <row r="12" spans="1:9" ht="29.4" customHeight="1">
      <c r="A12" s="758" t="s">
        <v>1467</v>
      </c>
      <c r="B12" s="62" t="s">
        <v>44</v>
      </c>
      <c r="C12" s="45" t="s">
        <v>45</v>
      </c>
      <c r="D12" s="33" t="s">
        <v>20</v>
      </c>
      <c r="E12" s="241">
        <v>18</v>
      </c>
      <c r="F12" s="35"/>
      <c r="G12" s="764"/>
      <c r="H12" s="59">
        <f>Drains86!K164+Drains86!K165</f>
        <v>17.315000000000001</v>
      </c>
    </row>
    <row r="13" spans="1:9" s="65" customFormat="1" ht="27.75" customHeight="1">
      <c r="A13" s="766" t="s">
        <v>805</v>
      </c>
      <c r="B13" s="46"/>
      <c r="C13" s="66" t="s">
        <v>48</v>
      </c>
      <c r="D13" s="46"/>
      <c r="E13" s="238"/>
      <c r="F13" s="57"/>
      <c r="G13" s="367"/>
      <c r="H13" s="63"/>
      <c r="I13" s="64"/>
    </row>
    <row r="14" spans="1:9" s="65" customFormat="1" ht="31.95" customHeight="1">
      <c r="A14" s="768" t="s">
        <v>806</v>
      </c>
      <c r="B14" s="46" t="s">
        <v>49</v>
      </c>
      <c r="C14" s="58" t="s">
        <v>448</v>
      </c>
      <c r="D14" s="46" t="s">
        <v>5</v>
      </c>
      <c r="E14" s="238">
        <v>80</v>
      </c>
      <c r="F14" s="57"/>
      <c r="G14" s="367"/>
      <c r="H14" s="63">
        <f>Drains86!D166+Sheet86!R5</f>
        <v>80</v>
      </c>
      <c r="I14" s="64"/>
    </row>
    <row r="15" spans="1:9" ht="30" customHeight="1">
      <c r="A15" s="766" t="s">
        <v>1468</v>
      </c>
      <c r="B15" s="51"/>
      <c r="C15" s="55" t="s">
        <v>809</v>
      </c>
      <c r="D15" s="41"/>
      <c r="E15" s="243"/>
      <c r="F15" s="41"/>
      <c r="G15" s="765"/>
    </row>
    <row r="16" spans="1:9" ht="30" customHeight="1">
      <c r="A16" s="758" t="s">
        <v>1469</v>
      </c>
      <c r="B16" s="62" t="s">
        <v>37</v>
      </c>
      <c r="C16" s="45" t="s">
        <v>38</v>
      </c>
      <c r="D16" s="33" t="s">
        <v>27</v>
      </c>
      <c r="E16" s="241">
        <v>3</v>
      </c>
      <c r="F16" s="35"/>
      <c r="G16" s="764"/>
      <c r="H16" s="59">
        <f>'QTY86'!J43</f>
        <v>2.3628</v>
      </c>
    </row>
    <row r="17" spans="1:8" ht="30" customHeight="1">
      <c r="A17" s="758" t="s">
        <v>1470</v>
      </c>
      <c r="B17" s="62" t="s">
        <v>39</v>
      </c>
      <c r="C17" s="45" t="s">
        <v>810</v>
      </c>
      <c r="D17" s="33" t="s">
        <v>27</v>
      </c>
      <c r="E17" s="241">
        <v>15</v>
      </c>
      <c r="F17" s="35"/>
      <c r="G17" s="764"/>
      <c r="H17" s="59">
        <f>'QTY86'!J44</f>
        <v>14.570599999999999</v>
      </c>
    </row>
    <row r="18" spans="1:8" ht="30" customHeight="1">
      <c r="A18" s="758" t="s">
        <v>1471</v>
      </c>
      <c r="B18" s="62" t="s">
        <v>41</v>
      </c>
      <c r="C18" s="45" t="s">
        <v>42</v>
      </c>
      <c r="D18" s="33" t="s">
        <v>43</v>
      </c>
      <c r="E18" s="241">
        <v>535</v>
      </c>
      <c r="F18" s="35"/>
      <c r="G18" s="764"/>
      <c r="H18" s="59">
        <f>Sheet86!Q7</f>
        <v>532.13871999999992</v>
      </c>
    </row>
    <row r="19" spans="1:8" ht="30" customHeight="1">
      <c r="A19" s="758" t="s">
        <v>1472</v>
      </c>
      <c r="B19" s="62" t="s">
        <v>44</v>
      </c>
      <c r="C19" s="45" t="s">
        <v>811</v>
      </c>
      <c r="D19" s="33" t="s">
        <v>20</v>
      </c>
      <c r="E19" s="241">
        <v>250</v>
      </c>
      <c r="F19" s="35"/>
      <c r="G19" s="764"/>
      <c r="H19" s="59">
        <f>'QTY86'!J55</f>
        <v>247.91799999999998</v>
      </c>
    </row>
    <row r="20" spans="1:8" ht="30" customHeight="1">
      <c r="A20" s="758" t="s">
        <v>1473</v>
      </c>
      <c r="B20" s="56" t="s">
        <v>584</v>
      </c>
      <c r="C20" s="223" t="s">
        <v>585</v>
      </c>
      <c r="D20" s="56" t="s">
        <v>28</v>
      </c>
      <c r="E20" s="693">
        <v>42</v>
      </c>
      <c r="F20" s="420"/>
      <c r="G20" s="783"/>
      <c r="H20" s="59">
        <f>'QTY86'!J47</f>
        <v>41.348999999999997</v>
      </c>
    </row>
    <row r="21" spans="1:8" ht="30" customHeight="1">
      <c r="A21" s="758" t="s">
        <v>1474</v>
      </c>
      <c r="B21" s="56" t="s">
        <v>569</v>
      </c>
      <c r="C21" s="223" t="s">
        <v>812</v>
      </c>
      <c r="D21" s="33" t="s">
        <v>5</v>
      </c>
      <c r="E21" s="241">
        <v>75</v>
      </c>
      <c r="F21" s="237"/>
      <c r="G21" s="783"/>
      <c r="H21" s="59">
        <f>'QTY86'!J48</f>
        <v>74.360000000000014</v>
      </c>
    </row>
    <row r="22" spans="1:8" ht="30" customHeight="1">
      <c r="A22" s="758" t="s">
        <v>1475</v>
      </c>
      <c r="B22" s="398" t="s">
        <v>581</v>
      </c>
      <c r="C22" s="399" t="s">
        <v>582</v>
      </c>
      <c r="D22" s="56" t="s">
        <v>28</v>
      </c>
      <c r="E22" s="241">
        <v>110</v>
      </c>
      <c r="F22" s="237"/>
      <c r="G22" s="783"/>
      <c r="H22" s="59">
        <f>'QTY86'!J46</f>
        <v>109.0826</v>
      </c>
    </row>
    <row r="23" spans="1:8" ht="30" customHeight="1">
      <c r="A23" s="758" t="s">
        <v>1476</v>
      </c>
      <c r="B23" s="56" t="s">
        <v>813</v>
      </c>
      <c r="C23" s="223" t="s">
        <v>814</v>
      </c>
      <c r="D23" s="350" t="s">
        <v>312</v>
      </c>
      <c r="E23" s="241">
        <v>150</v>
      </c>
      <c r="F23" s="237"/>
      <c r="G23" s="783"/>
      <c r="H23" s="59">
        <f>'QTY86'!J45</f>
        <v>149.64400000000001</v>
      </c>
    </row>
    <row r="24" spans="1:8" ht="30" customHeight="1">
      <c r="A24" s="762" t="s">
        <v>807</v>
      </c>
      <c r="B24" s="365"/>
      <c r="C24" s="362" t="s">
        <v>461</v>
      </c>
      <c r="D24" s="365"/>
      <c r="E24" s="238"/>
      <c r="F24" s="57"/>
      <c r="G24" s="784"/>
    </row>
    <row r="25" spans="1:8" ht="30" customHeight="1">
      <c r="A25" s="758" t="s">
        <v>808</v>
      </c>
      <c r="B25" s="46" t="s">
        <v>732</v>
      </c>
      <c r="C25" s="47" t="s">
        <v>463</v>
      </c>
      <c r="D25" s="365" t="s">
        <v>312</v>
      </c>
      <c r="E25" s="691">
        <v>100</v>
      </c>
      <c r="F25" s="366"/>
      <c r="G25" s="367"/>
    </row>
    <row r="26" spans="1:8" ht="30" customHeight="1" thickBot="1">
      <c r="A26" s="760"/>
      <c r="B26" s="896" t="s">
        <v>815</v>
      </c>
      <c r="C26" s="897"/>
      <c r="D26" s="897"/>
      <c r="E26" s="897"/>
      <c r="F26" s="898"/>
      <c r="G26" s="761"/>
    </row>
  </sheetData>
  <mergeCells count="3">
    <mergeCell ref="A1:C1"/>
    <mergeCell ref="D1:G1"/>
    <mergeCell ref="B26:F26"/>
  </mergeCells>
  <phoneticPr fontId="31" type="noConversion"/>
  <printOptions horizontalCentered="1"/>
  <pageMargins left="0.75" right="0.4" top="0.75" bottom="0.5" header="0" footer="0"/>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A86BE-3B83-497E-8167-75B3DB62F4A6}">
  <sheetPr>
    <tabColor rgb="FF002060"/>
  </sheetPr>
  <dimension ref="A1:M36"/>
  <sheetViews>
    <sheetView showGridLines="0" view="pageBreakPreview" zoomScaleNormal="100" zoomScaleSheetLayoutView="100" workbookViewId="0">
      <selection activeCell="F14" sqref="F14"/>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5"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t="str">
        <f>'Grand Summary'!$C$6</f>
        <v>LOT -06 - BILLS OF QUANTITIES</v>
      </c>
      <c r="B1" s="870"/>
      <c r="C1" s="870"/>
      <c r="D1" s="870"/>
      <c r="E1" s="870"/>
      <c r="F1" s="871"/>
    </row>
    <row r="2" spans="1:13" customFormat="1" ht="46.8" customHeight="1">
      <c r="A2" s="872" t="s">
        <v>1510</v>
      </c>
      <c r="B2" s="873"/>
      <c r="C2" s="873"/>
      <c r="D2" s="873"/>
      <c r="E2" s="873"/>
      <c r="F2" s="874"/>
    </row>
    <row r="3" spans="1:13" customFormat="1" ht="15" thickBot="1">
      <c r="A3" s="748"/>
      <c r="B3" s="749"/>
      <c r="C3" s="749"/>
      <c r="D3" s="749"/>
      <c r="E3" s="750"/>
      <c r="F3" s="751"/>
    </row>
    <row r="4" spans="1:13" customFormat="1" ht="15" thickBot="1">
      <c r="A4" s="752"/>
      <c r="B4" s="6" t="s">
        <v>8</v>
      </c>
      <c r="C4" s="6"/>
      <c r="D4" s="7"/>
      <c r="E4" s="8"/>
      <c r="F4" s="753" t="s">
        <v>9</v>
      </c>
    </row>
    <row r="5" spans="1:13" s="11" customFormat="1" ht="40.799999999999997" customHeight="1">
      <c r="A5" s="9"/>
      <c r="B5" s="875" t="str">
        <f>'Bill 2.1'!$A$1</f>
        <v>BILL No. 2.1 - SITE CLEARING</v>
      </c>
      <c r="C5" s="875"/>
      <c r="D5" s="875"/>
      <c r="E5" s="876"/>
      <c r="F5" s="10"/>
      <c r="H5" s="12"/>
      <c r="I5" s="13"/>
      <c r="J5" s="12"/>
      <c r="L5" s="14"/>
    </row>
    <row r="6" spans="1:13" s="11" customFormat="1" ht="40.799999999999997" customHeight="1">
      <c r="A6" s="9"/>
      <c r="B6" s="890" t="str">
        <f>'Bill 2.2'!$A$1</f>
        <v>BILL No. 2.2 - EARTHWORKS</v>
      </c>
      <c r="C6" s="890"/>
      <c r="D6" s="890"/>
      <c r="E6" s="891"/>
      <c r="F6" s="10"/>
      <c r="H6" s="12"/>
      <c r="I6" s="13"/>
      <c r="J6" s="12"/>
      <c r="L6" s="14"/>
    </row>
    <row r="7" spans="1:13" s="11" customFormat="1" ht="40.799999999999997" customHeight="1" thickBot="1">
      <c r="A7" s="9"/>
      <c r="B7" s="890" t="str">
        <f>'Bill 2.3'!$A$1</f>
        <v>BILL No. 2.3 - STRUCTURE CONSTRUCTION</v>
      </c>
      <c r="C7" s="890"/>
      <c r="D7" s="890"/>
      <c r="E7" s="891"/>
      <c r="F7" s="10"/>
      <c r="H7" s="12"/>
      <c r="I7" s="13"/>
      <c r="J7" s="12"/>
      <c r="L7" s="14"/>
    </row>
    <row r="8" spans="1:13" s="11" customFormat="1" ht="24.9" customHeight="1" thickBot="1">
      <c r="A8" s="15"/>
      <c r="B8" s="877" t="s">
        <v>10</v>
      </c>
      <c r="C8" s="877"/>
      <c r="D8" s="877"/>
      <c r="E8" s="878"/>
      <c r="F8" s="16"/>
      <c r="H8" s="12"/>
      <c r="I8" s="17"/>
      <c r="J8" s="12"/>
      <c r="K8" s="14"/>
      <c r="M8" s="12"/>
    </row>
    <row r="9" spans="1:13" s="11" customFormat="1">
      <c r="A9" s="18"/>
      <c r="C9" s="18"/>
      <c r="D9" s="19"/>
      <c r="E9" s="20"/>
      <c r="F9" s="20"/>
      <c r="H9" s="12"/>
      <c r="I9" s="13"/>
      <c r="J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row r="35" spans="1:10" s="11" customFormat="1">
      <c r="A35" s="18"/>
      <c r="C35" s="18"/>
      <c r="D35" s="19"/>
      <c r="E35" s="20"/>
      <c r="F35" s="20"/>
      <c r="H35" s="12"/>
      <c r="I35" s="13"/>
      <c r="J35" s="12"/>
    </row>
    <row r="36" spans="1:10" s="11" customFormat="1">
      <c r="A36" s="18"/>
      <c r="C36" s="18"/>
      <c r="D36" s="19"/>
      <c r="E36" s="20"/>
      <c r="F36" s="20"/>
      <c r="H36" s="12"/>
      <c r="I36" s="13"/>
      <c r="J36" s="12"/>
    </row>
  </sheetData>
  <mergeCells count="6">
    <mergeCell ref="B8:E8"/>
    <mergeCell ref="A1:F1"/>
    <mergeCell ref="A2:F2"/>
    <mergeCell ref="B5:E5"/>
    <mergeCell ref="B6:E6"/>
    <mergeCell ref="B7:E7"/>
  </mergeCells>
  <printOptions horizontalCentered="1"/>
  <pageMargins left="0.75" right="0.4" top="0.75" bottom="0.5" header="0" footer="0"/>
  <pageSetup paperSize="9" scale="70"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3BF6F-3808-4B1B-89CA-4255D1EC9CB6}">
  <sheetPr>
    <tabColor rgb="FF00B050"/>
  </sheetPr>
  <dimension ref="A1:L113"/>
  <sheetViews>
    <sheetView view="pageBreakPreview" zoomScale="90" zoomScaleNormal="100" zoomScaleSheetLayoutView="90" workbookViewId="0">
      <pane ySplit="2" topLeftCell="A3" activePane="bottomLeft" state="frozen"/>
      <selection activeCell="F7" sqref="F7"/>
      <selection pane="bottomLeft" activeCell="F7" sqref="F7"/>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5" width="9.109375" style="68"/>
    <col min="16" max="16" width="11.109375" style="68" bestFit="1" customWidth="1"/>
    <col min="17" max="16384" width="9.109375" style="68"/>
  </cols>
  <sheetData>
    <row r="1" spans="1:12" ht="20.100000000000001" customHeight="1">
      <c r="A1" s="902" t="s">
        <v>816</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08" t="s">
        <v>62</v>
      </c>
      <c r="B4" s="909"/>
      <c r="C4" s="909"/>
      <c r="D4" s="909"/>
      <c r="E4" s="909"/>
      <c r="F4" s="910"/>
      <c r="G4" s="73"/>
      <c r="H4" s="74"/>
      <c r="I4" s="73"/>
      <c r="J4" s="73"/>
    </row>
    <row r="5" spans="1:12" ht="15">
      <c r="A5" s="75" t="s">
        <v>199</v>
      </c>
      <c r="B5" s="76"/>
      <c r="C5" s="77"/>
      <c r="D5" s="78"/>
      <c r="E5" s="77"/>
      <c r="F5" s="76"/>
      <c r="G5" s="77"/>
      <c r="H5" s="77"/>
      <c r="I5" s="77"/>
      <c r="J5" s="79"/>
      <c r="L5" s="80"/>
    </row>
    <row r="6" spans="1:12" ht="15">
      <c r="A6" s="87" t="s">
        <v>817</v>
      </c>
      <c r="B6" s="88">
        <v>3.68</v>
      </c>
      <c r="C6" s="82">
        <v>5.2</v>
      </c>
      <c r="D6" s="78"/>
      <c r="E6" s="77"/>
      <c r="F6" s="76">
        <f>B6*C6</f>
        <v>19.136000000000003</v>
      </c>
      <c r="G6" s="77"/>
      <c r="H6" s="77" t="s">
        <v>63</v>
      </c>
      <c r="I6" s="79">
        <f>F6*1.1</f>
        <v>21.049600000000005</v>
      </c>
      <c r="J6" s="128">
        <f>ROUNDUP(I6,2)</f>
        <v>21.05</v>
      </c>
      <c r="L6" s="80"/>
    </row>
    <row r="7" spans="1:12" ht="15">
      <c r="A7" s="87" t="s">
        <v>818</v>
      </c>
      <c r="B7" s="88">
        <v>19.95</v>
      </c>
      <c r="C7" s="76">
        <f>(5.2+4.7)/2</f>
        <v>4.95</v>
      </c>
      <c r="D7" s="78"/>
      <c r="E7" s="77"/>
      <c r="F7" s="76">
        <f>B7*C7</f>
        <v>98.752499999999998</v>
      </c>
      <c r="G7" s="77"/>
      <c r="H7" s="77" t="s">
        <v>63</v>
      </c>
      <c r="I7" s="79">
        <f>F7*1.1</f>
        <v>108.62775000000001</v>
      </c>
      <c r="J7" s="128">
        <f>ROUNDUP(I7,2)</f>
        <v>108.63000000000001</v>
      </c>
      <c r="L7" s="80"/>
    </row>
    <row r="8" spans="1:12" ht="15">
      <c r="A8" s="87" t="s">
        <v>819</v>
      </c>
      <c r="B8" s="88">
        <v>10</v>
      </c>
      <c r="C8" s="76">
        <f>(4.7+3.35)/2</f>
        <v>4.0250000000000004</v>
      </c>
      <c r="D8" s="78"/>
      <c r="E8" s="77"/>
      <c r="F8" s="76">
        <f>B8*C8</f>
        <v>40.25</v>
      </c>
      <c r="G8" s="77"/>
      <c r="H8" s="77" t="s">
        <v>63</v>
      </c>
      <c r="I8" s="79">
        <f>F8*1.1</f>
        <v>44.275000000000006</v>
      </c>
      <c r="J8" s="128">
        <f>ROUNDUP(I8,2)</f>
        <v>44.28</v>
      </c>
      <c r="L8" s="80"/>
    </row>
    <row r="9" spans="1:12" ht="15">
      <c r="A9" s="87" t="s">
        <v>820</v>
      </c>
      <c r="B9" s="88">
        <v>2.5</v>
      </c>
      <c r="C9" s="76">
        <v>3.35</v>
      </c>
      <c r="D9" s="78"/>
      <c r="E9" s="77"/>
      <c r="F9" s="76">
        <f t="shared" ref="F9" si="0">B9*C9</f>
        <v>8.375</v>
      </c>
      <c r="G9" s="77"/>
      <c r="H9" s="77" t="s">
        <v>63</v>
      </c>
      <c r="I9" s="79">
        <f t="shared" ref="I9" si="1">F9*1.1</f>
        <v>9.2125000000000004</v>
      </c>
      <c r="J9" s="128">
        <f t="shared" ref="J9" si="2">ROUNDUP(I9,2)</f>
        <v>9.2200000000000006</v>
      </c>
      <c r="L9" s="80"/>
    </row>
    <row r="10" spans="1:12" ht="15">
      <c r="A10" s="87"/>
      <c r="B10" s="88"/>
      <c r="C10" s="76"/>
      <c r="D10" s="78"/>
      <c r="E10" s="77"/>
      <c r="F10" s="76"/>
      <c r="G10" s="77"/>
      <c r="H10" s="77"/>
      <c r="I10" s="79"/>
      <c r="J10" s="128"/>
      <c r="L10" s="80"/>
    </row>
    <row r="11" spans="1:12" ht="15">
      <c r="A11" s="84"/>
      <c r="B11" s="76"/>
      <c r="C11" s="76"/>
      <c r="D11" s="78"/>
      <c r="E11" s="77"/>
      <c r="F11" s="76"/>
      <c r="G11" s="77"/>
      <c r="H11" s="77"/>
      <c r="I11" s="79"/>
      <c r="J11" s="103">
        <f>SUM(J6:J8)</f>
        <v>173.96</v>
      </c>
      <c r="L11" s="80"/>
    </row>
    <row r="12" spans="1:12" ht="15">
      <c r="A12" s="87"/>
      <c r="B12" s="88"/>
      <c r="C12" s="89"/>
      <c r="D12" s="90"/>
      <c r="E12" s="91"/>
      <c r="F12" s="88"/>
      <c r="G12" s="91"/>
      <c r="H12" s="91"/>
      <c r="I12" s="92"/>
      <c r="J12" s="93"/>
    </row>
    <row r="13" spans="1:12" ht="15">
      <c r="A13" s="905" t="s">
        <v>64</v>
      </c>
      <c r="B13" s="906"/>
      <c r="C13" s="906"/>
      <c r="D13" s="906"/>
      <c r="E13" s="906"/>
      <c r="F13" s="906"/>
      <c r="G13" s="906"/>
      <c r="H13" s="906"/>
      <c r="I13" s="906"/>
      <c r="J13" s="907"/>
    </row>
    <row r="14" spans="1:12" ht="15">
      <c r="A14" s="911" t="s">
        <v>65</v>
      </c>
      <c r="B14" s="912"/>
      <c r="C14" s="912"/>
      <c r="D14" s="912"/>
      <c r="E14" s="912"/>
      <c r="F14" s="913"/>
      <c r="G14" s="73"/>
      <c r="H14" s="74"/>
      <c r="I14" s="74"/>
      <c r="J14" s="73"/>
      <c r="K14" s="94"/>
    </row>
    <row r="15" spans="1:12" ht="15">
      <c r="A15" s="911" t="s">
        <v>66</v>
      </c>
      <c r="B15" s="912"/>
      <c r="C15" s="912"/>
      <c r="D15" s="912"/>
      <c r="E15" s="912"/>
      <c r="F15" s="913"/>
      <c r="G15" s="73"/>
      <c r="H15" s="74"/>
      <c r="I15" s="73"/>
      <c r="J15" s="73"/>
      <c r="L15" s="80"/>
    </row>
    <row r="16" spans="1:12" ht="15">
      <c r="A16" s="911" t="s">
        <v>67</v>
      </c>
      <c r="B16" s="912"/>
      <c r="C16" s="912"/>
      <c r="D16" s="912"/>
      <c r="E16" s="912"/>
      <c r="F16" s="913"/>
      <c r="G16" s="95"/>
      <c r="H16" s="96"/>
      <c r="I16" s="95"/>
      <c r="J16" s="95"/>
      <c r="L16" s="80"/>
    </row>
    <row r="17" spans="1:12" ht="15">
      <c r="A17" s="84" t="s">
        <v>68</v>
      </c>
      <c r="B17" s="76"/>
      <c r="C17" s="76"/>
      <c r="D17" s="78"/>
      <c r="E17" s="77"/>
      <c r="F17" s="76"/>
      <c r="G17" s="77"/>
      <c r="H17" s="77"/>
      <c r="I17" s="79"/>
      <c r="J17" s="79"/>
      <c r="L17" s="80"/>
    </row>
    <row r="18" spans="1:12" ht="15">
      <c r="A18" s="87"/>
      <c r="B18" s="88"/>
      <c r="C18" s="76"/>
      <c r="D18" s="78"/>
      <c r="E18" s="77"/>
      <c r="F18" s="76"/>
      <c r="G18" s="77"/>
      <c r="H18" s="77"/>
      <c r="I18" s="79"/>
      <c r="J18" s="79"/>
      <c r="L18" s="80"/>
    </row>
    <row r="19" spans="1:12" ht="15">
      <c r="A19" s="911" t="s">
        <v>69</v>
      </c>
      <c r="B19" s="912"/>
      <c r="C19" s="912"/>
      <c r="D19" s="912"/>
      <c r="E19" s="912"/>
      <c r="F19" s="913"/>
      <c r="G19" s="97"/>
      <c r="H19" s="74"/>
      <c r="I19" s="73"/>
      <c r="J19" s="73"/>
      <c r="K19" s="80"/>
      <c r="L19" s="80"/>
    </row>
    <row r="20" spans="1:12" ht="15">
      <c r="A20" s="911" t="s">
        <v>70</v>
      </c>
      <c r="B20" s="912"/>
      <c r="C20" s="912"/>
      <c r="D20" s="912"/>
      <c r="E20" s="912"/>
      <c r="F20" s="913"/>
      <c r="G20" s="97"/>
      <c r="H20" s="74"/>
      <c r="I20" s="73"/>
      <c r="J20" s="73"/>
      <c r="K20" s="80"/>
      <c r="L20" s="80"/>
    </row>
    <row r="21" spans="1:12" ht="15">
      <c r="A21" s="911" t="s">
        <v>71</v>
      </c>
      <c r="B21" s="912"/>
      <c r="C21" s="912"/>
      <c r="D21" s="912"/>
      <c r="E21" s="912"/>
      <c r="F21" s="913"/>
      <c r="G21" s="95"/>
      <c r="H21" s="96"/>
      <c r="I21" s="95"/>
      <c r="J21" s="95"/>
      <c r="K21" s="80"/>
      <c r="L21" s="80"/>
    </row>
    <row r="22" spans="1:12" ht="15">
      <c r="A22" s="98" t="s">
        <v>821</v>
      </c>
      <c r="B22" s="82"/>
      <c r="C22" s="99"/>
      <c r="D22" s="99"/>
      <c r="E22" s="100"/>
      <c r="F22" s="82"/>
      <c r="G22" s="100"/>
      <c r="H22" s="100"/>
      <c r="I22" s="79"/>
      <c r="J22" s="101"/>
      <c r="K22" s="80"/>
      <c r="L22" s="80"/>
    </row>
    <row r="23" spans="1:12" ht="15">
      <c r="A23" s="87" t="str">
        <f>A6</f>
        <v>~CS 03</v>
      </c>
      <c r="B23" s="421">
        <f>B6</f>
        <v>3.68</v>
      </c>
      <c r="C23" s="90">
        <v>3.37</v>
      </c>
      <c r="D23" s="90"/>
      <c r="E23" s="91"/>
      <c r="F23" s="421">
        <f>PRODUCT(B23:E23)</f>
        <v>12.4016</v>
      </c>
      <c r="G23" s="102">
        <f>F23</f>
        <v>12.4016</v>
      </c>
      <c r="H23" s="77" t="s">
        <v>63</v>
      </c>
      <c r="I23" s="79">
        <f>G23*1.1</f>
        <v>13.641760000000001</v>
      </c>
      <c r="J23" s="128">
        <f>I23</f>
        <v>13.641760000000001</v>
      </c>
      <c r="K23" s="80"/>
      <c r="L23" s="80"/>
    </row>
    <row r="24" spans="1:12" ht="15">
      <c r="A24" s="87" t="str">
        <f t="shared" ref="A24:B26" si="3">A7</f>
        <v>CS03 - CS05</v>
      </c>
      <c r="B24" s="421">
        <f t="shared" si="3"/>
        <v>19.95</v>
      </c>
      <c r="C24" s="90">
        <v>3.4649999999999999</v>
      </c>
      <c r="D24" s="90"/>
      <c r="E24" s="91"/>
      <c r="F24" s="421">
        <f>PRODUCT(B24:E24)</f>
        <v>69.126750000000001</v>
      </c>
      <c r="G24" s="102">
        <f>F24</f>
        <v>69.126750000000001</v>
      </c>
      <c r="H24" s="77" t="s">
        <v>63</v>
      </c>
      <c r="I24" s="79">
        <f>G24*1.1</f>
        <v>76.039425000000008</v>
      </c>
      <c r="J24" s="128">
        <f>I24</f>
        <v>76.039425000000008</v>
      </c>
      <c r="K24" s="80"/>
      <c r="L24" s="80"/>
    </row>
    <row r="25" spans="1:12" ht="15">
      <c r="A25" s="87" t="str">
        <f t="shared" si="3"/>
        <v>CS05 - CS06</v>
      </c>
      <c r="B25" s="421">
        <f t="shared" si="3"/>
        <v>10</v>
      </c>
      <c r="C25" s="90">
        <v>2.64</v>
      </c>
      <c r="D25" s="90"/>
      <c r="E25" s="91"/>
      <c r="F25" s="421">
        <f>PRODUCT(B25:E25)</f>
        <v>26.400000000000002</v>
      </c>
      <c r="G25" s="102">
        <f>F25</f>
        <v>26.400000000000002</v>
      </c>
      <c r="H25" s="77" t="s">
        <v>63</v>
      </c>
      <c r="I25" s="79">
        <f>G25*1.1</f>
        <v>29.040000000000006</v>
      </c>
      <c r="J25" s="128">
        <f>I25</f>
        <v>29.040000000000006</v>
      </c>
      <c r="K25" s="80"/>
      <c r="L25" s="80"/>
    </row>
    <row r="26" spans="1:12" ht="15">
      <c r="A26" s="87" t="str">
        <f t="shared" si="3"/>
        <v>CS06~</v>
      </c>
      <c r="B26" s="421">
        <f t="shared" si="3"/>
        <v>2.5</v>
      </c>
      <c r="C26" s="90">
        <v>1.72</v>
      </c>
      <c r="D26" s="90"/>
      <c r="E26" s="91"/>
      <c r="F26" s="421">
        <f t="shared" ref="F26" si="4">PRODUCT(B26:E26)</f>
        <v>4.3</v>
      </c>
      <c r="G26" s="102">
        <f t="shared" ref="G26" si="5">F26</f>
        <v>4.3</v>
      </c>
      <c r="H26" s="77" t="s">
        <v>822</v>
      </c>
      <c r="I26" s="79">
        <f t="shared" ref="I26" si="6">G26*1.1</f>
        <v>4.7300000000000004</v>
      </c>
      <c r="J26" s="128">
        <f t="shared" ref="J26" si="7">I26</f>
        <v>4.7300000000000004</v>
      </c>
      <c r="K26" s="80"/>
      <c r="L26" s="80"/>
    </row>
    <row r="27" spans="1:12" ht="15">
      <c r="A27" s="87"/>
      <c r="B27" s="421"/>
      <c r="C27" s="90"/>
      <c r="D27" s="90"/>
      <c r="E27" s="91"/>
      <c r="F27" s="421"/>
      <c r="G27" s="102"/>
      <c r="H27" s="77"/>
      <c r="I27" s="79"/>
      <c r="J27" s="128"/>
      <c r="K27" s="80"/>
      <c r="L27" s="80"/>
    </row>
    <row r="28" spans="1:12" ht="15">
      <c r="A28" s="87"/>
      <c r="B28" s="421"/>
      <c r="C28" s="90"/>
      <c r="D28" s="90"/>
      <c r="E28" s="91"/>
      <c r="F28" s="421"/>
      <c r="G28" s="91"/>
      <c r="H28" s="91"/>
      <c r="I28" s="79"/>
      <c r="J28" s="103">
        <f>SUM(J23:J25)</f>
        <v>118.72118500000002</v>
      </c>
      <c r="K28" s="80"/>
      <c r="L28" s="80"/>
    </row>
    <row r="29" spans="1:12" ht="15">
      <c r="A29" s="87"/>
      <c r="B29" s="421"/>
      <c r="C29" s="90"/>
      <c r="D29" s="90"/>
      <c r="E29" s="91"/>
      <c r="F29" s="421"/>
      <c r="G29" s="91"/>
      <c r="H29" s="91"/>
      <c r="I29" s="79"/>
      <c r="J29" s="101"/>
      <c r="K29" s="80"/>
      <c r="L29" s="80"/>
    </row>
    <row r="30" spans="1:12" ht="15">
      <c r="A30" s="914" t="s">
        <v>72</v>
      </c>
      <c r="B30" s="915"/>
      <c r="C30" s="915"/>
      <c r="D30" s="915"/>
      <c r="E30" s="915"/>
      <c r="F30" s="915"/>
      <c r="G30" s="915"/>
      <c r="H30" s="915"/>
      <c r="I30" s="915"/>
      <c r="J30" s="916"/>
      <c r="K30" s="80"/>
      <c r="L30" s="80"/>
    </row>
    <row r="31" spans="1:12" ht="15">
      <c r="A31" s="98" t="str">
        <f>A22</f>
        <v>Retaining Wall</v>
      </c>
      <c r="B31" s="422"/>
      <c r="C31" s="78"/>
      <c r="D31" s="78"/>
      <c r="E31" s="77"/>
      <c r="F31" s="422"/>
      <c r="G31" s="77"/>
      <c r="H31" s="77"/>
      <c r="I31" s="79"/>
      <c r="J31" s="79"/>
      <c r="K31" s="80"/>
      <c r="L31" s="80"/>
    </row>
    <row r="32" spans="1:12" ht="15">
      <c r="A32" s="87"/>
      <c r="B32" s="421">
        <v>35.799999999999997</v>
      </c>
      <c r="C32" s="78">
        <v>0.17599999999999999</v>
      </c>
      <c r="D32" s="78"/>
      <c r="E32" s="77"/>
      <c r="F32" s="421">
        <f>PRODUCT(B32:E32)</f>
        <v>6.3007999999999988</v>
      </c>
      <c r="G32" s="102">
        <f>F32</f>
        <v>6.3007999999999988</v>
      </c>
      <c r="H32" s="77" t="s">
        <v>63</v>
      </c>
      <c r="I32" s="79">
        <f>G32*1.1</f>
        <v>6.9308799999999993</v>
      </c>
      <c r="J32" s="128">
        <f>I32</f>
        <v>6.9308799999999993</v>
      </c>
      <c r="K32" s="80"/>
      <c r="L32" s="80"/>
    </row>
    <row r="33" spans="1:12" ht="15">
      <c r="A33" s="84"/>
      <c r="B33" s="422"/>
      <c r="C33" s="78"/>
      <c r="D33" s="78"/>
      <c r="E33" s="77"/>
      <c r="F33" s="421"/>
      <c r="G33" s="91"/>
      <c r="H33" s="91"/>
      <c r="I33" s="79"/>
      <c r="J33" s="103">
        <f>SUM(J32:J32)</f>
        <v>6.9308799999999993</v>
      </c>
      <c r="K33" s="80"/>
      <c r="L33" s="80"/>
    </row>
    <row r="34" spans="1:12" ht="15">
      <c r="A34" s="84"/>
      <c r="B34" s="76"/>
      <c r="C34" s="78"/>
      <c r="D34" s="78"/>
      <c r="E34" s="77"/>
      <c r="F34" s="76"/>
      <c r="G34" s="77"/>
      <c r="H34" s="77"/>
      <c r="I34" s="79"/>
      <c r="J34" s="79"/>
      <c r="K34" s="80"/>
      <c r="L34" s="80"/>
    </row>
    <row r="35" spans="1:12" ht="15">
      <c r="A35" s="899"/>
      <c r="B35" s="900"/>
      <c r="C35" s="900"/>
      <c r="D35" s="900"/>
      <c r="E35" s="900"/>
      <c r="F35" s="900"/>
      <c r="G35" s="900"/>
      <c r="H35" s="900"/>
      <c r="I35" s="900"/>
      <c r="J35" s="901"/>
      <c r="L35" s="80"/>
    </row>
    <row r="36" spans="1:12" ht="15">
      <c r="A36" s="917" t="s">
        <v>73</v>
      </c>
      <c r="B36" s="918"/>
      <c r="C36" s="918"/>
      <c r="D36" s="918"/>
      <c r="E36" s="918"/>
      <c r="F36" s="918"/>
      <c r="G36" s="918"/>
      <c r="H36" s="918"/>
      <c r="I36" s="918"/>
      <c r="J36" s="919"/>
      <c r="L36" s="80"/>
    </row>
    <row r="37" spans="1:12" ht="15">
      <c r="A37" s="920" t="s">
        <v>74</v>
      </c>
      <c r="B37" s="921"/>
      <c r="C37" s="921"/>
      <c r="D37" s="921"/>
      <c r="E37" s="921"/>
      <c r="F37" s="922"/>
      <c r="G37" s="73"/>
      <c r="H37" s="74"/>
      <c r="I37" s="73"/>
      <c r="J37" s="73"/>
    </row>
    <row r="38" spans="1:12" ht="15">
      <c r="A38" s="75"/>
      <c r="B38" s="82"/>
      <c r="C38" s="99"/>
      <c r="D38" s="104"/>
      <c r="E38" s="105"/>
      <c r="F38" s="82"/>
      <c r="G38" s="106"/>
      <c r="H38" s="100"/>
      <c r="I38" s="79"/>
      <c r="J38" s="101"/>
      <c r="L38" s="107"/>
    </row>
    <row r="39" spans="1:12" s="71" customFormat="1" ht="30" customHeight="1">
      <c r="A39" s="87"/>
      <c r="B39" s="108"/>
      <c r="C39" s="109"/>
      <c r="D39" s="104"/>
      <c r="E39" s="105"/>
      <c r="F39" s="110"/>
      <c r="G39" s="111"/>
      <c r="H39" s="77"/>
      <c r="I39" s="112"/>
      <c r="J39" s="112"/>
    </row>
    <row r="40" spans="1:12" ht="15">
      <c r="A40" s="920" t="s">
        <v>75</v>
      </c>
      <c r="B40" s="921"/>
      <c r="C40" s="921"/>
      <c r="D40" s="921"/>
      <c r="E40" s="921"/>
      <c r="F40" s="922"/>
      <c r="G40" s="73"/>
      <c r="H40" s="74"/>
      <c r="I40" s="73"/>
      <c r="J40" s="73"/>
    </row>
    <row r="41" spans="1:12" ht="15">
      <c r="A41" s="917" t="s">
        <v>76</v>
      </c>
      <c r="B41" s="918"/>
      <c r="C41" s="918"/>
      <c r="D41" s="918"/>
      <c r="E41" s="918"/>
      <c r="F41" s="918"/>
      <c r="G41" s="918"/>
      <c r="H41" s="918"/>
      <c r="I41" s="918"/>
      <c r="J41" s="919"/>
      <c r="L41" s="80"/>
    </row>
    <row r="42" spans="1:12" ht="15">
      <c r="A42" s="98"/>
      <c r="B42" s="76"/>
      <c r="C42" s="78"/>
      <c r="D42" s="78"/>
      <c r="E42" s="77"/>
      <c r="F42" s="76"/>
      <c r="G42" s="77"/>
      <c r="H42" s="77"/>
      <c r="I42" s="79"/>
      <c r="J42" s="79"/>
      <c r="L42" s="80"/>
    </row>
    <row r="43" spans="1:12" ht="15">
      <c r="A43" s="87" t="s">
        <v>117</v>
      </c>
      <c r="B43" s="88">
        <f>B32</f>
        <v>35.799999999999997</v>
      </c>
      <c r="C43" s="78">
        <v>0.06</v>
      </c>
      <c r="D43" s="78"/>
      <c r="E43" s="77"/>
      <c r="F43" s="88">
        <f>PRODUCT(B43:E43)</f>
        <v>2.1479999999999997</v>
      </c>
      <c r="G43" s="102">
        <f>F43</f>
        <v>2.1479999999999997</v>
      </c>
      <c r="H43" s="77" t="s">
        <v>63</v>
      </c>
      <c r="I43" s="79">
        <f>G43*1.1</f>
        <v>2.3628</v>
      </c>
      <c r="J43" s="103">
        <f>I43</f>
        <v>2.3628</v>
      </c>
      <c r="L43" s="80"/>
    </row>
    <row r="44" spans="1:12" ht="15">
      <c r="A44" s="87" t="s">
        <v>195</v>
      </c>
      <c r="B44" s="88">
        <f>B43</f>
        <v>35.799999999999997</v>
      </c>
      <c r="C44" s="78">
        <v>0.37</v>
      </c>
      <c r="D44" s="78"/>
      <c r="E44" s="77"/>
      <c r="F44" s="88">
        <f>PRODUCT(B44:E44)</f>
        <v>13.245999999999999</v>
      </c>
      <c r="G44" s="102">
        <f>F44</f>
        <v>13.245999999999999</v>
      </c>
      <c r="H44" s="77" t="s">
        <v>63</v>
      </c>
      <c r="I44" s="79">
        <f>G44*1.1</f>
        <v>14.570599999999999</v>
      </c>
      <c r="J44" s="103">
        <f>I44</f>
        <v>14.570599999999999</v>
      </c>
      <c r="L44" s="80"/>
    </row>
    <row r="45" spans="1:12" ht="15">
      <c r="A45" s="87" t="s">
        <v>77</v>
      </c>
      <c r="B45" s="88">
        <f>B44</f>
        <v>35.799999999999997</v>
      </c>
      <c r="C45" s="78">
        <v>3.8</v>
      </c>
      <c r="D45" s="78"/>
      <c r="E45" s="77"/>
      <c r="F45" s="88">
        <f>PRODUCT(B45:E45)</f>
        <v>136.04</v>
      </c>
      <c r="G45" s="102">
        <f>F45</f>
        <v>136.04</v>
      </c>
      <c r="H45" s="77" t="s">
        <v>487</v>
      </c>
      <c r="I45" s="79">
        <f>G45*1.1</f>
        <v>149.64400000000001</v>
      </c>
      <c r="J45" s="103">
        <f>I45</f>
        <v>149.64400000000001</v>
      </c>
      <c r="L45" s="80"/>
    </row>
    <row r="46" spans="1:12" ht="15">
      <c r="A46" s="87" t="s">
        <v>823</v>
      </c>
      <c r="B46" s="88">
        <f t="shared" ref="B46:B47" si="8">B45</f>
        <v>35.799999999999997</v>
      </c>
      <c r="C46" s="78">
        <v>2.77</v>
      </c>
      <c r="D46" s="78"/>
      <c r="E46" s="77"/>
      <c r="F46" s="88">
        <f t="shared" ref="F46:F48" si="9">PRODUCT(B46:E46)</f>
        <v>99.165999999999997</v>
      </c>
      <c r="G46" s="102">
        <f t="shared" ref="G46:G48" si="10">F46</f>
        <v>99.165999999999997</v>
      </c>
      <c r="H46" s="77" t="s">
        <v>63</v>
      </c>
      <c r="I46" s="79">
        <f t="shared" ref="I46:I48" si="11">G46*1.1</f>
        <v>109.0826</v>
      </c>
      <c r="J46" s="103">
        <f t="shared" ref="J46:J48" si="12">I46</f>
        <v>109.0826</v>
      </c>
      <c r="L46" s="80"/>
    </row>
    <row r="47" spans="1:12" ht="15">
      <c r="A47" s="87" t="s">
        <v>824</v>
      </c>
      <c r="B47" s="88">
        <f t="shared" si="8"/>
        <v>35.799999999999997</v>
      </c>
      <c r="C47" s="78">
        <v>1.05</v>
      </c>
      <c r="D47" s="78"/>
      <c r="E47" s="77"/>
      <c r="F47" s="88">
        <f t="shared" si="9"/>
        <v>37.589999999999996</v>
      </c>
      <c r="G47" s="102">
        <f t="shared" si="10"/>
        <v>37.589999999999996</v>
      </c>
      <c r="H47" s="77" t="s">
        <v>63</v>
      </c>
      <c r="I47" s="79">
        <f t="shared" si="11"/>
        <v>41.348999999999997</v>
      </c>
      <c r="J47" s="103">
        <f t="shared" si="12"/>
        <v>41.348999999999997</v>
      </c>
      <c r="L47" s="80"/>
    </row>
    <row r="48" spans="1:12" ht="15">
      <c r="A48" s="87" t="s">
        <v>825</v>
      </c>
      <c r="B48" s="88">
        <v>0.65</v>
      </c>
      <c r="C48" s="78">
        <v>104</v>
      </c>
      <c r="D48" s="78"/>
      <c r="E48" s="77"/>
      <c r="F48" s="88">
        <f t="shared" si="9"/>
        <v>67.600000000000009</v>
      </c>
      <c r="G48" s="102">
        <f t="shared" si="10"/>
        <v>67.600000000000009</v>
      </c>
      <c r="H48" s="77" t="s">
        <v>5</v>
      </c>
      <c r="I48" s="79">
        <f t="shared" si="11"/>
        <v>74.360000000000014</v>
      </c>
      <c r="J48" s="103">
        <f t="shared" si="12"/>
        <v>74.360000000000014</v>
      </c>
      <c r="L48" s="80"/>
    </row>
    <row r="49" spans="1:12" ht="15">
      <c r="A49" s="87"/>
      <c r="B49" s="88"/>
      <c r="C49" s="78"/>
      <c r="D49" s="78"/>
      <c r="E49" s="77"/>
      <c r="F49" s="88"/>
      <c r="G49" s="102"/>
      <c r="H49" s="77"/>
      <c r="I49" s="79"/>
      <c r="J49" s="79"/>
      <c r="L49" s="80"/>
    </row>
    <row r="50" spans="1:12" ht="30">
      <c r="A50" s="114"/>
      <c r="B50" s="115" t="s">
        <v>78</v>
      </c>
      <c r="C50" s="115" t="s">
        <v>55</v>
      </c>
      <c r="D50" s="115" t="s">
        <v>1</v>
      </c>
      <c r="E50" s="116" t="s">
        <v>79</v>
      </c>
      <c r="F50" s="115" t="s">
        <v>80</v>
      </c>
      <c r="G50" s="115"/>
      <c r="H50" s="115"/>
      <c r="I50" s="115"/>
      <c r="J50" s="115"/>
      <c r="L50" s="107"/>
    </row>
    <row r="51" spans="1:12" ht="15">
      <c r="A51" s="920" t="s">
        <v>81</v>
      </c>
      <c r="B51" s="921"/>
      <c r="C51" s="921"/>
      <c r="D51" s="921"/>
      <c r="E51" s="921"/>
      <c r="F51" s="922"/>
      <c r="G51" s="73"/>
      <c r="H51" s="74"/>
      <c r="I51" s="73"/>
      <c r="J51" s="73"/>
    </row>
    <row r="52" spans="1:12" ht="15">
      <c r="A52" s="117"/>
      <c r="B52" s="99"/>
      <c r="C52" s="100"/>
      <c r="D52" s="99"/>
      <c r="E52" s="100"/>
      <c r="F52" s="82"/>
      <c r="G52" s="104"/>
      <c r="H52" s="100"/>
      <c r="I52" s="104"/>
      <c r="J52" s="93"/>
      <c r="L52" s="107"/>
    </row>
    <row r="53" spans="1:12" ht="15">
      <c r="A53" s="117"/>
      <c r="B53" s="99">
        <f>B43</f>
        <v>35.799999999999997</v>
      </c>
      <c r="C53" s="100">
        <v>6.1</v>
      </c>
      <c r="D53" s="99"/>
      <c r="E53" s="100"/>
      <c r="F53" s="88">
        <f>PRODUCT(B53:E53)</f>
        <v>218.37999999999997</v>
      </c>
      <c r="G53" s="102">
        <f>F53</f>
        <v>218.37999999999997</v>
      </c>
      <c r="H53" s="77" t="s">
        <v>487</v>
      </c>
      <c r="I53" s="79">
        <f>G53*1.1</f>
        <v>240.21799999999999</v>
      </c>
      <c r="J53" s="128">
        <f>I53</f>
        <v>240.21799999999999</v>
      </c>
      <c r="L53" s="107"/>
    </row>
    <row r="54" spans="1:12" ht="15">
      <c r="A54" s="117"/>
      <c r="B54" s="99">
        <v>3.5</v>
      </c>
      <c r="C54" s="100">
        <v>2</v>
      </c>
      <c r="D54" s="99"/>
      <c r="E54" s="100"/>
      <c r="F54" s="88">
        <f>PRODUCT(B54:E54)</f>
        <v>7</v>
      </c>
      <c r="G54" s="102">
        <f>F54</f>
        <v>7</v>
      </c>
      <c r="H54" s="77" t="s">
        <v>63</v>
      </c>
      <c r="I54" s="79">
        <f>G54*1.1</f>
        <v>7.7000000000000011</v>
      </c>
      <c r="J54" s="128">
        <f>I54</f>
        <v>7.7000000000000011</v>
      </c>
      <c r="L54" s="107"/>
    </row>
    <row r="55" spans="1:12" ht="15">
      <c r="A55" s="117"/>
      <c r="B55" s="99"/>
      <c r="C55" s="100"/>
      <c r="D55" s="99"/>
      <c r="E55" s="100"/>
      <c r="F55" s="88"/>
      <c r="G55" s="102"/>
      <c r="H55" s="77"/>
      <c r="I55" s="79"/>
      <c r="J55" s="103">
        <f>SUM(J53:J54)</f>
        <v>247.91799999999998</v>
      </c>
      <c r="L55" s="107"/>
    </row>
    <row r="56" spans="1:12" ht="15">
      <c r="A56" s="117"/>
      <c r="B56" s="99"/>
      <c r="C56" s="100"/>
      <c r="D56" s="99"/>
      <c r="E56" s="100"/>
      <c r="F56" s="82"/>
      <c r="G56" s="104"/>
      <c r="H56" s="100"/>
      <c r="I56" s="104"/>
      <c r="J56" s="93"/>
      <c r="L56" s="107"/>
    </row>
    <row r="57" spans="1:12" ht="15">
      <c r="A57" s="920" t="s">
        <v>82</v>
      </c>
      <c r="B57" s="921"/>
      <c r="C57" s="921"/>
      <c r="D57" s="921"/>
      <c r="E57" s="921"/>
      <c r="F57" s="922"/>
      <c r="G57" s="73"/>
      <c r="H57" s="74"/>
      <c r="I57" s="73"/>
      <c r="J57" s="73"/>
    </row>
    <row r="58" spans="1:12" ht="15">
      <c r="A58" s="75"/>
      <c r="B58" s="82"/>
      <c r="C58" s="100"/>
      <c r="D58" s="99"/>
      <c r="E58" s="100"/>
      <c r="F58" s="82"/>
      <c r="G58" s="92"/>
      <c r="H58" s="100"/>
      <c r="I58" s="92"/>
      <c r="J58" s="93"/>
      <c r="L58" s="80"/>
    </row>
    <row r="59" spans="1:12" ht="15">
      <c r="A59" s="75"/>
      <c r="B59" s="82"/>
      <c r="C59" s="100"/>
      <c r="D59" s="99"/>
      <c r="E59" s="100"/>
      <c r="F59" s="82"/>
      <c r="G59" s="92"/>
      <c r="H59" s="100"/>
      <c r="I59" s="92"/>
      <c r="J59" s="93"/>
      <c r="L59" s="80"/>
    </row>
    <row r="60" spans="1:12" ht="24.9" customHeight="1">
      <c r="A60" s="920" t="s">
        <v>83</v>
      </c>
      <c r="B60" s="921"/>
      <c r="C60" s="921"/>
      <c r="D60" s="921"/>
      <c r="E60" s="921"/>
      <c r="F60" s="922"/>
      <c r="G60" s="73"/>
      <c r="H60" s="74"/>
      <c r="I60" s="73"/>
      <c r="J60" s="73"/>
    </row>
    <row r="61" spans="1:12" ht="15">
      <c r="A61" s="75"/>
      <c r="B61" s="118"/>
      <c r="C61" s="104"/>
      <c r="D61" s="104"/>
      <c r="E61" s="118"/>
      <c r="F61" s="82"/>
      <c r="G61" s="100"/>
      <c r="H61" s="100"/>
      <c r="I61" s="92"/>
      <c r="J61" s="101"/>
    </row>
    <row r="62" spans="1:12" ht="15">
      <c r="A62" s="75"/>
      <c r="B62" s="118"/>
      <c r="C62" s="104"/>
      <c r="D62" s="104"/>
      <c r="E62" s="118"/>
      <c r="F62" s="82"/>
      <c r="G62" s="100"/>
      <c r="H62" s="100"/>
      <c r="I62" s="92"/>
      <c r="J62" s="101"/>
      <c r="L62" s="80"/>
    </row>
    <row r="63" spans="1:12" ht="15">
      <c r="A63" s="917" t="s">
        <v>84</v>
      </c>
      <c r="B63" s="918"/>
      <c r="C63" s="918"/>
      <c r="D63" s="918"/>
      <c r="E63" s="918"/>
      <c r="F63" s="918"/>
      <c r="G63" s="918"/>
      <c r="H63" s="918"/>
      <c r="I63" s="918"/>
      <c r="J63" s="919"/>
      <c r="L63" s="107"/>
    </row>
    <row r="64" spans="1:12" ht="24.9" customHeight="1">
      <c r="A64" s="920"/>
      <c r="B64" s="921"/>
      <c r="C64" s="921"/>
      <c r="D64" s="921"/>
      <c r="E64" s="921"/>
      <c r="F64" s="922"/>
      <c r="G64" s="73"/>
      <c r="H64" s="74"/>
      <c r="I64" s="73"/>
      <c r="J64" s="73"/>
    </row>
    <row r="65" spans="1:12" ht="15">
      <c r="A65" s="75"/>
      <c r="B65" s="118"/>
      <c r="C65" s="100"/>
      <c r="D65" s="99"/>
      <c r="E65" s="100"/>
      <c r="F65" s="82"/>
      <c r="G65" s="100"/>
      <c r="H65" s="100"/>
      <c r="I65" s="92"/>
      <c r="J65" s="79"/>
      <c r="L65" s="80"/>
    </row>
    <row r="66" spans="1:12" ht="15">
      <c r="A66" s="119"/>
      <c r="B66" s="120"/>
      <c r="C66" s="121"/>
      <c r="D66" s="122"/>
      <c r="E66" s="121"/>
      <c r="F66" s="123"/>
      <c r="G66" s="121"/>
      <c r="H66" s="121"/>
      <c r="I66" s="124"/>
      <c r="J66" s="124"/>
      <c r="L66" s="80"/>
    </row>
    <row r="67" spans="1:12" ht="15">
      <c r="A67" s="923" t="s">
        <v>85</v>
      </c>
      <c r="B67" s="924"/>
      <c r="C67" s="924"/>
      <c r="D67" s="924"/>
      <c r="E67" s="924"/>
      <c r="F67" s="924"/>
      <c r="G67" s="924"/>
      <c r="H67" s="924"/>
      <c r="I67" s="924"/>
      <c r="J67" s="925"/>
      <c r="L67" s="80"/>
    </row>
    <row r="68" spans="1:12" ht="15">
      <c r="A68" s="914" t="s">
        <v>86</v>
      </c>
      <c r="B68" s="915"/>
      <c r="C68" s="915"/>
      <c r="D68" s="915"/>
      <c r="E68" s="915"/>
      <c r="F68" s="915"/>
      <c r="G68" s="915"/>
      <c r="H68" s="915"/>
      <c r="I68" s="125"/>
      <c r="J68" s="255"/>
      <c r="L68" s="80"/>
    </row>
    <row r="69" spans="1:12" ht="15">
      <c r="A69" s="371" t="s">
        <v>87</v>
      </c>
      <c r="B69" s="423"/>
      <c r="C69" s="91"/>
      <c r="D69" s="78"/>
      <c r="E69" s="77"/>
      <c r="F69" s="422"/>
      <c r="G69" s="77"/>
      <c r="H69" s="77"/>
      <c r="I69" s="79"/>
      <c r="J69" s="101"/>
      <c r="L69" s="80"/>
    </row>
    <row r="70" spans="1:12" ht="15">
      <c r="A70" s="84" t="s">
        <v>826</v>
      </c>
      <c r="B70" s="423"/>
      <c r="C70" s="91">
        <v>6.25</v>
      </c>
      <c r="D70" s="78">
        <v>5.79</v>
      </c>
      <c r="E70" s="77"/>
      <c r="F70" s="422">
        <f>PRODUCT(B70:E70)</f>
        <v>36.1875</v>
      </c>
      <c r="G70" s="77"/>
      <c r="H70" s="77" t="s">
        <v>5</v>
      </c>
      <c r="I70" s="79">
        <f>F70*1.1</f>
        <v>39.806250000000006</v>
      </c>
      <c r="J70" s="79">
        <f>I70</f>
        <v>39.806250000000006</v>
      </c>
      <c r="L70" s="80"/>
    </row>
    <row r="71" spans="1:12" ht="15">
      <c r="A71" s="84" t="s">
        <v>738</v>
      </c>
      <c r="B71" s="423"/>
      <c r="C71" s="91">
        <v>30.1</v>
      </c>
      <c r="D71" s="78">
        <v>14.795</v>
      </c>
      <c r="E71" s="77"/>
      <c r="F71" s="422">
        <f>PRODUCT(B71:E71)</f>
        <v>445.3295</v>
      </c>
      <c r="G71" s="77"/>
      <c r="H71" s="77" t="s">
        <v>5</v>
      </c>
      <c r="I71" s="79">
        <f t="shared" ref="I71:I72" si="13">F71*1.1</f>
        <v>489.86245000000002</v>
      </c>
      <c r="J71" s="79">
        <f t="shared" ref="J71:J72" si="14">I71</f>
        <v>489.86245000000002</v>
      </c>
      <c r="L71" s="80"/>
    </row>
    <row r="72" spans="1:12" ht="15">
      <c r="A72" s="84" t="s">
        <v>827</v>
      </c>
      <c r="B72" s="423"/>
      <c r="C72" s="91">
        <v>34.1</v>
      </c>
      <c r="D72" s="78">
        <v>14.66</v>
      </c>
      <c r="E72" s="77"/>
      <c r="F72" s="422">
        <f>PRODUCT(B72:E72)</f>
        <v>499.90600000000001</v>
      </c>
      <c r="G72" s="77"/>
      <c r="H72" s="77" t="s">
        <v>5</v>
      </c>
      <c r="I72" s="79">
        <f t="shared" si="13"/>
        <v>549.89660000000003</v>
      </c>
      <c r="J72" s="79">
        <f t="shared" si="14"/>
        <v>549.89660000000003</v>
      </c>
      <c r="L72" s="80"/>
    </row>
    <row r="73" spans="1:12" ht="15">
      <c r="A73" s="371"/>
      <c r="B73" s="423"/>
      <c r="C73" s="91"/>
      <c r="D73" s="78"/>
      <c r="E73" s="77"/>
      <c r="F73" s="422"/>
      <c r="G73" s="77"/>
      <c r="H73" s="77"/>
      <c r="I73" s="79"/>
      <c r="J73" s="101">
        <f>SUM(J70:J72)</f>
        <v>1079.5653000000002</v>
      </c>
      <c r="L73" s="80"/>
    </row>
    <row r="74" spans="1:12" ht="15">
      <c r="A74" s="84"/>
      <c r="B74" s="423"/>
      <c r="C74" s="91"/>
      <c r="D74" s="99"/>
      <c r="E74" s="100"/>
      <c r="F74" s="423"/>
      <c r="G74" s="100"/>
      <c r="H74" s="100"/>
      <c r="I74" s="79"/>
      <c r="J74" s="79"/>
      <c r="L74" s="80"/>
    </row>
    <row r="75" spans="1:12" ht="15">
      <c r="A75" s="371" t="s">
        <v>88</v>
      </c>
      <c r="B75" s="421"/>
      <c r="C75" s="91"/>
      <c r="D75" s="90"/>
      <c r="E75" s="91"/>
      <c r="F75" s="423"/>
      <c r="G75" s="91"/>
      <c r="H75" s="91"/>
      <c r="I75" s="79"/>
      <c r="J75" s="79"/>
      <c r="L75" s="80"/>
    </row>
    <row r="76" spans="1:12" ht="15">
      <c r="A76" s="84"/>
      <c r="B76" s="421"/>
      <c r="C76" s="91"/>
      <c r="D76" s="90"/>
      <c r="E76" s="91"/>
      <c r="F76" s="421"/>
      <c r="G76" s="91"/>
      <c r="H76" s="129"/>
      <c r="I76" s="79"/>
      <c r="J76" s="79"/>
      <c r="L76" s="80"/>
    </row>
    <row r="77" spans="1:12" ht="15">
      <c r="A77" s="84" t="s">
        <v>89</v>
      </c>
      <c r="B77" s="421"/>
      <c r="C77" s="91"/>
      <c r="D77" s="90"/>
      <c r="E77" s="91"/>
      <c r="F77" s="421"/>
      <c r="G77" s="91"/>
      <c r="H77" s="129"/>
      <c r="I77" s="79"/>
      <c r="J77" s="79"/>
      <c r="L77" s="80"/>
    </row>
    <row r="78" spans="1:12" ht="15">
      <c r="A78" s="84"/>
      <c r="B78" s="421"/>
      <c r="C78" s="91"/>
      <c r="D78" s="90"/>
      <c r="E78" s="91"/>
      <c r="F78" s="421"/>
      <c r="G78" s="91"/>
      <c r="H78" s="77"/>
      <c r="I78" s="79"/>
      <c r="J78" s="79"/>
      <c r="L78" s="80"/>
    </row>
    <row r="79" spans="1:12" ht="15">
      <c r="A79" s="84"/>
      <c r="B79" s="421"/>
      <c r="C79" s="91"/>
      <c r="D79" s="90"/>
      <c r="E79" s="91"/>
      <c r="F79" s="421"/>
      <c r="G79" s="91"/>
      <c r="H79" s="77"/>
      <c r="I79" s="79"/>
      <c r="J79" s="79"/>
      <c r="L79" s="80"/>
    </row>
    <row r="80" spans="1:12" ht="15">
      <c r="A80" s="914" t="s">
        <v>90</v>
      </c>
      <c r="B80" s="915"/>
      <c r="C80" s="915"/>
      <c r="D80" s="915"/>
      <c r="E80" s="915"/>
      <c r="F80" s="915"/>
      <c r="G80" s="915"/>
      <c r="H80" s="915"/>
      <c r="I80" s="915"/>
      <c r="J80" s="916"/>
      <c r="L80" s="80"/>
    </row>
    <row r="81" spans="1:12" ht="15">
      <c r="A81" s="130"/>
      <c r="B81" s="131"/>
      <c r="C81" s="77"/>
      <c r="D81" s="78"/>
      <c r="E81" s="77"/>
      <c r="F81" s="422"/>
      <c r="G81" s="77"/>
      <c r="H81" s="77"/>
      <c r="I81" s="79"/>
      <c r="J81" s="79"/>
      <c r="L81" s="80"/>
    </row>
    <row r="82" spans="1:12" ht="13.5" customHeight="1">
      <c r="A82" s="372" t="s">
        <v>478</v>
      </c>
      <c r="B82" s="131">
        <v>16</v>
      </c>
      <c r="C82" s="77"/>
      <c r="D82" s="78"/>
      <c r="E82" s="77">
        <v>32</v>
      </c>
      <c r="F82" s="422">
        <f t="shared" ref="F82" si="15">PRODUCT(B82:E82)</f>
        <v>512</v>
      </c>
      <c r="G82" s="77"/>
      <c r="H82" s="77" t="s">
        <v>5</v>
      </c>
      <c r="I82" s="79"/>
      <c r="J82" s="101">
        <f t="shared" ref="J82" si="16">F82</f>
        <v>512</v>
      </c>
      <c r="L82" s="80"/>
    </row>
    <row r="83" spans="1:12" ht="15">
      <c r="A83" s="130"/>
      <c r="B83" s="131"/>
      <c r="C83" s="77"/>
      <c r="D83" s="78"/>
      <c r="E83" s="77"/>
      <c r="F83" s="422"/>
      <c r="G83" s="77"/>
      <c r="H83" s="77"/>
      <c r="I83" s="79"/>
      <c r="J83" s="79"/>
      <c r="L83" s="80"/>
    </row>
    <row r="84" spans="1:12" ht="15" customHeight="1">
      <c r="A84" s="372" t="s">
        <v>479</v>
      </c>
      <c r="B84" s="131">
        <v>12</v>
      </c>
      <c r="C84" s="77"/>
      <c r="D84" s="78"/>
      <c r="E84" s="77">
        <v>76</v>
      </c>
      <c r="F84" s="422">
        <f>PRODUCT(B84:E84)</f>
        <v>912</v>
      </c>
      <c r="G84" s="77"/>
      <c r="H84" s="77" t="s">
        <v>5</v>
      </c>
      <c r="I84" s="79"/>
      <c r="J84" s="79">
        <f>F84</f>
        <v>912</v>
      </c>
      <c r="L84" s="80"/>
    </row>
    <row r="85" spans="1:12" ht="15">
      <c r="A85" s="372" t="s">
        <v>480</v>
      </c>
      <c r="B85" s="118">
        <v>10</v>
      </c>
      <c r="C85" s="100"/>
      <c r="D85" s="99"/>
      <c r="E85" s="100">
        <v>58</v>
      </c>
      <c r="F85" s="422">
        <f t="shared" ref="F85:F87" si="17">PRODUCT(B85:E85)</f>
        <v>580</v>
      </c>
      <c r="G85" s="100"/>
      <c r="H85" s="77" t="s">
        <v>5</v>
      </c>
      <c r="I85" s="92"/>
      <c r="J85" s="79">
        <f t="shared" ref="J85:J87" si="18">F85</f>
        <v>580</v>
      </c>
      <c r="L85" s="80"/>
    </row>
    <row r="86" spans="1:12" ht="15">
      <c r="A86" s="372" t="s">
        <v>481</v>
      </c>
      <c r="B86" s="118">
        <v>8</v>
      </c>
      <c r="C86" s="100"/>
      <c r="D86" s="99"/>
      <c r="E86" s="100">
        <v>58</v>
      </c>
      <c r="F86" s="422">
        <f t="shared" si="17"/>
        <v>464</v>
      </c>
      <c r="G86" s="100"/>
      <c r="H86" s="77" t="s">
        <v>5</v>
      </c>
      <c r="I86" s="92"/>
      <c r="J86" s="79">
        <f t="shared" si="18"/>
        <v>464</v>
      </c>
      <c r="L86" s="80"/>
    </row>
    <row r="87" spans="1:12" ht="15">
      <c r="A87" s="372" t="s">
        <v>482</v>
      </c>
      <c r="B87" s="89">
        <v>6</v>
      </c>
      <c r="C87" s="91"/>
      <c r="D87" s="90"/>
      <c r="E87" s="91">
        <v>17</v>
      </c>
      <c r="F87" s="422">
        <f t="shared" si="17"/>
        <v>102</v>
      </c>
      <c r="G87" s="91"/>
      <c r="H87" s="77" t="s">
        <v>5</v>
      </c>
      <c r="I87" s="102"/>
      <c r="J87" s="79">
        <f t="shared" si="18"/>
        <v>102</v>
      </c>
      <c r="L87" s="80"/>
    </row>
    <row r="88" spans="1:12" ht="15">
      <c r="A88" s="372"/>
      <c r="B88" s="89"/>
      <c r="C88" s="91"/>
      <c r="D88" s="90"/>
      <c r="E88" s="91"/>
      <c r="F88" s="421"/>
      <c r="G88" s="91"/>
      <c r="H88" s="91"/>
      <c r="I88" s="102"/>
      <c r="J88" s="134">
        <f>SUM(J84:J87)</f>
        <v>2058</v>
      </c>
      <c r="L88" s="80"/>
    </row>
    <row r="89" spans="1:12" ht="15">
      <c r="A89" s="372"/>
      <c r="B89" s="89"/>
      <c r="C89" s="91"/>
      <c r="D89" s="90"/>
      <c r="E89" s="91"/>
      <c r="F89" s="421"/>
      <c r="G89" s="91"/>
      <c r="H89" s="91"/>
      <c r="I89" s="102"/>
      <c r="J89" s="134"/>
      <c r="L89" s="80"/>
    </row>
    <row r="90" spans="1:12" ht="15">
      <c r="A90" s="914" t="s">
        <v>91</v>
      </c>
      <c r="B90" s="915"/>
      <c r="C90" s="915"/>
      <c r="D90" s="915"/>
      <c r="E90" s="915"/>
      <c r="F90" s="915"/>
      <c r="G90" s="915"/>
      <c r="H90" s="915"/>
      <c r="I90" s="915"/>
      <c r="J90" s="916"/>
      <c r="L90" s="80"/>
    </row>
    <row r="91" spans="1:12" ht="15">
      <c r="A91" s="130" t="s">
        <v>6</v>
      </c>
      <c r="B91" s="131">
        <v>488.16</v>
      </c>
      <c r="C91" s="77"/>
      <c r="D91" s="78"/>
      <c r="E91" s="77"/>
      <c r="F91" s="422">
        <f t="shared" ref="F91:F92" si="19">PRODUCT(B91:E91)</f>
        <v>488.16</v>
      </c>
      <c r="G91" s="79">
        <f>F91</f>
        <v>488.16</v>
      </c>
      <c r="H91" s="77" t="s">
        <v>5</v>
      </c>
      <c r="I91" s="79">
        <f>G91*1.1</f>
        <v>536.97600000000011</v>
      </c>
      <c r="J91" s="79">
        <f>I91*1.1</f>
        <v>590.67360000000019</v>
      </c>
      <c r="L91" s="80"/>
    </row>
    <row r="92" spans="1:12" ht="15">
      <c r="A92" s="130" t="s">
        <v>7</v>
      </c>
      <c r="B92" s="131">
        <v>479.3</v>
      </c>
      <c r="C92" s="77"/>
      <c r="D92" s="78"/>
      <c r="E92" s="77"/>
      <c r="F92" s="422">
        <f t="shared" si="19"/>
        <v>479.3</v>
      </c>
      <c r="G92" s="79">
        <f>F92</f>
        <v>479.3</v>
      </c>
      <c r="H92" s="77" t="s">
        <v>5</v>
      </c>
      <c r="I92" s="79">
        <f>G92*1.1</f>
        <v>527.23</v>
      </c>
      <c r="J92" s="79">
        <f>I92*1.1</f>
        <v>579.95300000000009</v>
      </c>
      <c r="L92" s="80"/>
    </row>
    <row r="93" spans="1:12" ht="15">
      <c r="A93" s="84"/>
      <c r="B93" s="118"/>
      <c r="C93" s="100"/>
      <c r="D93" s="99"/>
      <c r="E93" s="100"/>
      <c r="F93" s="423"/>
      <c r="G93" s="100"/>
      <c r="H93" s="100"/>
      <c r="I93" s="92"/>
      <c r="J93" s="93">
        <f>SUM(J91:J92)</f>
        <v>1170.6266000000003</v>
      </c>
      <c r="L93" s="80"/>
    </row>
    <row r="94" spans="1:12" ht="15">
      <c r="A94" s="84"/>
      <c r="B94" s="118"/>
      <c r="C94" s="100"/>
      <c r="D94" s="99"/>
      <c r="E94" s="100"/>
      <c r="F94" s="423"/>
      <c r="G94" s="100"/>
      <c r="H94" s="100"/>
      <c r="I94" s="92"/>
      <c r="J94" s="93"/>
      <c r="L94" s="80"/>
    </row>
    <row r="95" spans="1:12" ht="15">
      <c r="A95" s="920" t="s">
        <v>483</v>
      </c>
      <c r="B95" s="921"/>
      <c r="C95" s="921"/>
      <c r="D95" s="921"/>
      <c r="E95" s="921"/>
      <c r="F95" s="922"/>
      <c r="G95" s="73"/>
      <c r="H95" s="74"/>
      <c r="I95" s="73"/>
      <c r="J95" s="73"/>
      <c r="L95" s="80"/>
    </row>
    <row r="96" spans="1:12" ht="15">
      <c r="A96" s="135" t="s">
        <v>484</v>
      </c>
      <c r="B96" s="89">
        <v>20</v>
      </c>
      <c r="C96" s="90"/>
      <c r="D96" s="136"/>
      <c r="E96" s="91">
        <v>7</v>
      </c>
      <c r="F96" s="423">
        <f>B96*E96</f>
        <v>140</v>
      </c>
      <c r="G96" s="92"/>
      <c r="H96" s="100" t="s">
        <v>5</v>
      </c>
      <c r="I96" s="92"/>
      <c r="J96" s="92">
        <f>F96</f>
        <v>140</v>
      </c>
      <c r="L96" s="80"/>
    </row>
    <row r="97" spans="1:10" ht="15">
      <c r="A97" s="135"/>
      <c r="B97" s="89"/>
      <c r="C97" s="90"/>
      <c r="D97" s="136"/>
      <c r="E97" s="91"/>
      <c r="F97" s="423"/>
      <c r="G97" s="92"/>
      <c r="H97" s="100"/>
      <c r="I97" s="92"/>
      <c r="J97" s="92"/>
    </row>
    <row r="98" spans="1:10" ht="15">
      <c r="A98" s="135"/>
      <c r="B98" s="89"/>
      <c r="C98" s="90"/>
      <c r="D98" s="136"/>
      <c r="E98" s="91"/>
      <c r="F98" s="421"/>
      <c r="G98" s="102"/>
      <c r="H98" s="91"/>
      <c r="I98" s="102"/>
      <c r="J98" s="134">
        <f>SUM(J96:J97)</f>
        <v>140</v>
      </c>
    </row>
    <row r="99" spans="1:10" ht="15">
      <c r="A99" s="87"/>
      <c r="B99" s="89"/>
      <c r="C99" s="90"/>
      <c r="D99" s="136"/>
      <c r="E99" s="91"/>
      <c r="F99" s="421"/>
      <c r="G99" s="102"/>
      <c r="H99" s="91"/>
      <c r="I99" s="102"/>
      <c r="J99" s="102"/>
    </row>
    <row r="100" spans="1:10" ht="15">
      <c r="A100" s="914" t="s">
        <v>485</v>
      </c>
      <c r="B100" s="915"/>
      <c r="C100" s="915"/>
      <c r="D100" s="915"/>
      <c r="E100" s="915"/>
      <c r="F100" s="915"/>
      <c r="G100" s="915"/>
      <c r="H100" s="915"/>
      <c r="I100" s="915"/>
      <c r="J100" s="916"/>
    </row>
    <row r="101" spans="1:10" ht="15">
      <c r="A101" s="250"/>
      <c r="B101" s="251"/>
      <c r="C101" s="251"/>
      <c r="D101" s="251"/>
      <c r="E101" s="251"/>
      <c r="F101" s="251"/>
      <c r="G101" s="251"/>
      <c r="H101" s="251"/>
      <c r="I101" s="251"/>
      <c r="J101" s="252"/>
    </row>
    <row r="102" spans="1:10" ht="15">
      <c r="A102" s="142"/>
      <c r="B102" s="143">
        <v>161.25</v>
      </c>
      <c r="C102" s="144"/>
      <c r="D102" s="145"/>
      <c r="E102" s="144"/>
      <c r="F102" s="424">
        <f>B102</f>
        <v>161.25</v>
      </c>
      <c r="G102" s="144"/>
      <c r="H102" s="144" t="s">
        <v>5</v>
      </c>
      <c r="I102" s="147">
        <f>F102*1.1</f>
        <v>177.37500000000003</v>
      </c>
      <c r="J102" s="95">
        <f>I102</f>
        <v>177.37500000000003</v>
      </c>
    </row>
    <row r="104" spans="1:10" ht="15">
      <c r="A104" s="914" t="s">
        <v>92</v>
      </c>
      <c r="B104" s="915"/>
      <c r="C104" s="915"/>
      <c r="D104" s="915"/>
      <c r="E104" s="915"/>
      <c r="F104" s="915"/>
      <c r="G104" s="915"/>
      <c r="H104" s="915"/>
      <c r="I104" s="915"/>
      <c r="J104" s="916"/>
    </row>
    <row r="105" spans="1:10" ht="15">
      <c r="A105" s="149"/>
      <c r="B105" s="423"/>
      <c r="C105" s="91"/>
      <c r="D105" s="423"/>
      <c r="E105" s="91"/>
      <c r="F105" s="423"/>
      <c r="G105" s="92"/>
      <c r="H105" s="100"/>
      <c r="I105" s="92"/>
      <c r="J105" s="92"/>
    </row>
    <row r="106" spans="1:10" ht="15">
      <c r="A106" s="87" t="s">
        <v>615</v>
      </c>
      <c r="B106" s="421">
        <v>7.55</v>
      </c>
      <c r="C106" s="91">
        <v>6.77</v>
      </c>
      <c r="D106" s="421"/>
      <c r="E106" s="91"/>
      <c r="F106" s="421">
        <f>PRODUCT(B106:E106)</f>
        <v>51.113499999999995</v>
      </c>
      <c r="G106" s="102">
        <f>F106</f>
        <v>51.113499999999995</v>
      </c>
      <c r="H106" s="77" t="s">
        <v>63</v>
      </c>
      <c r="I106" s="79">
        <f>G106*1.1</f>
        <v>56.224849999999996</v>
      </c>
      <c r="J106" s="79">
        <f>I106</f>
        <v>56.224849999999996</v>
      </c>
    </row>
    <row r="107" spans="1:10" ht="15">
      <c r="A107" s="87" t="s">
        <v>616</v>
      </c>
      <c r="B107" s="421">
        <v>19.850000000000001</v>
      </c>
      <c r="C107" s="91">
        <v>6.15</v>
      </c>
      <c r="D107" s="421"/>
      <c r="E107" s="91"/>
      <c r="F107" s="421">
        <f>PRODUCT(B107:E107)</f>
        <v>122.07750000000001</v>
      </c>
      <c r="G107" s="102">
        <f>F107</f>
        <v>122.07750000000001</v>
      </c>
      <c r="H107" s="77" t="s">
        <v>63</v>
      </c>
      <c r="I107" s="79">
        <f>G107*1.1</f>
        <v>134.28525000000002</v>
      </c>
      <c r="J107" s="79">
        <f>I107</f>
        <v>134.28525000000002</v>
      </c>
    </row>
    <row r="108" spans="1:10" ht="15">
      <c r="A108" s="87" t="s">
        <v>617</v>
      </c>
      <c r="B108" s="421">
        <v>16.55</v>
      </c>
      <c r="C108" s="91">
        <v>5.53</v>
      </c>
      <c r="D108" s="421"/>
      <c r="E108" s="91"/>
      <c r="F108" s="421">
        <f>PRODUCT(B108:E108)</f>
        <v>91.521500000000003</v>
      </c>
      <c r="G108" s="102">
        <f>F108</f>
        <v>91.521500000000003</v>
      </c>
      <c r="H108" s="77" t="s">
        <v>63</v>
      </c>
      <c r="I108" s="79">
        <f>G108*1.1</f>
        <v>100.67365000000001</v>
      </c>
      <c r="J108" s="79">
        <f>I108</f>
        <v>100.67365000000001</v>
      </c>
    </row>
    <row r="109" spans="1:10" ht="15">
      <c r="A109" s="75"/>
      <c r="B109" s="421"/>
      <c r="C109" s="91"/>
      <c r="D109" s="421"/>
      <c r="E109" s="91"/>
      <c r="F109" s="421"/>
      <c r="G109" s="102"/>
      <c r="H109" s="91"/>
      <c r="I109" s="102"/>
      <c r="J109" s="134">
        <f>SUM(J106:J108)</f>
        <v>291.18375000000003</v>
      </c>
    </row>
    <row r="110" spans="1:10" ht="15">
      <c r="A110" s="75"/>
      <c r="B110" s="421"/>
      <c r="C110" s="91"/>
      <c r="D110" s="421"/>
      <c r="E110" s="91"/>
      <c r="F110" s="421"/>
      <c r="G110" s="102"/>
      <c r="H110" s="91"/>
      <c r="I110" s="102"/>
      <c r="J110" s="102"/>
    </row>
    <row r="111" spans="1:10" ht="15">
      <c r="A111" s="899" t="s">
        <v>93</v>
      </c>
      <c r="B111" s="900"/>
      <c r="C111" s="900"/>
      <c r="D111" s="900"/>
      <c r="E111" s="900"/>
      <c r="F111" s="900"/>
      <c r="G111" s="900"/>
      <c r="H111" s="900"/>
      <c r="I111" s="900"/>
      <c r="J111" s="901"/>
    </row>
    <row r="112" spans="1:10" ht="15">
      <c r="A112" s="84"/>
      <c r="B112" s="423"/>
      <c r="C112" s="91"/>
      <c r="D112" s="423"/>
      <c r="E112" s="91"/>
      <c r="F112" s="423"/>
      <c r="G112" s="92"/>
      <c r="H112" s="100"/>
      <c r="I112" s="92"/>
      <c r="J112" s="92"/>
    </row>
    <row r="113" spans="1:12" ht="15">
      <c r="A113" s="84"/>
      <c r="B113" s="421"/>
      <c r="C113" s="91"/>
      <c r="D113" s="421"/>
      <c r="E113" s="91"/>
      <c r="F113" s="421"/>
      <c r="G113" s="102"/>
      <c r="H113" s="91"/>
      <c r="I113" s="102"/>
      <c r="J113" s="150"/>
      <c r="L113" s="68" t="s">
        <v>94</v>
      </c>
    </row>
  </sheetData>
  <mergeCells count="29">
    <mergeCell ref="A90:J90"/>
    <mergeCell ref="A95:F95"/>
    <mergeCell ref="A100:J100"/>
    <mergeCell ref="A104:J104"/>
    <mergeCell ref="A111:J111"/>
    <mergeCell ref="A80:J80"/>
    <mergeCell ref="A36:J36"/>
    <mergeCell ref="A37:F37"/>
    <mergeCell ref="A40:F40"/>
    <mergeCell ref="A41:J41"/>
    <mergeCell ref="A51:F51"/>
    <mergeCell ref="A57:F57"/>
    <mergeCell ref="A60:F60"/>
    <mergeCell ref="A63:J63"/>
    <mergeCell ref="A64:F64"/>
    <mergeCell ref="A67:J67"/>
    <mergeCell ref="A68:H68"/>
    <mergeCell ref="A35:J35"/>
    <mergeCell ref="A1:J1"/>
    <mergeCell ref="A3:J3"/>
    <mergeCell ref="A4:F4"/>
    <mergeCell ref="A13:J13"/>
    <mergeCell ref="A14:F14"/>
    <mergeCell ref="A15:F15"/>
    <mergeCell ref="A16:F16"/>
    <mergeCell ref="A19:F19"/>
    <mergeCell ref="A20:F20"/>
    <mergeCell ref="A21:F21"/>
    <mergeCell ref="A30:J30"/>
  </mergeCells>
  <pageMargins left="0.7" right="0.7" top="0.75" bottom="0.75" header="0.3" footer="0.3"/>
  <pageSetup paperSize="9" scale="63" orientation="portrait" r:id="rId1"/>
  <rowBreaks count="1" manualBreakCount="1">
    <brk id="38" max="16383" man="1"/>
  </rowBreaks>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91E9-44FC-48DD-BE96-159CC76A4558}">
  <dimension ref="B3:W255"/>
  <sheetViews>
    <sheetView zoomScale="70" zoomScaleNormal="70" workbookViewId="0">
      <pane ySplit="1" topLeftCell="A81" activePane="bottomLeft" state="frozen"/>
      <selection activeCell="F7" sqref="F7"/>
      <selection pane="bottomLeft" activeCell="F7" sqref="F7"/>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95</v>
      </c>
      <c r="C3" s="151" t="s">
        <v>96</v>
      </c>
      <c r="D3" s="151" t="s">
        <v>97</v>
      </c>
      <c r="E3" s="151" t="s">
        <v>98</v>
      </c>
      <c r="F3" s="151" t="s">
        <v>99</v>
      </c>
      <c r="G3" s="151"/>
      <c r="H3" s="928" t="s">
        <v>100</v>
      </c>
      <c r="I3" s="928"/>
      <c r="J3" s="928"/>
      <c r="K3" s="151" t="s">
        <v>101</v>
      </c>
      <c r="L3" s="152" t="s">
        <v>102</v>
      </c>
      <c r="M3" s="153"/>
    </row>
    <row r="4" spans="2:23" ht="19.5" customHeight="1">
      <c r="B4" s="155"/>
      <c r="C4" s="155"/>
      <c r="D4" s="155"/>
      <c r="E4" s="155"/>
      <c r="F4" s="156" t="s">
        <v>98</v>
      </c>
      <c r="G4" s="156" t="s">
        <v>103</v>
      </c>
      <c r="H4" s="156" t="s">
        <v>104</v>
      </c>
      <c r="I4" s="156" t="s">
        <v>103</v>
      </c>
      <c r="J4" s="156" t="s">
        <v>105</v>
      </c>
      <c r="K4" s="156" t="s">
        <v>106</v>
      </c>
      <c r="L4" s="157" t="s">
        <v>107</v>
      </c>
      <c r="M4" s="157" t="s">
        <v>108</v>
      </c>
    </row>
    <row r="5" spans="2:23">
      <c r="B5" s="158"/>
      <c r="C5" s="158"/>
      <c r="D5" s="158"/>
      <c r="E5" s="158"/>
      <c r="F5" s="159"/>
      <c r="G5" s="159"/>
      <c r="H5" s="159"/>
      <c r="I5" s="159"/>
      <c r="J5" s="159"/>
      <c r="K5" s="160"/>
      <c r="L5" s="160"/>
      <c r="M5" s="160"/>
    </row>
    <row r="6" spans="2:23" ht="18">
      <c r="B6" s="160" t="s">
        <v>109</v>
      </c>
      <c r="C6" s="161">
        <v>0.3</v>
      </c>
      <c r="D6" s="161">
        <v>0.3</v>
      </c>
      <c r="E6" s="161">
        <v>0.1</v>
      </c>
      <c r="F6" s="161">
        <v>0.05</v>
      </c>
      <c r="G6" s="161">
        <v>10</v>
      </c>
      <c r="H6" s="161">
        <v>0.2</v>
      </c>
      <c r="I6" s="161">
        <v>10</v>
      </c>
      <c r="J6" s="161">
        <v>0.25</v>
      </c>
      <c r="K6" s="161">
        <v>3</v>
      </c>
      <c r="L6" s="160"/>
      <c r="M6" s="160"/>
      <c r="T6" s="929" t="s">
        <v>110</v>
      </c>
      <c r="U6" s="929"/>
    </row>
    <row r="7" spans="2:23">
      <c r="B7" s="160"/>
      <c r="C7" s="161"/>
      <c r="D7" s="161"/>
      <c r="E7" s="161"/>
      <c r="F7" s="161"/>
      <c r="G7" s="161"/>
      <c r="H7" s="160"/>
      <c r="I7" s="160"/>
      <c r="J7" s="160"/>
      <c r="K7" s="161"/>
      <c r="L7" s="160"/>
      <c r="M7" s="160"/>
      <c r="S7" s="162"/>
      <c r="V7" s="162"/>
      <c r="W7" s="930" t="s">
        <v>6</v>
      </c>
    </row>
    <row r="8" spans="2:23">
      <c r="B8" s="160"/>
      <c r="C8" s="161"/>
      <c r="D8" s="161"/>
      <c r="E8" s="161"/>
      <c r="F8" s="161"/>
      <c r="G8" s="161"/>
      <c r="H8" s="160"/>
      <c r="I8" s="160"/>
      <c r="J8" s="160"/>
      <c r="K8" s="161"/>
      <c r="L8" s="160"/>
      <c r="M8" s="160"/>
      <c r="S8" s="162"/>
      <c r="V8" s="162"/>
      <c r="W8" s="930"/>
    </row>
    <row r="9" spans="2:23">
      <c r="B9" s="160" t="s">
        <v>111</v>
      </c>
      <c r="C9" s="161">
        <v>0.45</v>
      </c>
      <c r="D9" s="161">
        <v>0.45</v>
      </c>
      <c r="E9" s="161">
        <v>0.1</v>
      </c>
      <c r="F9" s="161">
        <v>0.05</v>
      </c>
      <c r="G9" s="161">
        <v>10</v>
      </c>
      <c r="H9" s="161">
        <v>0.2</v>
      </c>
      <c r="I9" s="161">
        <v>10</v>
      </c>
      <c r="J9" s="161">
        <v>0.25</v>
      </c>
      <c r="K9" s="161">
        <v>3</v>
      </c>
      <c r="L9" s="160"/>
      <c r="M9" s="160"/>
      <c r="S9" s="162"/>
      <c r="V9" s="162"/>
      <c r="W9" s="930"/>
    </row>
    <row r="10" spans="2:23">
      <c r="B10" s="160"/>
      <c r="C10" s="161"/>
      <c r="D10" s="161"/>
      <c r="E10" s="161"/>
      <c r="F10" s="161"/>
      <c r="G10" s="161"/>
      <c r="H10" s="161"/>
      <c r="I10" s="161"/>
      <c r="J10" s="161"/>
      <c r="K10" s="161"/>
      <c r="L10" s="160"/>
      <c r="M10" s="160"/>
      <c r="S10" s="162"/>
      <c r="V10" s="162"/>
      <c r="W10" s="930"/>
    </row>
    <row r="11" spans="2:23">
      <c r="B11" s="160"/>
      <c r="C11" s="161"/>
      <c r="D11" s="161"/>
      <c r="E11" s="161"/>
      <c r="F11" s="161"/>
      <c r="G11" s="161"/>
      <c r="H11" s="160"/>
      <c r="I11" s="160"/>
      <c r="J11" s="160"/>
      <c r="K11" s="161"/>
      <c r="L11" s="160"/>
      <c r="M11" s="160"/>
      <c r="S11" s="162"/>
      <c r="V11" s="162"/>
      <c r="W11" s="930"/>
    </row>
    <row r="12" spans="2:23">
      <c r="B12" s="160" t="s">
        <v>112</v>
      </c>
      <c r="C12" s="161">
        <v>0.6</v>
      </c>
      <c r="D12" s="161">
        <v>0.6</v>
      </c>
      <c r="E12" s="161">
        <v>0.1</v>
      </c>
      <c r="F12" s="161">
        <v>0.05</v>
      </c>
      <c r="G12" s="161">
        <v>10</v>
      </c>
      <c r="H12" s="160">
        <v>0.2</v>
      </c>
      <c r="I12" s="160">
        <v>10</v>
      </c>
      <c r="J12" s="160">
        <v>0.25</v>
      </c>
      <c r="K12" s="161">
        <v>3</v>
      </c>
      <c r="L12" s="160"/>
      <c r="M12" s="160"/>
      <c r="S12" s="162"/>
      <c r="V12" s="162"/>
      <c r="W12" s="930"/>
    </row>
    <row r="13" spans="2:23">
      <c r="B13" s="160"/>
      <c r="C13" s="161"/>
      <c r="D13" s="161"/>
      <c r="E13" s="161"/>
      <c r="F13" s="161"/>
      <c r="G13" s="161"/>
      <c r="H13" s="160"/>
      <c r="I13" s="160"/>
      <c r="J13" s="160"/>
      <c r="K13" s="161"/>
      <c r="L13" s="160"/>
      <c r="M13" s="160"/>
      <c r="S13" s="162"/>
      <c r="V13" s="162"/>
      <c r="W13" s="930"/>
    </row>
    <row r="14" spans="2:23">
      <c r="B14" s="160"/>
      <c r="C14" s="161"/>
      <c r="D14" s="161"/>
      <c r="E14" s="161"/>
      <c r="F14" s="161"/>
      <c r="G14" s="161"/>
      <c r="H14" s="160"/>
      <c r="I14" s="160"/>
      <c r="J14" s="160"/>
      <c r="K14" s="161"/>
      <c r="L14" s="160"/>
      <c r="M14" s="160"/>
      <c r="S14" s="162"/>
      <c r="V14" s="162"/>
      <c r="W14" s="930"/>
    </row>
    <row r="15" spans="2:23">
      <c r="B15" s="160" t="s">
        <v>113</v>
      </c>
      <c r="C15" s="161">
        <v>0.75</v>
      </c>
      <c r="D15" s="161">
        <v>0.75</v>
      </c>
      <c r="E15" s="163">
        <v>0.125</v>
      </c>
      <c r="F15" s="161">
        <v>0.05</v>
      </c>
      <c r="G15" s="161">
        <v>10</v>
      </c>
      <c r="H15" s="160">
        <v>0.2</v>
      </c>
      <c r="I15" s="160">
        <v>10</v>
      </c>
      <c r="J15" s="160">
        <v>0.25</v>
      </c>
      <c r="K15" s="161">
        <v>3</v>
      </c>
      <c r="L15" s="160"/>
      <c r="M15" s="160"/>
      <c r="S15" s="162"/>
      <c r="V15" s="162"/>
      <c r="W15" s="930"/>
    </row>
    <row r="16" spans="2:23">
      <c r="B16" s="160"/>
      <c r="C16" s="161"/>
      <c r="D16" s="161"/>
      <c r="E16" s="161"/>
      <c r="F16" s="161"/>
      <c r="G16" s="161"/>
      <c r="H16" s="160"/>
      <c r="I16" s="160"/>
      <c r="J16" s="160"/>
      <c r="K16" s="161"/>
      <c r="L16" s="160"/>
      <c r="M16" s="160"/>
      <c r="S16" s="162"/>
      <c r="V16" s="162"/>
      <c r="W16" s="930"/>
    </row>
    <row r="17" spans="2:23">
      <c r="B17" s="160"/>
      <c r="C17" s="161"/>
      <c r="D17" s="161"/>
      <c r="E17" s="161"/>
      <c r="F17" s="161"/>
      <c r="G17" s="161"/>
      <c r="H17" s="160"/>
      <c r="I17" s="160"/>
      <c r="J17" s="160"/>
      <c r="K17" s="161"/>
      <c r="L17" s="160"/>
      <c r="M17" s="160"/>
      <c r="S17" s="162"/>
      <c r="V17" s="162"/>
      <c r="W17" s="930"/>
    </row>
    <row r="18" spans="2:23">
      <c r="B18" s="164" t="s">
        <v>114</v>
      </c>
      <c r="C18" s="161">
        <v>0.9</v>
      </c>
      <c r="D18" s="161">
        <v>0.9</v>
      </c>
      <c r="E18" s="163">
        <v>0.15</v>
      </c>
      <c r="F18" s="161">
        <v>0.05</v>
      </c>
      <c r="G18" s="161">
        <v>10</v>
      </c>
      <c r="H18" s="160">
        <v>0.17499999999999999</v>
      </c>
      <c r="I18" s="160">
        <v>10</v>
      </c>
      <c r="J18" s="160">
        <v>0.25</v>
      </c>
      <c r="K18" s="161">
        <v>3</v>
      </c>
      <c r="L18" s="160"/>
      <c r="M18" s="160"/>
      <c r="S18" s="162"/>
      <c r="T18" s="162"/>
      <c r="U18" s="162"/>
      <c r="V18" s="162"/>
      <c r="W18" s="930" t="s">
        <v>115</v>
      </c>
    </row>
    <row r="19" spans="2:23">
      <c r="B19" s="160"/>
      <c r="C19" s="161"/>
      <c r="D19" s="161"/>
      <c r="E19" s="161"/>
      <c r="F19" s="161"/>
      <c r="G19" s="161"/>
      <c r="H19" s="160"/>
      <c r="I19" s="160"/>
      <c r="J19" s="160"/>
      <c r="K19" s="161"/>
      <c r="L19" s="160"/>
      <c r="M19" s="160"/>
      <c r="S19" s="162"/>
      <c r="T19" s="162"/>
      <c r="U19" s="162"/>
      <c r="V19" s="162"/>
      <c r="W19" s="930"/>
    </row>
    <row r="20" spans="2:23">
      <c r="B20" s="160"/>
      <c r="C20" s="161"/>
      <c r="D20" s="161"/>
      <c r="E20" s="161"/>
      <c r="F20" s="161"/>
      <c r="G20" s="161"/>
      <c r="H20" s="160"/>
      <c r="I20" s="160"/>
      <c r="J20" s="160"/>
      <c r="K20" s="161"/>
      <c r="L20" s="160"/>
      <c r="M20" s="160"/>
      <c r="S20" s="162"/>
      <c r="T20" s="162"/>
      <c r="U20" s="162"/>
      <c r="V20" s="162"/>
      <c r="W20" s="930"/>
    </row>
    <row r="21" spans="2:23">
      <c r="B21" s="160" t="s">
        <v>116</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117</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118</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119</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120</v>
      </c>
      <c r="C30" s="161">
        <v>0.3</v>
      </c>
      <c r="D30" s="161">
        <v>0.3</v>
      </c>
      <c r="E30" s="161">
        <v>0.1</v>
      </c>
      <c r="F30" s="161">
        <v>0.05</v>
      </c>
      <c r="G30" s="161">
        <v>10</v>
      </c>
      <c r="H30" s="160">
        <v>0.25</v>
      </c>
      <c r="I30" s="160">
        <v>10</v>
      </c>
      <c r="J30" s="160">
        <v>0.25</v>
      </c>
      <c r="K30" s="161">
        <v>0</v>
      </c>
      <c r="L30" s="160"/>
      <c r="M30" s="160"/>
    </row>
    <row r="31" spans="2:23">
      <c r="B31" s="166" t="s">
        <v>121</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122</v>
      </c>
      <c r="C33" s="161">
        <v>0.45</v>
      </c>
      <c r="D33" s="161">
        <v>0.45</v>
      </c>
      <c r="E33" s="161">
        <v>0.1</v>
      </c>
      <c r="F33" s="161">
        <v>0.05</v>
      </c>
      <c r="G33" s="161">
        <v>10</v>
      </c>
      <c r="H33" s="160">
        <v>0.25</v>
      </c>
      <c r="I33" s="160">
        <v>10</v>
      </c>
      <c r="J33" s="160">
        <v>0.25</v>
      </c>
      <c r="K33" s="161">
        <v>0</v>
      </c>
      <c r="L33" s="160"/>
      <c r="M33" s="160"/>
    </row>
    <row r="34" spans="2:13">
      <c r="B34" s="166" t="s">
        <v>121</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123</v>
      </c>
      <c r="L35" s="160"/>
      <c r="M35" s="160"/>
    </row>
    <row r="36" spans="2:13">
      <c r="B36" s="168" t="s">
        <v>124</v>
      </c>
      <c r="C36" s="161">
        <v>1</v>
      </c>
      <c r="D36" s="161">
        <v>0.15</v>
      </c>
      <c r="E36" s="161">
        <v>0.1</v>
      </c>
      <c r="F36" s="161">
        <v>0.05</v>
      </c>
      <c r="G36" s="161">
        <v>10</v>
      </c>
      <c r="H36" s="160">
        <v>0.25</v>
      </c>
      <c r="I36" s="160">
        <v>10</v>
      </c>
      <c r="J36" s="160">
        <v>0.25</v>
      </c>
      <c r="K36" s="161">
        <v>0</v>
      </c>
      <c r="L36" s="160"/>
      <c r="M36" s="160"/>
    </row>
    <row r="37" spans="2:13">
      <c r="B37" s="166" t="s">
        <v>121</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125</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126</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127</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128</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129</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130</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131</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132</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133</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134</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135</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136</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137</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138</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139</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140</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141</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142</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143</v>
      </c>
      <c r="L103" s="931" t="s">
        <v>144</v>
      </c>
      <c r="M103" s="932"/>
      <c r="N103" s="932"/>
      <c r="O103" s="932"/>
      <c r="P103" s="932"/>
      <c r="Q103" s="932"/>
      <c r="R103" s="932"/>
      <c r="S103" s="933"/>
    </row>
    <row r="104" spans="2:21">
      <c r="B104" s="178" t="s">
        <v>145</v>
      </c>
      <c r="K104" s="179">
        <v>1</v>
      </c>
      <c r="L104" s="926" t="s">
        <v>7</v>
      </c>
      <c r="M104" s="934"/>
      <c r="N104" s="927"/>
      <c r="O104" s="926" t="s">
        <v>6</v>
      </c>
      <c r="P104" s="934"/>
      <c r="Q104" s="927"/>
      <c r="R104" s="926" t="s">
        <v>146</v>
      </c>
      <c r="S104" s="927"/>
    </row>
    <row r="105" spans="2:21">
      <c r="D105" s="180" t="s">
        <v>147</v>
      </c>
      <c r="E105" s="181" t="s">
        <v>1</v>
      </c>
      <c r="G105" s="182" t="s">
        <v>148</v>
      </c>
      <c r="H105" s="182" t="s">
        <v>149</v>
      </c>
      <c r="I105" s="182" t="s">
        <v>150</v>
      </c>
      <c r="J105" s="182" t="s">
        <v>151</v>
      </c>
      <c r="K105" s="182" t="s">
        <v>152</v>
      </c>
      <c r="L105" s="926" t="s">
        <v>153</v>
      </c>
      <c r="M105" s="927"/>
      <c r="N105" s="183" t="s">
        <v>1</v>
      </c>
      <c r="O105" s="926" t="s">
        <v>153</v>
      </c>
      <c r="P105" s="927"/>
      <c r="Q105" s="183" t="s">
        <v>1</v>
      </c>
      <c r="R105" s="183" t="s">
        <v>1</v>
      </c>
      <c r="S105" s="183" t="s">
        <v>80</v>
      </c>
    </row>
    <row r="106" spans="2:21" ht="20.25" hidden="1" customHeight="1">
      <c r="B106" s="154" t="s">
        <v>154</v>
      </c>
      <c r="C106" s="178" t="s">
        <v>155</v>
      </c>
      <c r="E106" s="184">
        <f>62.33+67.78</f>
        <v>130.11000000000001</v>
      </c>
      <c r="G106" s="185">
        <f>+E106*(C6+E6*2+1.5)</f>
        <v>260.22000000000003</v>
      </c>
      <c r="H106" s="185">
        <f>+E106*(C6+E6*2)*(D6+E6+F6)</f>
        <v>29.274750000000004</v>
      </c>
      <c r="I106" s="186">
        <f>+(C6+E6*2)*E106*F6</f>
        <v>3.2527500000000007</v>
      </c>
      <c r="J106" s="186">
        <f>+E106*((C6+E6*2)*E6+(D6*E6*2))</f>
        <v>14.312100000000001</v>
      </c>
      <c r="K106" s="186">
        <f>+(D6+$K$104*(D6+E6))*E106*2</f>
        <v>182.154</v>
      </c>
      <c r="L106" s="187">
        <f>+(E106)/H6+ IF(E106&gt;0,1,0)</f>
        <v>651.55000000000007</v>
      </c>
      <c r="M106" s="188">
        <f>+ROUNDUP(L106,0)</f>
        <v>652</v>
      </c>
      <c r="N106" s="189">
        <f>+(D6+E6-0.08)*2+(C6+E6*2-0.08)</f>
        <v>1.06</v>
      </c>
      <c r="O106" s="187">
        <f>+N106/J6+1</f>
        <v>5.24</v>
      </c>
      <c r="P106" s="188">
        <f>+ROUNDUP(O106,0)</f>
        <v>6</v>
      </c>
      <c r="Q106" s="188">
        <f>+E106+E106/6*50*(G6/1000)</f>
        <v>140.95250000000001</v>
      </c>
      <c r="R106" s="190">
        <f>+N106*M106+P106*Q106</f>
        <v>1536.835</v>
      </c>
      <c r="S106" s="186">
        <f>((I6*I6)/162)*R106</f>
        <v>948.66358024691351</v>
      </c>
      <c r="T106" s="154" t="s">
        <v>156</v>
      </c>
    </row>
    <row r="107" spans="2:21" ht="17.25" hidden="1" customHeight="1">
      <c r="C107" s="154" t="s">
        <v>101</v>
      </c>
      <c r="D107" s="191">
        <f>ROUNDUP(+E106/K6,0)</f>
        <v>44</v>
      </c>
      <c r="E107" s="184"/>
      <c r="G107" s="192"/>
      <c r="H107" s="192"/>
      <c r="I107" s="191"/>
      <c r="J107" s="191">
        <f>0.5*(0.075+0.05)*0.075*C6*D107</f>
        <v>6.1874999999999999E-2</v>
      </c>
      <c r="K107" s="191">
        <f>+(0.075+0.08)*C6*D107</f>
        <v>2.0459999999999998</v>
      </c>
      <c r="L107" s="193">
        <f>+D107</f>
        <v>44</v>
      </c>
      <c r="M107" s="188">
        <f>+ROUNDUP(L107,0)</f>
        <v>44</v>
      </c>
      <c r="N107" s="194">
        <f>+(C6-0.08)+((0.075+0.05-0.04)*2)</f>
        <v>0.38999999999999996</v>
      </c>
      <c r="O107" s="193"/>
      <c r="P107" s="195"/>
      <c r="Q107" s="195"/>
      <c r="R107" s="190">
        <f>+N107*M107+P107*Q107</f>
        <v>17.159999999999997</v>
      </c>
      <c r="S107" s="186">
        <f>((I6*I6)/162)*R107</f>
        <v>10.59259259259259</v>
      </c>
      <c r="T107" s="154" t="s">
        <v>156</v>
      </c>
      <c r="U107" s="191">
        <f>S106+S107</f>
        <v>959.25617283950612</v>
      </c>
    </row>
    <row r="108" spans="2:21">
      <c r="E108" s="184"/>
    </row>
    <row r="109" spans="2:21">
      <c r="B109" s="154" t="s">
        <v>154</v>
      </c>
      <c r="C109" s="178" t="s">
        <v>157</v>
      </c>
      <c r="E109" s="425">
        <v>54.75</v>
      </c>
      <c r="G109" s="426">
        <f>+E109*(C9+E9*2+3)</f>
        <v>199.83750000000001</v>
      </c>
      <c r="H109" s="426">
        <f>+E109*(C9+E9*2)*(D9+E9+F9)</f>
        <v>21.352500000000003</v>
      </c>
      <c r="I109" s="186">
        <f>+(C9+E9*2)*E109*F9</f>
        <v>1.7793749999999999</v>
      </c>
      <c r="J109" s="186">
        <f>+E109*((C9+E9*2)*E9+(D9*E9*2))</f>
        <v>8.4862500000000018</v>
      </c>
      <c r="K109" s="186">
        <f>+(D9+$K$104*(D9+E9))*E109*2</f>
        <v>109.5</v>
      </c>
      <c r="L109" s="427">
        <f>+(E109)/H9+ IF(E109&gt;0,1,0)</f>
        <v>274.75</v>
      </c>
      <c r="M109" s="188">
        <f>+ROUNDUP(L109,0)</f>
        <v>275</v>
      </c>
      <c r="N109" s="189">
        <f>+(D9+E9-0.08)*2+(C9+E9*2-0.08)</f>
        <v>1.5100000000000002</v>
      </c>
      <c r="O109" s="427">
        <f>+N109/J9+1</f>
        <v>7.0400000000000009</v>
      </c>
      <c r="P109" s="188">
        <f>+ROUNDUP(O109,0)</f>
        <v>8</v>
      </c>
      <c r="Q109" s="188">
        <f>+E109+E109/6*50*(G9/1000)</f>
        <v>59.3125</v>
      </c>
      <c r="R109" s="428">
        <f>+N109*M109+P109*Q109</f>
        <v>889.75</v>
      </c>
      <c r="S109" s="186">
        <f>((I9*I9)/162)*R109</f>
        <v>549.22839506172841</v>
      </c>
      <c r="T109" s="154" t="s">
        <v>156</v>
      </c>
    </row>
    <row r="110" spans="2:21">
      <c r="C110" s="154" t="s">
        <v>101</v>
      </c>
      <c r="D110" s="191">
        <f>ROUNDUP(+E109/K9,0)</f>
        <v>19</v>
      </c>
      <c r="E110" s="425"/>
      <c r="G110" s="429"/>
      <c r="H110" s="429"/>
      <c r="I110" s="191"/>
      <c r="J110" s="191">
        <f>0.5*(0.075+0.05)*0.075*C9*D110</f>
        <v>4.0078125000000006E-2</v>
      </c>
      <c r="K110" s="191">
        <f>+(0.075+0.08)*C9*D110</f>
        <v>1.32525</v>
      </c>
      <c r="L110" s="430">
        <f>+D110</f>
        <v>19</v>
      </c>
      <c r="M110" s="188">
        <f>+ROUNDUP(L110,0)</f>
        <v>19</v>
      </c>
      <c r="N110" s="194">
        <f>+(C9-0.08)+((0.075+0.05-0.04)*2)</f>
        <v>0.54</v>
      </c>
      <c r="O110" s="430"/>
      <c r="P110" s="195"/>
      <c r="Q110" s="195"/>
      <c r="R110" s="428">
        <f>+N110*M110+P110*Q110</f>
        <v>10.260000000000002</v>
      </c>
      <c r="S110" s="186">
        <f>((I9*I9)/162)*R110</f>
        <v>6.3333333333333339</v>
      </c>
      <c r="T110" s="154" t="s">
        <v>156</v>
      </c>
      <c r="U110" s="191">
        <f>S109+S110</f>
        <v>555.56172839506178</v>
      </c>
    </row>
    <row r="111" spans="2:21">
      <c r="E111" s="425"/>
    </row>
    <row r="112" spans="2:21" hidden="1">
      <c r="B112" s="154" t="s">
        <v>154</v>
      </c>
      <c r="C112" s="178" t="s">
        <v>158</v>
      </c>
      <c r="E112" s="425"/>
      <c r="G112" s="426">
        <f>+E112*(C12+E12*2+3)</f>
        <v>0</v>
      </c>
      <c r="H112" s="426">
        <f>+E112*(C12+E12*2)*(D12+E12+F12)</f>
        <v>0</v>
      </c>
      <c r="I112" s="186">
        <f>+(C12+E12*2)*E112*F12</f>
        <v>0</v>
      </c>
      <c r="J112" s="186">
        <f>+E112*((C12+E12*2)*E12+(D12*E12*2))</f>
        <v>0</v>
      </c>
      <c r="K112" s="186">
        <f>+(D12+$K$104*(D12+E12))*E112*2</f>
        <v>0</v>
      </c>
      <c r="L112" s="427">
        <f>+(E112)/H12+ IF(E112&gt;0,1,0)</f>
        <v>0</v>
      </c>
      <c r="M112" s="188">
        <f>+ROUNDUP(L112,0)</f>
        <v>0</v>
      </c>
      <c r="N112" s="189">
        <f>+(D12+E12-0.08)*2+(C12+E12*2-0.08)</f>
        <v>1.96</v>
      </c>
      <c r="O112" s="427">
        <f>+N112/J12+1</f>
        <v>8.84</v>
      </c>
      <c r="P112" s="188">
        <f>+ROUNDUP(O112,0)</f>
        <v>9</v>
      </c>
      <c r="Q112" s="188">
        <f>+E112+E112/6*50*(G12/1000)</f>
        <v>0</v>
      </c>
      <c r="R112" s="428">
        <f>+N112*M112+P112*Q112</f>
        <v>0</v>
      </c>
      <c r="S112" s="186">
        <f>((I12*I12)/162)*R112</f>
        <v>0</v>
      </c>
      <c r="T112" s="154" t="s">
        <v>156</v>
      </c>
    </row>
    <row r="113" spans="2:21" hidden="1">
      <c r="C113" s="154" t="s">
        <v>101</v>
      </c>
      <c r="D113" s="191">
        <f>ROUNDUP(+E112/K12,0)</f>
        <v>0</v>
      </c>
      <c r="E113" s="425"/>
      <c r="G113" s="429"/>
      <c r="H113" s="429">
        <f>E112*0.6*0.6</f>
        <v>0</v>
      </c>
      <c r="I113" s="191"/>
      <c r="J113" s="191">
        <f>0.5*(0.075+0.05)*0.075*C12*D113</f>
        <v>0</v>
      </c>
      <c r="K113" s="191">
        <f>+(0.075+0.08)*C12*D113</f>
        <v>0</v>
      </c>
      <c r="L113" s="430">
        <f>+D113</f>
        <v>0</v>
      </c>
      <c r="M113" s="188">
        <f>+ROUNDUP(L113,0)</f>
        <v>0</v>
      </c>
      <c r="N113" s="194">
        <f>+(C12-0.08)+((0.075+0.05-0.04)*2)</f>
        <v>0.69</v>
      </c>
      <c r="O113" s="430"/>
      <c r="P113" s="195"/>
      <c r="Q113" s="195"/>
      <c r="R113" s="428">
        <f>+N113*M113+P113*Q113</f>
        <v>0</v>
      </c>
      <c r="S113" s="186">
        <f>((I12*I12)/162)*R113</f>
        <v>0</v>
      </c>
      <c r="T113" s="154" t="s">
        <v>156</v>
      </c>
      <c r="U113" s="191">
        <f>S112+S113</f>
        <v>0</v>
      </c>
    </row>
    <row r="114" spans="2:21" hidden="1">
      <c r="E114" s="425"/>
    </row>
    <row r="115" spans="2:21" hidden="1">
      <c r="B115" s="154" t="s">
        <v>154</v>
      </c>
      <c r="C115" s="178" t="s">
        <v>159</v>
      </c>
      <c r="E115" s="425"/>
      <c r="G115" s="426">
        <f>+E115*(C15+E15*2+1.5)</f>
        <v>0</v>
      </c>
      <c r="H115" s="426">
        <f>+E115*(C15+E15*2)*(D15+E15+F15)</f>
        <v>0</v>
      </c>
      <c r="I115" s="186">
        <f>+(C15+E15*2)*E115*F15</f>
        <v>0</v>
      </c>
      <c r="J115" s="186">
        <f>+E115*((C15+E15*2)*E15+(D15*E15*2))</f>
        <v>0</v>
      </c>
      <c r="K115" s="186">
        <f>+(D15+$K$104*(D15+E15))*E115*2</f>
        <v>0</v>
      </c>
      <c r="L115" s="427">
        <f>+(E115)/H15+ IF(E115&gt;0,1,0)</f>
        <v>0</v>
      </c>
      <c r="M115" s="188">
        <f>+ROUNDUP(L115,0)</f>
        <v>0</v>
      </c>
      <c r="N115" s="189">
        <f>+(D15+E15-0.08)*2+(C15+E15*2-0.08)</f>
        <v>2.5100000000000002</v>
      </c>
      <c r="O115" s="427">
        <f>+N115/J15+1</f>
        <v>11.040000000000001</v>
      </c>
      <c r="P115" s="188">
        <f>+ROUNDUP(O115,0)</f>
        <v>12</v>
      </c>
      <c r="Q115" s="188">
        <f>+E115+E115/6*50*(G15/1000)</f>
        <v>0</v>
      </c>
      <c r="R115" s="428">
        <f>+N115*M115+P115*Q115</f>
        <v>0</v>
      </c>
      <c r="S115" s="186">
        <f>((I15*I15)/162)*R115</f>
        <v>0</v>
      </c>
      <c r="T115" s="154" t="s">
        <v>156</v>
      </c>
    </row>
    <row r="116" spans="2:21" hidden="1">
      <c r="C116" s="154" t="s">
        <v>101</v>
      </c>
      <c r="D116" s="191">
        <f>ROUNDUP(+E115/K15,0)</f>
        <v>0</v>
      </c>
      <c r="E116" s="425"/>
      <c r="G116" s="429"/>
      <c r="H116" s="429"/>
      <c r="I116" s="191"/>
      <c r="J116" s="191">
        <f>0.5*(0.075+0.05)*0.075*C15*D116</f>
        <v>0</v>
      </c>
      <c r="K116" s="191">
        <f>+(0.075+0.08)*C15*D116</f>
        <v>0</v>
      </c>
      <c r="L116" s="430">
        <f>+D116</f>
        <v>0</v>
      </c>
      <c r="M116" s="188">
        <f>+ROUNDUP(L116,0)</f>
        <v>0</v>
      </c>
      <c r="N116" s="194">
        <f>+(C15-0.08)+((0.075+0.05-0.04)*2)</f>
        <v>0.84000000000000008</v>
      </c>
      <c r="O116" s="430"/>
      <c r="P116" s="195"/>
      <c r="Q116" s="195"/>
      <c r="R116" s="428">
        <f>+N116*M116+P116*Q116</f>
        <v>0</v>
      </c>
      <c r="S116" s="186">
        <f>((I15*I15)/162)*R116</f>
        <v>0</v>
      </c>
      <c r="T116" s="154" t="s">
        <v>156</v>
      </c>
      <c r="U116" s="191">
        <f>S115+S116</f>
        <v>0</v>
      </c>
    </row>
    <row r="117" spans="2:21" hidden="1">
      <c r="B117" s="154" t="s">
        <v>154</v>
      </c>
      <c r="C117" s="178" t="s">
        <v>160</v>
      </c>
      <c r="E117" s="425"/>
      <c r="G117" s="426">
        <f>+E117*(C15+E15*2+1.5)</f>
        <v>0</v>
      </c>
      <c r="H117" s="426">
        <f>+E117*(C15+E15*2)*(D15+E15+F15)</f>
        <v>0</v>
      </c>
      <c r="I117" s="186">
        <f>+(C15+E15*2)*E117*F15</f>
        <v>0</v>
      </c>
      <c r="J117" s="186">
        <f>+E117*((C15+E15*2)*E15+(D15*E15*2))</f>
        <v>0</v>
      </c>
      <c r="K117" s="186">
        <f>+(D15+$K$104*(D15+E15))*E117*2</f>
        <v>0</v>
      </c>
      <c r="L117" s="427">
        <f>+(E117)/H15+ IF(E117&gt;0,1,0)</f>
        <v>0</v>
      </c>
      <c r="M117" s="188">
        <f>+ROUNDUP(L117,0)</f>
        <v>0</v>
      </c>
      <c r="N117" s="189">
        <f>+(D15+E15-0.08)*2+(C15+E15*2-0.08)</f>
        <v>2.5100000000000002</v>
      </c>
      <c r="O117" s="427">
        <f>+N117/J15+1</f>
        <v>11.040000000000001</v>
      </c>
      <c r="P117" s="188">
        <f>+ROUNDUP(O117,0)</f>
        <v>12</v>
      </c>
      <c r="Q117" s="188">
        <f>+E117+E117/6*50*(G15/1000)</f>
        <v>0</v>
      </c>
      <c r="R117" s="428">
        <f>+N117*M117+P117*Q117</f>
        <v>0</v>
      </c>
      <c r="S117" s="186">
        <f>((I15*I15)/162)*R117</f>
        <v>0</v>
      </c>
      <c r="T117" s="154" t="s">
        <v>156</v>
      </c>
    </row>
    <row r="118" spans="2:21" hidden="1">
      <c r="C118" s="154" t="s">
        <v>101</v>
      </c>
      <c r="D118" s="191">
        <f>ROUNDUP(+E117/K15,0)</f>
        <v>0</v>
      </c>
      <c r="E118" s="425"/>
      <c r="G118" s="429"/>
      <c r="H118" s="429"/>
      <c r="I118" s="191"/>
      <c r="J118" s="191">
        <f>0.5*(0.075+0.05)*0.075*C15*D118</f>
        <v>0</v>
      </c>
      <c r="K118" s="191">
        <f>+(0.075+0.08)*C15*D118</f>
        <v>0</v>
      </c>
      <c r="L118" s="430">
        <f>+D118</f>
        <v>0</v>
      </c>
      <c r="M118" s="188">
        <f>+ROUNDUP(L118,0)</f>
        <v>0</v>
      </c>
      <c r="N118" s="194">
        <f>+(C15-0.08)+((0.075+0.05-0.04)*2)</f>
        <v>0.84000000000000008</v>
      </c>
      <c r="O118" s="430"/>
      <c r="P118" s="195"/>
      <c r="Q118" s="195"/>
      <c r="R118" s="428">
        <f>+N118*M118+P118*Q118</f>
        <v>0</v>
      </c>
      <c r="S118" s="186">
        <f>((I15*I15)/162)*R118</f>
        <v>0</v>
      </c>
      <c r="T118" s="154" t="s">
        <v>156</v>
      </c>
    </row>
    <row r="119" spans="2:21" hidden="1">
      <c r="B119" s="202" t="s">
        <v>161</v>
      </c>
      <c r="D119" s="191"/>
      <c r="E119" s="425"/>
      <c r="G119" s="429"/>
      <c r="H119" s="429"/>
      <c r="I119" s="191"/>
      <c r="J119" s="191"/>
      <c r="K119" s="191"/>
      <c r="L119" s="430"/>
      <c r="M119" s="195"/>
      <c r="N119" s="194"/>
      <c r="O119" s="430"/>
      <c r="P119" s="195"/>
      <c r="Q119" s="195"/>
      <c r="R119" s="431"/>
      <c r="S119" s="191"/>
    </row>
    <row r="120" spans="2:21" hidden="1">
      <c r="C120" s="202" t="s">
        <v>162</v>
      </c>
      <c r="D120" s="191"/>
      <c r="E120" s="425"/>
      <c r="G120" s="429"/>
      <c r="H120" s="429"/>
      <c r="I120" s="191"/>
      <c r="J120" s="191"/>
      <c r="K120" s="191"/>
      <c r="L120" s="430"/>
      <c r="M120" s="195"/>
      <c r="N120" s="194"/>
      <c r="O120" s="430"/>
      <c r="P120" s="195"/>
      <c r="Q120" s="195"/>
      <c r="R120" s="431"/>
      <c r="S120" s="191"/>
    </row>
    <row r="121" spans="2:21" hidden="1">
      <c r="C121" s="202" t="s">
        <v>163</v>
      </c>
      <c r="D121" s="191"/>
      <c r="E121" s="425"/>
      <c r="G121" s="429"/>
      <c r="H121" s="429"/>
      <c r="I121" s="191"/>
      <c r="J121" s="191"/>
      <c r="K121" s="191"/>
      <c r="L121" s="430"/>
      <c r="M121" s="195"/>
      <c r="N121" s="194"/>
      <c r="O121" s="430"/>
      <c r="P121" s="195"/>
      <c r="Q121" s="195"/>
      <c r="R121" s="431"/>
      <c r="S121" s="191"/>
    </row>
    <row r="122" spans="2:21" hidden="1"/>
    <row r="123" spans="2:21" hidden="1">
      <c r="B123" s="154" t="s">
        <v>154</v>
      </c>
      <c r="C123" s="178" t="s">
        <v>164</v>
      </c>
      <c r="E123" s="425"/>
      <c r="G123" s="426">
        <f>+E123*(C18+E18*2+1.5)</f>
        <v>0</v>
      </c>
      <c r="H123" s="426">
        <f>+E123*(C18+E18*2)*(D18+E18+F18)</f>
        <v>0</v>
      </c>
      <c r="I123" s="186">
        <f>+(C18+E18*2)*E123*F18</f>
        <v>0</v>
      </c>
      <c r="J123" s="186">
        <f>+E123*((C18+E18*2)*E18+(D18*E18*2))</f>
        <v>0</v>
      </c>
      <c r="K123" s="186">
        <f>+(D18+$K$104*(D18+E18))*E123*2</f>
        <v>0</v>
      </c>
      <c r="L123" s="427">
        <f>+(E123)/H18+ IF(E123&gt;0,1,0)</f>
        <v>0</v>
      </c>
      <c r="M123" s="188">
        <f>+ROUNDUP(L123,0)</f>
        <v>0</v>
      </c>
      <c r="N123" s="189">
        <f>+(D18+E18-0.08)*2+(C18+E18*2-0.08)</f>
        <v>3.06</v>
      </c>
      <c r="O123" s="427">
        <f>+N123/J18+1</f>
        <v>13.24</v>
      </c>
      <c r="P123" s="188">
        <f>+ROUNDUP(O123,0)</f>
        <v>14</v>
      </c>
      <c r="Q123" s="188">
        <f>+E123+E123/6*50*(G18/1000)</f>
        <v>0</v>
      </c>
      <c r="R123" s="428">
        <f>+N123*M123+P123*Q123</f>
        <v>0</v>
      </c>
      <c r="S123" s="186">
        <f>((I18*I18)/162)*R123</f>
        <v>0</v>
      </c>
      <c r="T123" s="154" t="s">
        <v>156</v>
      </c>
    </row>
    <row r="124" spans="2:21" hidden="1">
      <c r="C124" s="154" t="s">
        <v>101</v>
      </c>
      <c r="D124" s="191">
        <f>ROUNDUP(+E123/K18,0)</f>
        <v>0</v>
      </c>
      <c r="E124" s="425"/>
      <c r="G124" s="429"/>
      <c r="H124" s="429"/>
      <c r="I124" s="191"/>
      <c r="J124" s="191">
        <f>0.5*(0.075+0.05)*0.075*C18*D124</f>
        <v>0</v>
      </c>
      <c r="K124" s="191">
        <f>+(0.075+0.08)*C18*D124</f>
        <v>0</v>
      </c>
      <c r="L124" s="430">
        <f>+D124</f>
        <v>0</v>
      </c>
      <c r="M124" s="188">
        <f>+ROUNDUP(L124,0)</f>
        <v>0</v>
      </c>
      <c r="N124" s="194">
        <f>+(C18-0.08)+((0.075+0.05-0.04)*2)</f>
        <v>0.99</v>
      </c>
      <c r="O124" s="430"/>
      <c r="P124" s="195"/>
      <c r="Q124" s="195"/>
      <c r="R124" s="428">
        <f>+N124*M124+P124*Q124</f>
        <v>0</v>
      </c>
      <c r="S124" s="186">
        <f>((I18*I18)/162)*R124</f>
        <v>0</v>
      </c>
      <c r="T124" s="154" t="s">
        <v>156</v>
      </c>
    </row>
    <row r="125" spans="2:21" hidden="1"/>
    <row r="126" spans="2:21" hidden="1">
      <c r="B126" s="154" t="s">
        <v>154</v>
      </c>
      <c r="C126" s="178" t="s">
        <v>165</v>
      </c>
      <c r="E126" s="425"/>
      <c r="G126" s="426">
        <f>+E126*(C21+E21*2+3)</f>
        <v>0</v>
      </c>
      <c r="H126" s="426">
        <f>+E126*(C21+E21*2)*(D21+E21+F21)</f>
        <v>0</v>
      </c>
      <c r="I126" s="186">
        <f>+(C21+E21*2)*E126*F21</f>
        <v>0</v>
      </c>
      <c r="J126" s="186">
        <f>+E126*((C21+E21*2)*E21+(D21*E21*2))</f>
        <v>0</v>
      </c>
      <c r="K126" s="186">
        <f>+(D21+$K$104*(D21+E21))*E126*2</f>
        <v>0</v>
      </c>
      <c r="L126" s="427">
        <f>+(E126)/H21+ IF(E126&gt;0,1,0)</f>
        <v>0</v>
      </c>
      <c r="M126" s="188">
        <f>+ROUNDUP(L126,0)</f>
        <v>0</v>
      </c>
      <c r="N126" s="189">
        <f>+(D21+E21-0.08)*2+(C21+E21*2-0.08)</f>
        <v>3.3599999999999994</v>
      </c>
      <c r="O126" s="427">
        <f>+N126/J21+1</f>
        <v>14.439999999999998</v>
      </c>
      <c r="P126" s="188">
        <f>+ROUNDUP(O126,0)</f>
        <v>15</v>
      </c>
      <c r="Q126" s="188">
        <f>+E126+E126/6*50*(G21/1000)</f>
        <v>0</v>
      </c>
      <c r="R126" s="428">
        <f>+N126*M126+P126*Q126</f>
        <v>0</v>
      </c>
      <c r="S126" s="186">
        <f>((I21*I21)/162)*R126</f>
        <v>0</v>
      </c>
      <c r="T126" s="154" t="s">
        <v>156</v>
      </c>
    </row>
    <row r="127" spans="2:21" hidden="1">
      <c r="C127" s="154" t="s">
        <v>101</v>
      </c>
      <c r="D127" s="191">
        <f>ROUNDUP(+E126/K21,0)</f>
        <v>0</v>
      </c>
      <c r="E127" s="425"/>
      <c r="G127" s="429"/>
      <c r="H127" s="429"/>
      <c r="I127" s="191"/>
      <c r="J127" s="191">
        <f>0.5*(0.075+0.05)*0.075*C21*D127</f>
        <v>0</v>
      </c>
      <c r="K127" s="191">
        <f>+(0.075+0.08)*C21*D127</f>
        <v>0</v>
      </c>
      <c r="L127" s="430">
        <f>+D127</f>
        <v>0</v>
      </c>
      <c r="M127" s="188">
        <f>+ROUNDUP(L127,0)</f>
        <v>0</v>
      </c>
      <c r="N127" s="194">
        <f>+(C21-0.08)+((0.075+0.05-0.04)*2)</f>
        <v>1.0900000000000001</v>
      </c>
      <c r="O127" s="430"/>
      <c r="P127" s="195"/>
      <c r="Q127" s="195"/>
      <c r="R127" s="428">
        <f>+N127*M127+P127*Q127</f>
        <v>0</v>
      </c>
      <c r="S127" s="186">
        <f>((I21*I21)/162)*R127</f>
        <v>0</v>
      </c>
      <c r="T127" s="154" t="s">
        <v>156</v>
      </c>
    </row>
    <row r="128" spans="2:21" hidden="1"/>
    <row r="129" spans="2:20" hidden="1">
      <c r="B129" s="154" t="s">
        <v>154</v>
      </c>
      <c r="C129" s="178" t="s">
        <v>166</v>
      </c>
      <c r="E129" s="425"/>
      <c r="G129" s="426">
        <f>+E129*(C24+E24*2+1.5)</f>
        <v>0</v>
      </c>
      <c r="H129" s="426">
        <f>+E129*(C24+E24*2)*(((D24+E24+F24)*2+0.1)/2)</f>
        <v>0</v>
      </c>
      <c r="I129" s="186">
        <f>+(C24+E24*2)*E129*F24</f>
        <v>0</v>
      </c>
      <c r="J129" s="186">
        <f>+E129*((C24+E24*2)*E24+(D24*E24)+((D24+0.1)*E24))</f>
        <v>0</v>
      </c>
      <c r="K129" s="186">
        <f>+((D24*2)+$K$104*((D24+E24)+(D24+E24+0.1)))*E129</f>
        <v>0</v>
      </c>
      <c r="L129" s="427">
        <f>+(E129)/H24+ IF(E129&gt;0,1,0)</f>
        <v>0</v>
      </c>
      <c r="M129" s="188">
        <f>+ROUNDUP(L129,0)</f>
        <v>0</v>
      </c>
      <c r="N129" s="189">
        <f>+(D24+E24-0.08)+(D24+E24+0.1-0.08)+(C24+E24*2-0.08)</f>
        <v>1.1599999999999999</v>
      </c>
      <c r="O129" s="427">
        <f>+N129/J24+1</f>
        <v>5.64</v>
      </c>
      <c r="P129" s="188">
        <f>+ROUNDUP(O129,0)</f>
        <v>6</v>
      </c>
      <c r="Q129" s="188">
        <f>+E129+E129/6*50*(G24/1000)</f>
        <v>0</v>
      </c>
      <c r="R129" s="428">
        <f>+N129*M129+P129*Q129</f>
        <v>0</v>
      </c>
      <c r="S129" s="186">
        <f>((I24*I24)/162)*R129</f>
        <v>0</v>
      </c>
      <c r="T129" s="154" t="s">
        <v>156</v>
      </c>
    </row>
    <row r="130" spans="2:20" hidden="1">
      <c r="C130" s="154" t="s">
        <v>101</v>
      </c>
      <c r="D130" s="191">
        <f>ROUNDUP(+E129/K24,0)</f>
        <v>0</v>
      </c>
      <c r="E130" s="425"/>
      <c r="G130" s="429"/>
      <c r="H130" s="429"/>
      <c r="I130" s="191"/>
      <c r="J130" s="191">
        <f>0.5*(0.075+0.05)*0.075*C24*D130</f>
        <v>0</v>
      </c>
      <c r="K130" s="191">
        <f>+(0.075+0.08)*C24*D130</f>
        <v>0</v>
      </c>
      <c r="L130" s="430">
        <f>+D130</f>
        <v>0</v>
      </c>
      <c r="M130" s="188">
        <f>+ROUNDUP(L130,0)</f>
        <v>0</v>
      </c>
      <c r="N130" s="194">
        <f>+(C24-0.08)+((0.075+0.05-0.04)*2)</f>
        <v>0.38999999999999996</v>
      </c>
      <c r="O130" s="430"/>
      <c r="P130" s="195"/>
      <c r="Q130" s="195"/>
      <c r="R130" s="428">
        <f>+N130*M130+P130*Q130</f>
        <v>0</v>
      </c>
      <c r="S130" s="186">
        <f>((I24*I24)/162)*R130</f>
        <v>0</v>
      </c>
      <c r="T130" s="154" t="s">
        <v>156</v>
      </c>
    </row>
    <row r="131" spans="2:20" hidden="1"/>
    <row r="132" spans="2:20" hidden="1">
      <c r="B132" s="154" t="s">
        <v>154</v>
      </c>
      <c r="C132" s="178" t="s">
        <v>167</v>
      </c>
      <c r="E132" s="425"/>
      <c r="G132" s="426">
        <f>+E132*(C27+E27*2+1.5)</f>
        <v>0</v>
      </c>
      <c r="H132" s="426">
        <f>+E132*(C27+E27*2)*(((D27+E27+F27)*2+0.1)/2)</f>
        <v>0</v>
      </c>
      <c r="I132" s="186">
        <f>+(C27+E27*2)*E132*F27</f>
        <v>0</v>
      </c>
      <c r="J132" s="186">
        <f>+E132*((C27+E27*2)*E27+(D27*E27)+((D27+0.1)*E27))</f>
        <v>0</v>
      </c>
      <c r="K132" s="186">
        <f>+((D27*2)+$K$104*((D27+E27)+(D27+E27+0.1)))*E132</f>
        <v>0</v>
      </c>
      <c r="L132" s="427">
        <f>+(E132)/H27+ IF(E132&gt;0,1,0)</f>
        <v>0</v>
      </c>
      <c r="M132" s="188">
        <f>+ROUNDUP(L132,0)</f>
        <v>0</v>
      </c>
      <c r="N132" s="189">
        <f>+(D27+E27-0.08)+(D27+E27+0.1-0.08)+(C27+E27*2-0.08)</f>
        <v>2.06</v>
      </c>
      <c r="O132" s="427">
        <f>+N132/J27+1</f>
        <v>9.24</v>
      </c>
      <c r="P132" s="188">
        <f>+ROUNDUP(O132,0)</f>
        <v>10</v>
      </c>
      <c r="Q132" s="188">
        <f>+E132+E132/6*50*(G27/1000)</f>
        <v>0</v>
      </c>
      <c r="R132" s="428">
        <f>+N132*M132+P132*Q132</f>
        <v>0</v>
      </c>
      <c r="S132" s="186">
        <f>((I27*I27)/162)*R132</f>
        <v>0</v>
      </c>
      <c r="T132" s="154" t="s">
        <v>156</v>
      </c>
    </row>
    <row r="133" spans="2:20" hidden="1">
      <c r="C133" s="154" t="s">
        <v>101</v>
      </c>
      <c r="D133" s="191">
        <f>ROUNDUP(+E132/K27,0)</f>
        <v>0</v>
      </c>
      <c r="E133" s="425"/>
      <c r="G133" s="429"/>
      <c r="H133" s="429"/>
      <c r="I133" s="191"/>
      <c r="J133" s="191">
        <f>0.5*(0.075+0.05)*0.075*C27*D133</f>
        <v>0</v>
      </c>
      <c r="K133" s="191">
        <f>+(0.075+0.08)*C27*D133</f>
        <v>0</v>
      </c>
      <c r="L133" s="430">
        <f>+D133</f>
        <v>0</v>
      </c>
      <c r="M133" s="188">
        <f>+ROUNDUP(L133,0)</f>
        <v>0</v>
      </c>
      <c r="N133" s="194">
        <f>+(C27-0.08)+((0.075+0.05-0.04)*2)</f>
        <v>0.69</v>
      </c>
      <c r="O133" s="430"/>
      <c r="P133" s="195"/>
      <c r="Q133" s="195"/>
      <c r="R133" s="428">
        <f>+N133*M133+P133*Q133</f>
        <v>0</v>
      </c>
      <c r="S133" s="186">
        <f>((I27*I27)/162)*R133</f>
        <v>0</v>
      </c>
      <c r="T133" s="154" t="s">
        <v>156</v>
      </c>
    </row>
    <row r="134" spans="2:20" hidden="1"/>
    <row r="135" spans="2:20" hidden="1">
      <c r="B135" s="154" t="s">
        <v>154</v>
      </c>
      <c r="C135" s="178" t="s">
        <v>168</v>
      </c>
      <c r="E135" s="425"/>
      <c r="G135" s="426">
        <f>+E135*(C30+E30*2+0.5)</f>
        <v>0</v>
      </c>
      <c r="H135" s="426">
        <f>+E135*(C30+E30*2)*(((D30+E30+F30)*2+0.1)/2)</f>
        <v>0</v>
      </c>
      <c r="I135" s="186">
        <f>+(C30+E30*2)*E135*F30</f>
        <v>0</v>
      </c>
      <c r="J135" s="186">
        <f>+E135*((C30+E30*2)*E30+(D30*E30)+((D30+0.1)*E30))</f>
        <v>0</v>
      </c>
      <c r="K135" s="186">
        <f>+((D30*2)+$K$104*((D30+E30)+(D30+E30+0.1)))*E135</f>
        <v>0</v>
      </c>
      <c r="L135" s="427">
        <f>+(E135)/H30+ IF(E135&gt;0,1,0)</f>
        <v>0</v>
      </c>
      <c r="M135" s="188">
        <f>+ROUNDUP(L135,0)</f>
        <v>0</v>
      </c>
      <c r="N135" s="189">
        <f>+(D30+E30-0.08)+(D30+E30+0.1-0.08)+(C30+E30*2-0.08)</f>
        <v>1.1599999999999999</v>
      </c>
      <c r="O135" s="427">
        <f>+N135/J30+1</f>
        <v>5.64</v>
      </c>
      <c r="P135" s="188">
        <f>+ROUNDUP(O135,0)</f>
        <v>6</v>
      </c>
      <c r="Q135" s="188">
        <f>+E135+E135/6*50*(G30/1000)</f>
        <v>0</v>
      </c>
      <c r="R135" s="428">
        <f>+N135*M135+P135*Q135</f>
        <v>0</v>
      </c>
      <c r="S135" s="186">
        <f>((I30*I30)/162)*R135</f>
        <v>0</v>
      </c>
      <c r="T135" s="154" t="s">
        <v>156</v>
      </c>
    </row>
    <row r="136" spans="2:20" hidden="1">
      <c r="C136" s="154" t="s">
        <v>121</v>
      </c>
      <c r="D136" s="191"/>
      <c r="E136" s="425"/>
      <c r="G136" s="426">
        <f>+E136*(C31+0.5)</f>
        <v>0</v>
      </c>
      <c r="H136" s="429">
        <f>+E136*C31*E31</f>
        <v>0</v>
      </c>
      <c r="I136" s="191"/>
      <c r="J136" s="191">
        <f>+E136*C31*E31</f>
        <v>0</v>
      </c>
      <c r="K136" s="191">
        <f>+E136*E31</f>
        <v>0</v>
      </c>
      <c r="L136" s="427">
        <f>+(E136)/H31+ IF(E136&gt;0,1,0)</f>
        <v>0</v>
      </c>
      <c r="M136" s="188">
        <f>+ROUNDUP(L136,0)</f>
        <v>0</v>
      </c>
      <c r="N136" s="189">
        <f>+C31-0.04</f>
        <v>1.46</v>
      </c>
      <c r="O136" s="427">
        <f>+N136/J31+1</f>
        <v>10.733333333333334</v>
      </c>
      <c r="P136" s="188">
        <f>+ROUNDUP(O136,0)</f>
        <v>11</v>
      </c>
      <c r="Q136" s="188">
        <f>+E136+E136/6*50*(G31/1000)</f>
        <v>0</v>
      </c>
      <c r="R136" s="428">
        <f>+N136*M136+P136*Q136</f>
        <v>0</v>
      </c>
      <c r="S136" s="186">
        <f>((I31*I31)/162)*R136</f>
        <v>0</v>
      </c>
      <c r="T136" s="154" t="s">
        <v>156</v>
      </c>
    </row>
    <row r="137" spans="2:20" hidden="1">
      <c r="N137" s="189"/>
    </row>
    <row r="138" spans="2:20" hidden="1">
      <c r="B138" s="154" t="s">
        <v>154</v>
      </c>
      <c r="C138" s="178" t="s">
        <v>169</v>
      </c>
      <c r="E138" s="425"/>
      <c r="G138" s="426">
        <f>+E138*(C33+E33*2+0.5)</f>
        <v>0</v>
      </c>
      <c r="H138" s="426">
        <f>+E138*(C33+E33*2)*(((D33+E33+F33)*2+0.1)/2)</f>
        <v>0</v>
      </c>
      <c r="I138" s="186">
        <f>+(C33+E33*2)*E138*F33</f>
        <v>0</v>
      </c>
      <c r="J138" s="186">
        <f>+E138*((C33+E33*2)*E33+(D33*E33)+((D33+0.1)*E33))</f>
        <v>0</v>
      </c>
      <c r="K138" s="186">
        <f>+((D33*2)+$K$104*((D33+E33)+(D33+E33+0.1)))*E138</f>
        <v>0</v>
      </c>
      <c r="L138" s="427">
        <f>+(E138)/H33+ IF(E138&gt;0,1,0)</f>
        <v>0</v>
      </c>
      <c r="M138" s="188">
        <f>+ROUNDUP(L138,0)</f>
        <v>0</v>
      </c>
      <c r="N138" s="189">
        <f>+(D33+E33-0.08)+(D33+E33+0.1-0.08)+(C33+E33*2-0.08)</f>
        <v>1.61</v>
      </c>
      <c r="O138" s="427">
        <f>+N138/J33+1</f>
        <v>7.44</v>
      </c>
      <c r="P138" s="188">
        <f>+ROUNDUP(O138,0)</f>
        <v>8</v>
      </c>
      <c r="Q138" s="188">
        <f>+E138+E138/6*50*(G33/1000)</f>
        <v>0</v>
      </c>
      <c r="R138" s="428">
        <f>+N138*M138+P138*Q138</f>
        <v>0</v>
      </c>
      <c r="S138" s="186">
        <f>((I33*I33)/162)*R138</f>
        <v>0</v>
      </c>
      <c r="T138" s="154" t="s">
        <v>156</v>
      </c>
    </row>
    <row r="139" spans="2:20" hidden="1">
      <c r="C139" s="154" t="s">
        <v>121</v>
      </c>
      <c r="D139" s="191"/>
      <c r="E139" s="425"/>
      <c r="G139" s="426">
        <f>+E139*(C34+0.5)</f>
        <v>0</v>
      </c>
      <c r="H139" s="429">
        <f>+E139*C34*E34</f>
        <v>0</v>
      </c>
      <c r="I139" s="191"/>
      <c r="J139" s="191">
        <f>+E139*C34*E34</f>
        <v>0</v>
      </c>
      <c r="K139" s="191">
        <f>+E139*E34</f>
        <v>0</v>
      </c>
      <c r="L139" s="427">
        <f>+(E139)/H34+ IF(E139&gt;0,1,0)</f>
        <v>0</v>
      </c>
      <c r="M139" s="188">
        <f>+ROUNDUP(L139,0)</f>
        <v>0</v>
      </c>
      <c r="N139" s="189">
        <f>+C34-0.04</f>
        <v>1.46</v>
      </c>
      <c r="O139" s="427">
        <f>+N139/J34+1</f>
        <v>10.733333333333334</v>
      </c>
      <c r="P139" s="188">
        <f>+ROUNDUP(O139,0)</f>
        <v>11</v>
      </c>
      <c r="Q139" s="188">
        <f>+E139+E139/6*50*(G34/1000)</f>
        <v>0</v>
      </c>
      <c r="R139" s="428">
        <f>+N139*M139+P139*Q139</f>
        <v>0</v>
      </c>
      <c r="S139" s="186">
        <f>((I34*I34)/162)*R139</f>
        <v>0</v>
      </c>
      <c r="T139" s="154" t="s">
        <v>156</v>
      </c>
    </row>
    <row r="140" spans="2:20" hidden="1">
      <c r="N140" s="189"/>
    </row>
    <row r="141" spans="2:20" hidden="1">
      <c r="B141" s="154" t="s">
        <v>154</v>
      </c>
      <c r="C141" s="178" t="s">
        <v>170</v>
      </c>
      <c r="E141" s="425"/>
      <c r="G141" s="426">
        <f>+E141*(C36+E36*2+0.5)</f>
        <v>0</v>
      </c>
      <c r="H141" s="426">
        <f>+E141*(C36+E36*2)*(((D36+E36+F36)*2+0.1)/2)</f>
        <v>0</v>
      </c>
      <c r="I141" s="186">
        <f>+(C36+E36*2)*E141*F36</f>
        <v>0</v>
      </c>
      <c r="J141" s="186">
        <f>+E141*((C36+E36*2)*E36+(D36*E36)+((D36+0.1)*E36))</f>
        <v>0</v>
      </c>
      <c r="K141" s="186">
        <f>+((D36*2)+$K$104*((D36+E36)+(D36+E36+0.1)))*E141</f>
        <v>0</v>
      </c>
      <c r="L141" s="427">
        <f>+(E141)/H36+ IF(E141&gt;0,1,0)</f>
        <v>0</v>
      </c>
      <c r="M141" s="188">
        <f>+ROUNDUP(L141,0)</f>
        <v>0</v>
      </c>
      <c r="N141" s="189">
        <f>+(D36+E36-0.08)+(D36+E36+0.1-0.08)+(C36+E36*2-0.08)</f>
        <v>1.5599999999999998</v>
      </c>
      <c r="O141" s="427">
        <f>+N141/J36+1</f>
        <v>7.2399999999999993</v>
      </c>
      <c r="P141" s="188">
        <f>+ROUNDUP(O141,0)</f>
        <v>8</v>
      </c>
      <c r="Q141" s="188">
        <f>+E141+E141/6*50*(G36/1000)</f>
        <v>0</v>
      </c>
      <c r="R141" s="428">
        <f>+N141*M141+P141*Q141</f>
        <v>0</v>
      </c>
      <c r="S141" s="186">
        <f>((I36*I36)/162)*R141</f>
        <v>0</v>
      </c>
      <c r="T141" s="154" t="s">
        <v>156</v>
      </c>
    </row>
    <row r="142" spans="2:20" hidden="1">
      <c r="C142" s="154" t="s">
        <v>121</v>
      </c>
      <c r="D142" s="191"/>
      <c r="E142" s="425"/>
      <c r="G142" s="426">
        <f>+E142*(C37+0.5)</f>
        <v>0</v>
      </c>
      <c r="H142" s="429">
        <f>+E142*C37*E37</f>
        <v>0</v>
      </c>
      <c r="I142" s="191"/>
      <c r="J142" s="191">
        <f>+E142*C37*E37</f>
        <v>0</v>
      </c>
      <c r="K142" s="191">
        <f>+E142*E37</f>
        <v>0</v>
      </c>
      <c r="L142" s="427">
        <f>+(E142)/H37+ IF(E142&gt;0,1,0)</f>
        <v>0</v>
      </c>
      <c r="M142" s="188">
        <f>+ROUNDUP(L142,0)</f>
        <v>0</v>
      </c>
      <c r="N142" s="189">
        <f>+C37-0.04</f>
        <v>1.46</v>
      </c>
      <c r="O142" s="427">
        <f>+N142/J37+1</f>
        <v>10.733333333333334</v>
      </c>
      <c r="P142" s="188">
        <f>+ROUNDUP(O142,0)</f>
        <v>11</v>
      </c>
      <c r="Q142" s="188">
        <f>+E142+E142/6*50*(G37/1000)</f>
        <v>0</v>
      </c>
      <c r="R142" s="428">
        <f>+N142*M142+P142*Q142</f>
        <v>0</v>
      </c>
      <c r="S142" s="186">
        <f>((I37*I37)/162)*R142</f>
        <v>0</v>
      </c>
      <c r="T142" s="154" t="s">
        <v>156</v>
      </c>
    </row>
    <row r="143" spans="2:20" hidden="1">
      <c r="N143" s="189"/>
    </row>
    <row r="144" spans="2:20" hidden="1">
      <c r="B144" s="376" t="s">
        <v>154</v>
      </c>
      <c r="C144" s="377" t="s">
        <v>171</v>
      </c>
      <c r="E144" s="425"/>
      <c r="G144" s="426">
        <f>+E144*(C39+E39)</f>
        <v>0</v>
      </c>
      <c r="H144" s="426">
        <f>+E144*(C39+E39)*E39</f>
        <v>0</v>
      </c>
      <c r="I144" s="186">
        <f>+E144*(C39+E39)*F39</f>
        <v>0</v>
      </c>
      <c r="J144" s="186">
        <f>+E144*((C39+E39)*E39+(E39*D39))</f>
        <v>0</v>
      </c>
      <c r="K144" s="186">
        <f>+E144*(E39*2+D39*2)</f>
        <v>0</v>
      </c>
      <c r="L144" s="427">
        <f>+(E144)/H39+ IF(E144&gt;0,1,0)</f>
        <v>0</v>
      </c>
      <c r="M144" s="188">
        <f>+ROUNDUP(L144,0)</f>
        <v>0</v>
      </c>
      <c r="N144" s="189">
        <f>+(C39+E39-0.08)+(D39+E39-0.08)</f>
        <v>1.24</v>
      </c>
      <c r="O144" s="427">
        <f>+N144/J39+1</f>
        <v>5.96</v>
      </c>
      <c r="P144" s="188">
        <f>+ROUNDUP(O144,0)</f>
        <v>6</v>
      </c>
      <c r="Q144" s="188">
        <f>+E144+E144/6*50*(G39/1000)</f>
        <v>0</v>
      </c>
      <c r="R144" s="428">
        <f>+N144*M144+P144*Q144</f>
        <v>0</v>
      </c>
      <c r="S144" s="186">
        <f>((I39*I39)/162)*R144</f>
        <v>0</v>
      </c>
      <c r="T144" s="154" t="s">
        <v>156</v>
      </c>
    </row>
    <row r="145" spans="2:20" hidden="1">
      <c r="N145" s="189"/>
    </row>
    <row r="146" spans="2:20" hidden="1">
      <c r="B146" s="154" t="s">
        <v>154</v>
      </c>
      <c r="C146" s="178" t="s">
        <v>172</v>
      </c>
      <c r="E146" s="425"/>
      <c r="G146" s="426">
        <f>+E146*(C41+E41)</f>
        <v>0</v>
      </c>
      <c r="H146" s="426">
        <f>+E146*(C41+E41)*E41</f>
        <v>0</v>
      </c>
      <c r="I146" s="186">
        <f>+E146*(C41+E41)*F41</f>
        <v>0</v>
      </c>
      <c r="J146" s="186">
        <f>+E146*((C41+E41)*E41+(E41*D41))</f>
        <v>0</v>
      </c>
      <c r="K146" s="186">
        <f>+E146*(E41*2+D41*2)</f>
        <v>0</v>
      </c>
      <c r="L146" s="427">
        <f>+(E146)/H41+ IF(E146&gt;0,1,0)</f>
        <v>0</v>
      </c>
      <c r="M146" s="188">
        <f>+ROUNDUP(L146,0)</f>
        <v>0</v>
      </c>
      <c r="N146" s="189">
        <f>+(C41+E41-0.08)+(D41+E41-0.08)</f>
        <v>1.34</v>
      </c>
      <c r="O146" s="427">
        <f>+N146/J41+1</f>
        <v>6.36</v>
      </c>
      <c r="P146" s="188">
        <f>+ROUNDUP(O146,0)</f>
        <v>7</v>
      </c>
      <c r="Q146" s="188">
        <f>+E146+E146/6*50*(G41/1000)</f>
        <v>0</v>
      </c>
      <c r="R146" s="428">
        <f>+N146*M146+P146*Q146</f>
        <v>0</v>
      </c>
      <c r="S146" s="186">
        <f>((I41*I41)/162)*R146</f>
        <v>0</v>
      </c>
      <c r="T146" s="154" t="s">
        <v>156</v>
      </c>
    </row>
    <row r="147" spans="2:20" hidden="1">
      <c r="N147" s="189"/>
    </row>
    <row r="148" spans="2:20" hidden="1">
      <c r="B148" s="154" t="s">
        <v>154</v>
      </c>
      <c r="C148" s="178" t="s">
        <v>173</v>
      </c>
      <c r="E148" s="425"/>
      <c r="G148" s="426">
        <f>+E148*(C43+E43*2+1.5)</f>
        <v>0</v>
      </c>
      <c r="H148" s="426">
        <f>+E148*(C43+E43*2)*(((D43+E43+F43)*2+0.6)/2)</f>
        <v>0</v>
      </c>
      <c r="I148" s="186">
        <f>+(C43+E43*2)*E148*F43</f>
        <v>0</v>
      </c>
      <c r="J148" s="186">
        <f>+E148*((C43+E43*2)*E43+(D43*E43)+((D43+0.6)*E43))</f>
        <v>0</v>
      </c>
      <c r="K148" s="186">
        <f>+((D43*2)+$K$104*((D43+E43)+(D43+E43+0.6)))*E148</f>
        <v>0</v>
      </c>
      <c r="L148" s="427">
        <f>+(E148)/H43+ IF(E148&gt;0,1,0)</f>
        <v>0</v>
      </c>
      <c r="M148" s="188">
        <f>+ROUNDUP(L148,0)</f>
        <v>0</v>
      </c>
      <c r="N148" s="189">
        <f>+(E43+D43+E43+C43+2*E43+E43+D43+0.6+E43-9*0.04)+(E43+D43+2*E43-5*0.04)+(E43+0.6+D43+2*E43-5*0.04)+(C43+4*E43-6*0.04)</f>
        <v>6.2</v>
      </c>
      <c r="O148" s="427">
        <f>2*(D43/J43+1)+2*((D43+0.6)/J43+1)+((C43+2*E43)/J43+1)</f>
        <v>23</v>
      </c>
      <c r="P148" s="188">
        <f>+ROUNDUP(O148,0)</f>
        <v>23</v>
      </c>
      <c r="Q148" s="188">
        <f>+E148+E148/6*50*(G43/1000)</f>
        <v>0</v>
      </c>
      <c r="R148" s="428">
        <f>+N148*M148+P148*Q148</f>
        <v>0</v>
      </c>
      <c r="S148" s="186">
        <f>((I43*I43)/162)*R148</f>
        <v>0</v>
      </c>
      <c r="T148" s="154" t="s">
        <v>156</v>
      </c>
    </row>
    <row r="149" spans="2:20" hidden="1"/>
    <row r="150" spans="2:20" hidden="1">
      <c r="B150" s="154" t="s">
        <v>154</v>
      </c>
      <c r="C150" s="178" t="s">
        <v>174</v>
      </c>
      <c r="E150" s="425"/>
      <c r="G150" s="426">
        <f>+E150*(C45+E45*2+1.5)</f>
        <v>0</v>
      </c>
      <c r="H150" s="426">
        <f>+E150*(C45+E45*2)*(((D45+E45+F45)*2+0.6)/2)</f>
        <v>0</v>
      </c>
      <c r="I150" s="186">
        <f>+(C45+E45*2)*E150*F45</f>
        <v>0</v>
      </c>
      <c r="J150" s="186">
        <f>+E150*((C45+E45*2)*E45+(D45*E45)+((D45+0.6)*E45))</f>
        <v>0</v>
      </c>
      <c r="K150" s="186">
        <f>+((D45*2)+$K$104*((D45+E45)+(D45+E45+0.6)))*E150</f>
        <v>0</v>
      </c>
      <c r="L150" s="427">
        <f>+(E150)/H45+ IF(E150&gt;0,1,0)</f>
        <v>0</v>
      </c>
      <c r="M150" s="188">
        <f>+ROUNDUP(L150,0)</f>
        <v>0</v>
      </c>
      <c r="N150" s="189">
        <f>+(E45+D45+E45+C45+2*E45+E45+D45+0.6+E45-9*0.04)+(E45+D45+2*E45-5*0.04)+(E45+0.6+D45+2*E45-5*0.04)+(C45+4*E45-6*0.04)</f>
        <v>7.4000000000000012</v>
      </c>
      <c r="O150" s="427">
        <f>2*(D45/J45+1)+2*((D45+0.6)/J45+1)+((C45+2*E45)/J45+1)</f>
        <v>27</v>
      </c>
      <c r="P150" s="188">
        <f>+ROUNDUP(O150,0)</f>
        <v>27</v>
      </c>
      <c r="Q150" s="188">
        <f>+E150+E150/6*50*(G45/1000)</f>
        <v>0</v>
      </c>
      <c r="R150" s="428">
        <f>+N150*M150+P150*Q150</f>
        <v>0</v>
      </c>
      <c r="S150" s="186">
        <f>((I45*I45)/162)*R150</f>
        <v>0</v>
      </c>
      <c r="T150" s="154" t="s">
        <v>156</v>
      </c>
    </row>
    <row r="151" spans="2:20" hidden="1"/>
    <row r="152" spans="2:20" hidden="1">
      <c r="B152" s="154" t="s">
        <v>154</v>
      </c>
      <c r="C152" s="178" t="s">
        <v>175</v>
      </c>
      <c r="E152" s="425"/>
      <c r="G152" s="426">
        <f>+E152*(C47+E47*2+1.5)</f>
        <v>0</v>
      </c>
      <c r="H152" s="426">
        <f>+E152*(C47+E47*2)*(D47+F47+F47)</f>
        <v>0</v>
      </c>
      <c r="I152" s="186">
        <f>+(C47+E47*2)*E152*F47</f>
        <v>0</v>
      </c>
      <c r="J152" s="186">
        <f>+E152*((C47+E47*2)*E47+(D47*E47*2))</f>
        <v>0</v>
      </c>
      <c r="K152" s="186">
        <f>+(D47+$K$104*(D47+E47))*E152*2</f>
        <v>0</v>
      </c>
      <c r="L152" s="427">
        <f>+(E152)/H47+ IF(E152&gt;0,1,0)</f>
        <v>0</v>
      </c>
      <c r="M152" s="188">
        <f>+ROUNDUP(L152,0)</f>
        <v>0</v>
      </c>
      <c r="N152" s="189">
        <f>+(D47+E47-0.08)*2+(C47+E47*2-0.08)</f>
        <v>2.36</v>
      </c>
      <c r="O152" s="427">
        <f>+N152/J47+1</f>
        <v>10.44</v>
      </c>
      <c r="P152" s="188">
        <f>+ROUNDUP(O152,0)</f>
        <v>11</v>
      </c>
      <c r="Q152" s="188">
        <f>+E152+E152/6*50*(G47/1000)</f>
        <v>0</v>
      </c>
      <c r="R152" s="428">
        <f>+N152*M152+P152*Q152</f>
        <v>0</v>
      </c>
      <c r="S152" s="186">
        <f>((I47*I47)/162)*R152</f>
        <v>0</v>
      </c>
      <c r="T152" s="154" t="s">
        <v>156</v>
      </c>
    </row>
    <row r="153" spans="2:20" hidden="1">
      <c r="C153" s="154" t="s">
        <v>101</v>
      </c>
      <c r="D153" s="191">
        <f>ROUNDUP(+E152/K47,0)</f>
        <v>0</v>
      </c>
      <c r="E153" s="425"/>
      <c r="G153" s="429"/>
      <c r="H153" s="429"/>
      <c r="I153" s="191"/>
      <c r="J153" s="191">
        <f>0.5*(0.075+0.05)*0.075*C47*D153</f>
        <v>0</v>
      </c>
      <c r="K153" s="191">
        <f>+(0.075+0.08)*C47*D153</f>
        <v>0</v>
      </c>
      <c r="L153" s="430">
        <f>+D153</f>
        <v>0</v>
      </c>
      <c r="M153" s="188">
        <f>+ROUNDUP(L153,0)</f>
        <v>0</v>
      </c>
      <c r="N153" s="194">
        <f>+(C47-0.08)+((0.075+0.05-2*0.04)*2)</f>
        <v>1.01</v>
      </c>
      <c r="O153" s="430"/>
      <c r="P153" s="195"/>
      <c r="Q153" s="195"/>
      <c r="R153" s="428">
        <f>+N153*M153+P153*Q153</f>
        <v>0</v>
      </c>
      <c r="S153" s="186">
        <f>((I47*I47)/162)*R153</f>
        <v>0</v>
      </c>
      <c r="T153" s="154" t="s">
        <v>156</v>
      </c>
    </row>
    <row r="154" spans="2:20" hidden="1">
      <c r="E154" s="425"/>
    </row>
    <row r="155" spans="2:20" hidden="1">
      <c r="B155" s="154" t="s">
        <v>154</v>
      </c>
      <c r="C155" s="178" t="s">
        <v>176</v>
      </c>
      <c r="E155" s="425"/>
      <c r="G155" s="426">
        <f>+E155*(C50+E50*2+1.5)</f>
        <v>0</v>
      </c>
      <c r="H155" s="426">
        <f>+E155*(C50+E50*2)*(D50+F50+F50)</f>
        <v>0</v>
      </c>
      <c r="I155" s="186">
        <f>+(C50+E50*2)*E155*F50</f>
        <v>0</v>
      </c>
      <c r="J155" s="186">
        <f>+E155*((C50+E50*2)*E50+(D50*E50*2))</f>
        <v>0</v>
      </c>
      <c r="K155" s="186">
        <f>+(D50+$K$104*(D50+E50))*E155*2</f>
        <v>0</v>
      </c>
      <c r="L155" s="427">
        <f>+(E155)/H50+ IF(E155&gt;0,1,0)</f>
        <v>0</v>
      </c>
      <c r="M155" s="188">
        <f>+ROUNDUP(L155,0)</f>
        <v>0</v>
      </c>
      <c r="N155" s="189">
        <f>+(D50+E50-0.08)*2+(C50+E50*2-0.08)</f>
        <v>2.8600000000000003</v>
      </c>
      <c r="O155" s="427">
        <f>+N155/J50+1</f>
        <v>12.440000000000001</v>
      </c>
      <c r="P155" s="188">
        <f>+ROUNDUP(O155,0)</f>
        <v>13</v>
      </c>
      <c r="Q155" s="188">
        <f>+E155+E155/6*50*(G50/1000)</f>
        <v>0</v>
      </c>
      <c r="R155" s="428">
        <f>+N155*M155+P155*Q155</f>
        <v>0</v>
      </c>
      <c r="S155" s="186">
        <f>((I50*I50)/162)*R155</f>
        <v>0</v>
      </c>
      <c r="T155" s="154" t="s">
        <v>156</v>
      </c>
    </row>
    <row r="156" spans="2:20" hidden="1">
      <c r="C156" s="154" t="s">
        <v>101</v>
      </c>
      <c r="D156" s="191">
        <f>ROUNDUP(+E155/K50,0)</f>
        <v>0</v>
      </c>
      <c r="E156" s="425"/>
      <c r="G156" s="429"/>
      <c r="H156" s="429"/>
      <c r="I156" s="191"/>
      <c r="J156" s="191">
        <f>0.5*(0.075+0.05)*0.075*C50*D156</f>
        <v>0</v>
      </c>
      <c r="K156" s="191">
        <f>+(0.075+0.08)*C50*D156</f>
        <v>0</v>
      </c>
      <c r="L156" s="430">
        <f>+D156</f>
        <v>0</v>
      </c>
      <c r="M156" s="188">
        <f>+ROUNDUP(L156,0)</f>
        <v>0</v>
      </c>
      <c r="N156" s="194">
        <f>+(C50-0.08)+((0.075+0.05-2*0.04)*2)</f>
        <v>1.01</v>
      </c>
      <c r="O156" s="430"/>
      <c r="P156" s="195"/>
      <c r="Q156" s="195"/>
      <c r="R156" s="428">
        <f>+N156*M156+P156*Q156</f>
        <v>0</v>
      </c>
      <c r="S156" s="186">
        <f>((I50*I50)/162)*R156</f>
        <v>0</v>
      </c>
      <c r="T156" s="154" t="s">
        <v>156</v>
      </c>
    </row>
    <row r="157" spans="2:20" hidden="1"/>
    <row r="158" spans="2:20" hidden="1">
      <c r="B158" s="154" t="s">
        <v>154</v>
      </c>
      <c r="C158" s="178" t="s">
        <v>177</v>
      </c>
      <c r="E158" s="425"/>
      <c r="G158" s="426">
        <f>+E158*(C53+E53*2+1.5)</f>
        <v>0</v>
      </c>
      <c r="H158" s="426">
        <f>+E158*(C53+E53*2)*(D53+F53+F53)</f>
        <v>0</v>
      </c>
      <c r="I158" s="186">
        <f>+(C53+E53*2)*E158*F53</f>
        <v>0</v>
      </c>
      <c r="J158" s="186">
        <f>+E158*((C53+E53*2)*E53+(D53*E53*2))</f>
        <v>0</v>
      </c>
      <c r="K158" s="186">
        <f>+(D53+$K$104*(D53+E53))*E158*2</f>
        <v>0</v>
      </c>
      <c r="L158" s="427">
        <f>+(E158)/H53+ IF(E158&gt;0,1,0)</f>
        <v>0</v>
      </c>
      <c r="M158" s="188">
        <f>+ROUNDUP(L158,0)</f>
        <v>0</v>
      </c>
      <c r="N158" s="189">
        <f>+(E53+D53+E53+C53+2*E53+D53+2*E53-0.04*10)+(E53+D53+2*E53-5*0.04)*2+(C53+4*E53-6*0.04)</f>
        <v>6.96</v>
      </c>
      <c r="O158" s="427">
        <f>(2*(D53+E53)+(C53+2*E53)-6*0.04)/J53*2</f>
        <v>26.08</v>
      </c>
      <c r="P158" s="188">
        <f>+ROUNDUP(O158,0)</f>
        <v>27</v>
      </c>
      <c r="Q158" s="188">
        <f>+E158+E158/6*50*(G53/1000)</f>
        <v>0</v>
      </c>
      <c r="R158" s="428">
        <f>+N158*M158+P158*Q158</f>
        <v>0</v>
      </c>
      <c r="S158" s="186">
        <f>((I53*I53)/162)*R158</f>
        <v>0</v>
      </c>
      <c r="T158" s="154" t="s">
        <v>156</v>
      </c>
    </row>
    <row r="159" spans="2:20" hidden="1">
      <c r="C159" s="154" t="s">
        <v>101</v>
      </c>
      <c r="D159" s="191">
        <f>ROUNDUP(+E158/K53,0)</f>
        <v>0</v>
      </c>
      <c r="E159" s="425"/>
      <c r="G159" s="429"/>
      <c r="H159" s="429"/>
      <c r="I159" s="191"/>
      <c r="J159" s="191">
        <f>0.5*(0.075+0.05)*0.075*C53*D159</f>
        <v>0</v>
      </c>
      <c r="K159" s="191">
        <f>+(0.075+0.08)*C53*D159</f>
        <v>0</v>
      </c>
      <c r="L159" s="430">
        <f>+D159</f>
        <v>0</v>
      </c>
      <c r="M159" s="188">
        <f>+ROUNDUP(L159,0)</f>
        <v>0</v>
      </c>
      <c r="N159" s="194">
        <f>+(C53-0.08)+((0.075+0.05-2*0.04)*2)</f>
        <v>1.01</v>
      </c>
      <c r="O159" s="430"/>
      <c r="P159" s="195"/>
      <c r="Q159" s="195"/>
      <c r="R159" s="428">
        <f>+N159*M159+P159*Q159</f>
        <v>0</v>
      </c>
      <c r="S159" s="186">
        <f>((I53*I53)/162)*R159</f>
        <v>0</v>
      </c>
      <c r="T159" s="154" t="s">
        <v>156</v>
      </c>
    </row>
    <row r="160" spans="2:20" hidden="1"/>
    <row r="161" spans="2:20" hidden="1">
      <c r="B161" s="154" t="s">
        <v>154</v>
      </c>
      <c r="C161" s="178" t="s">
        <v>178</v>
      </c>
      <c r="E161" s="425"/>
      <c r="G161" s="426">
        <f>+E161*(C56+E56*2+1.5)</f>
        <v>0</v>
      </c>
      <c r="H161" s="426">
        <f>+E161*(C56+E56*2)*(D56+F56+F56)</f>
        <v>0</v>
      </c>
      <c r="I161" s="186">
        <f>+(C56+E56*2)*E161*F56</f>
        <v>0</v>
      </c>
      <c r="J161" s="186">
        <f>+E161*((C56+E56*2)*E56+(D56*E56*2))</f>
        <v>0</v>
      </c>
      <c r="K161" s="186">
        <f>+(D56+$K$104*(D56+E56))*E161*2</f>
        <v>0</v>
      </c>
      <c r="L161" s="427">
        <f>+(E161)/H56+ IF(E161&gt;0,1,0)</f>
        <v>0</v>
      </c>
      <c r="M161" s="188">
        <f>+ROUNDUP(L161,0)</f>
        <v>0</v>
      </c>
      <c r="N161" s="189">
        <f>+(E56+D56+E56+C56+2*E56+D56+2*E56-0.04*10)+(E56+D56+2*E56-5*0.04)*2+(C56+4*E56-6*0.04)</f>
        <v>6.96</v>
      </c>
      <c r="O161" s="427">
        <f>(2*(D56+E56)+(C56+2*E56)-6*0.04)/J56*2</f>
        <v>26.08</v>
      </c>
      <c r="P161" s="188">
        <f>+ROUNDUP(O161,0)</f>
        <v>27</v>
      </c>
      <c r="Q161" s="188">
        <f>+E161+E161/6*50*(G56/1000)</f>
        <v>0</v>
      </c>
      <c r="R161" s="428">
        <f>+N161*M161+P161*Q161</f>
        <v>0</v>
      </c>
      <c r="S161" s="186">
        <f>((I56*I56)/162)*R161</f>
        <v>0</v>
      </c>
      <c r="T161" s="154" t="s">
        <v>156</v>
      </c>
    </row>
    <row r="162" spans="2:20" hidden="1">
      <c r="C162" s="154" t="s">
        <v>101</v>
      </c>
      <c r="D162" s="191">
        <f>ROUNDUP(+E161/K56,0)</f>
        <v>0</v>
      </c>
      <c r="E162" s="425"/>
      <c r="G162" s="429"/>
      <c r="H162" s="429"/>
      <c r="I162" s="191"/>
      <c r="J162" s="191">
        <f>0.5*(0.075+0.05)*0.075*C56*D162</f>
        <v>0</v>
      </c>
      <c r="K162" s="191">
        <f>+(0.075+0.08)*C56*D162</f>
        <v>0</v>
      </c>
      <c r="L162" s="430">
        <f>+D162</f>
        <v>0</v>
      </c>
      <c r="M162" s="188">
        <f>+ROUNDUP(L162,0)</f>
        <v>0</v>
      </c>
      <c r="N162" s="194">
        <f>+(C56-0.08)+((0.075+0.05-2*0.04)*2)</f>
        <v>1.01</v>
      </c>
      <c r="O162" s="430"/>
      <c r="P162" s="195"/>
      <c r="Q162" s="195"/>
      <c r="R162" s="428">
        <f>+N162*M162+P162*Q162</f>
        <v>0</v>
      </c>
      <c r="S162" s="186">
        <f>((I56*I56)/162)*R162</f>
        <v>0</v>
      </c>
      <c r="T162" s="154" t="s">
        <v>156</v>
      </c>
    </row>
    <row r="163" spans="2:20" hidden="1"/>
    <row r="164" spans="2:20">
      <c r="B164" s="205" t="s">
        <v>179</v>
      </c>
      <c r="C164" s="178" t="s">
        <v>180</v>
      </c>
      <c r="E164" s="425">
        <v>7.42</v>
      </c>
      <c r="G164" s="426">
        <f>+E164*(C59+E59*2+1)</f>
        <v>12.242999999999999</v>
      </c>
      <c r="H164" s="426">
        <f>(+E164*(C59+E59*2)*(D59+F59+F59))*50%</f>
        <v>1.3263250000000002</v>
      </c>
      <c r="I164" s="186">
        <f>+(C59+E59*2)*E164*F59</f>
        <v>0.24115000000000003</v>
      </c>
      <c r="J164" s="186">
        <f>+E164*((C59+E59*2+0.06)*E59+(D59*E59*2))</f>
        <v>1.19462</v>
      </c>
      <c r="K164" s="186">
        <f>+(D59+(D59+E59))*E164*2</f>
        <v>14.84</v>
      </c>
      <c r="L164" s="427">
        <f>+(E164)/H59+ IF(E164&gt;0,1,0)</f>
        <v>30.68</v>
      </c>
      <c r="M164" s="188">
        <f>+ROUNDUP(L164,0)</f>
        <v>31</v>
      </c>
      <c r="N164" s="189">
        <f>+(D59+E59-0.08)*2+(C59+E59*2-0.08)</f>
        <v>1.5100000000000002</v>
      </c>
      <c r="O164" s="427">
        <f>+N164/J59+1</f>
        <v>7.0400000000000009</v>
      </c>
      <c r="P164" s="188">
        <f>+ROUNDUP(O164,0)</f>
        <v>8</v>
      </c>
      <c r="Q164" s="188">
        <f>+E164+E164/6*50*(G59/1000)</f>
        <v>8.038333333333334</v>
      </c>
      <c r="R164" s="428">
        <f>+N164*M164+P164*Q164</f>
        <v>111.11666666666667</v>
      </c>
      <c r="S164" s="186">
        <f>((I59*I59)/162)*R164</f>
        <v>68.590534979423865</v>
      </c>
      <c r="T164" s="154" t="s">
        <v>156</v>
      </c>
    </row>
    <row r="165" spans="2:20">
      <c r="C165" s="154" t="s">
        <v>181</v>
      </c>
      <c r="D165" s="191">
        <f>ROUNDUP(+(E164/SQRT(L59^2+M59^2)),0)</f>
        <v>20</v>
      </c>
      <c r="E165" s="425"/>
      <c r="G165" s="429"/>
      <c r="H165" s="429"/>
      <c r="I165" s="191"/>
      <c r="J165" s="191">
        <f>0.5*(0.075+0.05)*0.075*C59*D165</f>
        <v>4.2187500000000003E-2</v>
      </c>
      <c r="K165" s="191">
        <f>+M59*C59*D165</f>
        <v>2.4750000000000001</v>
      </c>
      <c r="L165" s="430"/>
      <c r="M165" s="188">
        <f>+ROUNDUP(L165,0)</f>
        <v>0</v>
      </c>
      <c r="N165" s="194"/>
      <c r="O165" s="430"/>
      <c r="P165" s="195"/>
      <c r="Q165" s="195"/>
      <c r="R165" s="428">
        <f>+N165*M165+P165*Q165</f>
        <v>0</v>
      </c>
      <c r="S165" s="186">
        <f>((I59*I59)/162)*R165</f>
        <v>0</v>
      </c>
    </row>
    <row r="166" spans="2:20">
      <c r="C166" s="154" t="s">
        <v>182</v>
      </c>
      <c r="D166" s="154">
        <f>ROUNDUP(+E164/1,0)</f>
        <v>8</v>
      </c>
    </row>
    <row r="168" spans="2:20" hidden="1">
      <c r="B168" s="205" t="s">
        <v>179</v>
      </c>
      <c r="C168" s="178" t="s">
        <v>183</v>
      </c>
      <c r="E168" s="425">
        <v>47.1</v>
      </c>
      <c r="G168" s="426">
        <f>+E168*(C63+E63*2+1)</f>
        <v>77.715000000000003</v>
      </c>
      <c r="H168" s="426">
        <f>(+E168*(C63+E63*2)*(D63+F63+F63))*50%</f>
        <v>10.715250000000001</v>
      </c>
      <c r="I168" s="186">
        <f>+(C63+E63*2)*E168*F63</f>
        <v>1.5307500000000003</v>
      </c>
      <c r="J168" s="186">
        <f>+E168*((C63+E63*2+0.06)*E63+(D63*E63*2))</f>
        <v>8.9961000000000002</v>
      </c>
      <c r="K168" s="186">
        <f>+(D63+(D63+E63))*E168*2</f>
        <v>122.46</v>
      </c>
      <c r="L168" s="427">
        <f>+(E168)/H63+ IF(E168&gt;0,1,0)</f>
        <v>189.4</v>
      </c>
      <c r="M168" s="188">
        <f>+ROUNDUP(L168,0)</f>
        <v>190</v>
      </c>
      <c r="N168" s="189">
        <f>+(D63+E63-0.08)*2+(C63+E63*2-0.08)</f>
        <v>1.81</v>
      </c>
      <c r="O168" s="427">
        <f>+N168/J63+1</f>
        <v>8.24</v>
      </c>
      <c r="P168" s="188">
        <f>+ROUNDUP(O168,0)</f>
        <v>9</v>
      </c>
      <c r="Q168" s="188">
        <f>+E168+E168/6*50*(G63/1000)</f>
        <v>51.024999999999999</v>
      </c>
      <c r="R168" s="428">
        <f>+N168*M168+P168*Q168</f>
        <v>803.125</v>
      </c>
      <c r="S168" s="186">
        <f>((I63*I63)/162)*R168</f>
        <v>495.75617283950612</v>
      </c>
      <c r="T168" s="154" t="s">
        <v>156</v>
      </c>
    </row>
    <row r="169" spans="2:20" hidden="1">
      <c r="C169" s="154" t="s">
        <v>181</v>
      </c>
      <c r="D169" s="191">
        <f>ROUNDUP(+(E168/SQRT(L63^2+M63^2)),0)</f>
        <v>122</v>
      </c>
      <c r="E169" s="425"/>
      <c r="G169" s="429"/>
      <c r="H169" s="429"/>
      <c r="I169" s="191"/>
      <c r="J169" s="191">
        <f>0.5*(0.075+0.05)*0.075*C63*D169</f>
        <v>0.25734375000000004</v>
      </c>
      <c r="K169" s="191">
        <f>+M63*C63*D169</f>
        <v>15.097500000000002</v>
      </c>
      <c r="L169" s="430"/>
      <c r="M169" s="188">
        <f>+ROUNDUP(L169,0)</f>
        <v>0</v>
      </c>
      <c r="N169" s="194"/>
      <c r="O169" s="430"/>
      <c r="P169" s="195"/>
      <c r="Q169" s="195"/>
      <c r="R169" s="428">
        <f>+N169*M169+P169*Q169</f>
        <v>0</v>
      </c>
      <c r="S169" s="186">
        <f>((I63*I63)/162)*R169</f>
        <v>0</v>
      </c>
    </row>
    <row r="170" spans="2:20" hidden="1">
      <c r="C170" s="154" t="s">
        <v>182</v>
      </c>
      <c r="D170" s="154">
        <f>ROUNDUP(+E168/1,0)</f>
        <v>48</v>
      </c>
    </row>
    <row r="171" spans="2:20" hidden="1">
      <c r="K171" s="186"/>
    </row>
    <row r="172" spans="2:20" hidden="1">
      <c r="B172" s="205" t="s">
        <v>179</v>
      </c>
      <c r="C172" s="178" t="s">
        <v>184</v>
      </c>
      <c r="E172" s="425">
        <v>73.25</v>
      </c>
      <c r="G172" s="426">
        <f>+E172*(C67+E67*2+1)</f>
        <v>131.85</v>
      </c>
      <c r="H172" s="426">
        <f>(+E172*(C67+E67*2)*(D67+F67+F67))*50%</f>
        <v>20.51</v>
      </c>
      <c r="I172" s="186">
        <f>+(C67+E67*2)*E172*F67</f>
        <v>2.93</v>
      </c>
      <c r="J172" s="186">
        <f>+E172*((C67+E67*2+0.06)*E67+(D67*E67*2))</f>
        <v>15.089500000000001</v>
      </c>
      <c r="K172" s="186">
        <f>+(D67+(D67+E67))*E172*2</f>
        <v>190.44999999999996</v>
      </c>
      <c r="L172" s="427">
        <f>+(E172)/H67+ IF(E172&gt;0,1,0)</f>
        <v>294</v>
      </c>
      <c r="M172" s="188">
        <f>+ROUNDUP(L172,0)</f>
        <v>294</v>
      </c>
      <c r="N172" s="189">
        <f>+(D67+E67-0.08)*2+(C67+E67*2-0.08)</f>
        <v>1.96</v>
      </c>
      <c r="O172" s="427">
        <f>+N172/J67+1</f>
        <v>8.84</v>
      </c>
      <c r="P172" s="188">
        <f>+ROUNDUP(O172,0)</f>
        <v>9</v>
      </c>
      <c r="Q172" s="188">
        <f>+E172+E172/6*50*(G67/1000)</f>
        <v>79.354166666666671</v>
      </c>
      <c r="R172" s="428">
        <f>+N172*M172+P172*Q172</f>
        <v>1290.4275</v>
      </c>
      <c r="S172" s="186">
        <f>((I67*I67)/162)*R172</f>
        <v>796.56018518518511</v>
      </c>
      <c r="T172" s="154" t="s">
        <v>156</v>
      </c>
    </row>
    <row r="173" spans="2:20" hidden="1">
      <c r="C173" s="154" t="s">
        <v>181</v>
      </c>
      <c r="D173" s="191">
        <f>ROUNDUP(+(E172/SQRT(L67^2+M67^2)),0)</f>
        <v>189</v>
      </c>
      <c r="E173" s="425"/>
      <c r="G173" s="429"/>
      <c r="H173" s="429"/>
      <c r="I173" s="191"/>
      <c r="J173" s="191">
        <f>0.5*(0.075+0.05)*0.075*C67*D173</f>
        <v>0.53156249999999994</v>
      </c>
      <c r="K173" s="191">
        <f>+M67*C67*D173</f>
        <v>31.185000000000002</v>
      </c>
      <c r="L173" s="430"/>
      <c r="M173" s="188">
        <f>+ROUNDUP(L173,0)</f>
        <v>0</v>
      </c>
      <c r="N173" s="194"/>
      <c r="O173" s="430"/>
      <c r="P173" s="195"/>
      <c r="Q173" s="195"/>
      <c r="R173" s="428">
        <f>+N173*M173+P173*Q173</f>
        <v>0</v>
      </c>
      <c r="S173" s="186">
        <f>((I67*I67)/162)*R173</f>
        <v>0</v>
      </c>
    </row>
    <row r="174" spans="2:20" hidden="1">
      <c r="C174" s="154" t="s">
        <v>182</v>
      </c>
      <c r="D174" s="154">
        <f>ROUNDUP(+E172/1,0)</f>
        <v>74</v>
      </c>
    </row>
    <row r="175" spans="2:20" hidden="1"/>
    <row r="176" spans="2:20" hidden="1">
      <c r="B176" s="205" t="s">
        <v>179</v>
      </c>
      <c r="C176" s="178" t="s">
        <v>185</v>
      </c>
      <c r="E176" s="184">
        <v>8.6</v>
      </c>
      <c r="G176" s="196">
        <f>+E176*(C71+E71*2+1)</f>
        <v>17.2</v>
      </c>
      <c r="H176" s="196">
        <f>(+E176*(C71+E71*2)*(D71+F71+F71))*50%</f>
        <v>3.8700000000000006</v>
      </c>
      <c r="I176" s="197">
        <f>+(C71+E71*2)*E176*F71</f>
        <v>0.43</v>
      </c>
      <c r="J176" s="197">
        <f>+E176*((C71+E71*2+0.06)*E71+(D71*E71*2))</f>
        <v>2.2875999999999999</v>
      </c>
      <c r="K176" s="197">
        <f>+(D71+(D71+E71))*E176*2</f>
        <v>29.240000000000002</v>
      </c>
      <c r="L176" s="187">
        <f>+(E176)/H71+ IF(E176&gt;0,1,0)</f>
        <v>35.4</v>
      </c>
      <c r="M176" s="198">
        <f>+ROUNDUP(L176,0)</f>
        <v>36</v>
      </c>
      <c r="N176" s="189">
        <f>+(D71+E71-0.08)*2+(C71+E71*2-0.08)</f>
        <v>2.56</v>
      </c>
      <c r="O176" s="187">
        <f>+N176/J71+1</f>
        <v>11.24</v>
      </c>
      <c r="P176" s="198">
        <f>+ROUNDUP(O176,0)</f>
        <v>12</v>
      </c>
      <c r="Q176" s="188">
        <f>+E176+E176/6*50*(G71/1000)</f>
        <v>9.3166666666666664</v>
      </c>
      <c r="R176" s="190">
        <f>+N176*M176+P176*Q176</f>
        <v>203.95999999999998</v>
      </c>
      <c r="S176" s="197">
        <f>((I71*I71)/162)*R176</f>
        <v>125.90123456790121</v>
      </c>
      <c r="T176" s="154" t="s">
        <v>156</v>
      </c>
    </row>
    <row r="177" spans="2:20" hidden="1">
      <c r="C177" s="154" t="s">
        <v>181</v>
      </c>
      <c r="D177" s="191">
        <f>ROUNDUP(+(E176/SQRT(L71^2+M71^2)),0)</f>
        <v>23</v>
      </c>
      <c r="E177" s="184"/>
      <c r="G177" s="199"/>
      <c r="H177" s="199"/>
      <c r="I177" s="200"/>
      <c r="J177" s="200">
        <f>0.5*(0.075+0.05)*0.075*C71*D177</f>
        <v>8.6249999999999993E-2</v>
      </c>
      <c r="K177" s="200">
        <f>+M71*C71*D177</f>
        <v>5.0600000000000005</v>
      </c>
      <c r="L177" s="193"/>
      <c r="M177" s="198">
        <f>+ROUNDUP(L177,0)</f>
        <v>0</v>
      </c>
      <c r="N177" s="194"/>
      <c r="O177" s="193"/>
      <c r="P177" s="201"/>
      <c r="Q177" s="195"/>
      <c r="R177" s="190">
        <f>+N177*M177+P177*Q177</f>
        <v>0</v>
      </c>
      <c r="S177" s="197">
        <f>((I71*I71)/162)*R177</f>
        <v>0</v>
      </c>
    </row>
    <row r="178" spans="2:20" hidden="1">
      <c r="C178" s="154" t="s">
        <v>182</v>
      </c>
      <c r="D178" s="154">
        <f>ROUNDUP(+E176/1,0)</f>
        <v>9</v>
      </c>
      <c r="H178" s="191"/>
    </row>
    <row r="179" spans="2:20" hidden="1"/>
    <row r="180" spans="2:20" hidden="1">
      <c r="B180" s="207" t="s">
        <v>179</v>
      </c>
      <c r="C180" s="178" t="s">
        <v>186</v>
      </c>
      <c r="E180" s="184">
        <v>13.83</v>
      </c>
      <c r="G180" s="196">
        <f>+E180*(C75+E75*2+1)</f>
        <v>31.1175</v>
      </c>
      <c r="H180" s="196">
        <f>(+E180*(C75+E75*2)*(D75+F75+F75))*50%</f>
        <v>9.5081250000000015</v>
      </c>
      <c r="I180" s="197">
        <f>+(C75+E75*2)*E180*F75</f>
        <v>0.86437500000000012</v>
      </c>
      <c r="J180" s="197">
        <f>+E180*((C75+E75*2+0.06)*E75+(D75*E75*2))</f>
        <v>5.7221625000000005</v>
      </c>
      <c r="K180" s="197">
        <f>+(D75+(D75+E75))*E180*2</f>
        <v>58.777500000000003</v>
      </c>
      <c r="L180" s="187">
        <f>+(E180)/H75+ IF(E180&gt;0,1,0)</f>
        <v>56.32</v>
      </c>
      <c r="M180" s="198">
        <f>+ROUNDUP(L180,0)</f>
        <v>57</v>
      </c>
      <c r="N180" s="189">
        <f>+(D75+E75-0.08)*2+(C75+E75*2-0.08)</f>
        <v>3.26</v>
      </c>
      <c r="O180" s="187">
        <f>+N180/J75+1</f>
        <v>14.04</v>
      </c>
      <c r="P180" s="198">
        <f>+ROUNDUP(O180,0)</f>
        <v>15</v>
      </c>
      <c r="Q180" s="188">
        <f>+E180+E180/6*50*(G75/1000)</f>
        <v>14.9825</v>
      </c>
      <c r="R180" s="190">
        <f>+N180*M180+P180*Q180</f>
        <v>410.5575</v>
      </c>
      <c r="S180" s="197">
        <f>((I75*I75)/162)*R180</f>
        <v>253.43055555555554</v>
      </c>
      <c r="T180" s="154" t="s">
        <v>156</v>
      </c>
    </row>
    <row r="181" spans="2:20" hidden="1">
      <c r="C181" s="154" t="s">
        <v>181</v>
      </c>
      <c r="D181" s="191">
        <f>ROUNDUP(+(E180/SQRT(L75^2+M75^2)),0)</f>
        <v>36</v>
      </c>
      <c r="E181" s="184"/>
      <c r="G181" s="199"/>
      <c r="H181" s="199"/>
      <c r="I181" s="200"/>
      <c r="J181" s="200">
        <f>0.5*(0.075+0.05)*0.075*C75*D181</f>
        <v>0.16874999999999998</v>
      </c>
      <c r="K181" s="200">
        <f>+M75*C75*D181</f>
        <v>9.9</v>
      </c>
      <c r="L181" s="193"/>
      <c r="M181" s="198">
        <f>+ROUNDUP(L181,0)</f>
        <v>0</v>
      </c>
      <c r="N181" s="194"/>
      <c r="O181" s="193"/>
      <c r="P181" s="201"/>
      <c r="Q181" s="195"/>
      <c r="R181" s="190">
        <f>+N181*M181+P181*Q181</f>
        <v>0</v>
      </c>
      <c r="S181" s="197">
        <f>((I75*I75)/162)*R181</f>
        <v>0</v>
      </c>
    </row>
    <row r="182" spans="2:20" hidden="1">
      <c r="C182" s="154" t="s">
        <v>182</v>
      </c>
      <c r="D182" s="154">
        <f>ROUNDUP(+E180/1,0)</f>
        <v>14</v>
      </c>
    </row>
    <row r="183" spans="2:20" hidden="1"/>
    <row r="184" spans="2:20" hidden="1">
      <c r="B184" s="205" t="s">
        <v>187</v>
      </c>
      <c r="C184" s="178" t="s">
        <v>180</v>
      </c>
      <c r="E184" s="184">
        <v>100</v>
      </c>
      <c r="G184" s="196">
        <f>+E184*(C79+E79*2+1)</f>
        <v>165</v>
      </c>
      <c r="H184" s="196">
        <f>0.5*L79*M79*D185</f>
        <v>20.25</v>
      </c>
      <c r="I184" s="197">
        <f>+(L79*(C79+2*E79)*D185*E79)</f>
        <v>5.8500000000000014</v>
      </c>
      <c r="J184" s="197">
        <f>+D185*(L79+M79)*E79*(C79+2*E79)+D185*((L79+M79)*E79*D79)*2</f>
        <v>20.925000000000001</v>
      </c>
      <c r="K184" s="197">
        <f>+(D79+(D79+E79))*E184*2</f>
        <v>200</v>
      </c>
      <c r="L184" s="187">
        <f>+(D185*(L79+M79))/H79+ IF(E184&gt;0,1,0)</f>
        <v>541</v>
      </c>
      <c r="M184" s="198">
        <f>+ROUNDUP(L184,0)</f>
        <v>541</v>
      </c>
      <c r="N184" s="189">
        <f>+(D79+E79-0.08)*2+(C79+E79*2-0.08)</f>
        <v>1.5100000000000002</v>
      </c>
      <c r="O184" s="187">
        <f>+N184/J79+1</f>
        <v>7.0400000000000009</v>
      </c>
      <c r="P184" s="198">
        <f>+ROUNDUP(O184,0)</f>
        <v>8</v>
      </c>
      <c r="Q184" s="188">
        <f>+(L79+M79-2*0.04)*D185+(((L79+M79-2*0.04)*D185)/6*50*(I79/1000))</f>
        <v>137.58333333333334</v>
      </c>
      <c r="R184" s="190">
        <f>+N184*M184+P184*Q184</f>
        <v>1917.5766666666668</v>
      </c>
      <c r="S184" s="197">
        <f>((I79*I79)/162)*R184</f>
        <v>1183.6893004115227</v>
      </c>
      <c r="T184" s="154" t="s">
        <v>156</v>
      </c>
    </row>
    <row r="185" spans="2:20" hidden="1">
      <c r="C185" s="154" t="s">
        <v>181</v>
      </c>
      <c r="D185" s="191">
        <f>ROUNDUP(+(E184/SQRT(L79^2+M79^2)),0)</f>
        <v>100</v>
      </c>
      <c r="E185" s="184"/>
      <c r="G185" s="199"/>
      <c r="H185" s="199"/>
      <c r="I185" s="200"/>
      <c r="J185" s="200"/>
      <c r="K185" s="200"/>
      <c r="L185" s="193"/>
      <c r="M185" s="198"/>
      <c r="N185" s="194"/>
      <c r="O185" s="193"/>
      <c r="P185" s="201"/>
      <c r="Q185" s="195"/>
      <c r="R185" s="190"/>
      <c r="S185" s="197"/>
    </row>
    <row r="186" spans="2:20" hidden="1">
      <c r="C186" s="154" t="s">
        <v>182</v>
      </c>
      <c r="D186" s="154">
        <f>ROUNDUP(+E184/1,0)</f>
        <v>100</v>
      </c>
    </row>
    <row r="187" spans="2:20" hidden="1"/>
    <row r="188" spans="2:20" hidden="1">
      <c r="B188" s="205" t="s">
        <v>187</v>
      </c>
      <c r="C188" s="178" t="s">
        <v>183</v>
      </c>
      <c r="E188" s="184">
        <v>28.19</v>
      </c>
      <c r="G188" s="196">
        <f>+E188*(C83+E83*2+1)</f>
        <v>46.513500000000001</v>
      </c>
      <c r="H188" s="196">
        <f>0.5*L83*M83*D189</f>
        <v>5.8725000000000005</v>
      </c>
      <c r="I188" s="197">
        <f>+(L83*(C83+2*E83)*D189*E83)</f>
        <v>1.6965000000000003</v>
      </c>
      <c r="J188" s="197">
        <f>+D189*(L83+M83)*E83*(C83+2*E83)+D189*((L83+M83)*E83*D83)*2</f>
        <v>7.2427500000000009</v>
      </c>
      <c r="K188" s="197">
        <f>+(D83+(D83+E83))*E188*2</f>
        <v>73.293999999999997</v>
      </c>
      <c r="L188" s="187">
        <f>+(D189*(L83+M83))/H83+ IF(E188&gt;0,1,0)</f>
        <v>157.60000000000002</v>
      </c>
      <c r="M188" s="198">
        <f>+ROUNDUP(L188,0)</f>
        <v>158</v>
      </c>
      <c r="N188" s="189">
        <f>+(D83+E83-0.08)*2+(C83+E83*2-0.08)</f>
        <v>1.81</v>
      </c>
      <c r="O188" s="187">
        <f>+N188/J83+1</f>
        <v>8.24</v>
      </c>
      <c r="P188" s="198">
        <f>+ROUNDUP(O188,0)</f>
        <v>9</v>
      </c>
      <c r="Q188" s="188">
        <f>+(L83+M83-2*0.04)*D189+(((L83+M83-2*0.04)*D189)/6*50*(I83/1000))</f>
        <v>39.899166666666666</v>
      </c>
      <c r="R188" s="190">
        <f>+N188*M188+P188*Q188</f>
        <v>645.07249999999999</v>
      </c>
      <c r="S188" s="197">
        <f>((I83*I83)/162)*R188</f>
        <v>398.1929012345679</v>
      </c>
      <c r="T188" s="154" t="s">
        <v>156</v>
      </c>
    </row>
    <row r="189" spans="2:20" hidden="1">
      <c r="C189" s="154" t="s">
        <v>181</v>
      </c>
      <c r="D189" s="191">
        <f>ROUNDUP(+(E188/SQRT(L83^2+M83^2)),0)</f>
        <v>29</v>
      </c>
      <c r="E189" s="184"/>
      <c r="G189" s="199"/>
      <c r="H189" s="199"/>
      <c r="I189" s="200"/>
      <c r="J189" s="200"/>
      <c r="K189" s="200"/>
      <c r="L189" s="193"/>
      <c r="M189" s="198"/>
      <c r="N189" s="194"/>
      <c r="O189" s="193"/>
      <c r="P189" s="201"/>
      <c r="Q189" s="195"/>
      <c r="R189" s="190"/>
      <c r="S189" s="197"/>
    </row>
    <row r="190" spans="2:20" hidden="1">
      <c r="C190" s="154" t="s">
        <v>182</v>
      </c>
      <c r="D190" s="154">
        <f>ROUNDUP(+E188/1,0)</f>
        <v>29</v>
      </c>
    </row>
    <row r="191" spans="2:20" hidden="1"/>
    <row r="192" spans="2:20" hidden="1">
      <c r="B192" s="205" t="s">
        <v>187</v>
      </c>
      <c r="C192" s="178" t="s">
        <v>184</v>
      </c>
      <c r="E192" s="184">
        <v>100</v>
      </c>
      <c r="G192" s="196">
        <f>+E192*(C87+E87*2+1)</f>
        <v>180</v>
      </c>
      <c r="H192" s="196">
        <f>0.5*L87*M87*D193</f>
        <v>20.25</v>
      </c>
      <c r="I192" s="197">
        <f>+(L87*(C87+2*E87)*D193*E87)</f>
        <v>7.200000000000002</v>
      </c>
      <c r="J192" s="197">
        <f>+D193*(L87+M87)*E87*(C87+2*E87)+D193*((L87+M87)*E87*D87)*2</f>
        <v>27</v>
      </c>
      <c r="K192" s="197">
        <f>+(D87+(D87+E87))*E192*2</f>
        <v>259.99999999999994</v>
      </c>
      <c r="L192" s="187">
        <f>+(D193*(L87+M87))/H87+ IF(E192&gt;0,1,0)</f>
        <v>541</v>
      </c>
      <c r="M192" s="198">
        <f>+ROUNDUP(L192,0)</f>
        <v>541</v>
      </c>
      <c r="N192" s="189">
        <f>+(D87+E87-0.08)*2+(C87+E87*2-0.08)</f>
        <v>1.96</v>
      </c>
      <c r="O192" s="187">
        <f>+N192/J87+1</f>
        <v>8.84</v>
      </c>
      <c r="P192" s="198">
        <f>+ROUNDUP(O192,0)</f>
        <v>9</v>
      </c>
      <c r="Q192" s="188">
        <f>+(L87+M87-2*0.04)*D193+(((L87+M87-2*0.04)*D193)/6*50*(I87/1000))</f>
        <v>137.58333333333334</v>
      </c>
      <c r="R192" s="190">
        <f>+N192*M192+P192*Q192</f>
        <v>2298.6099999999997</v>
      </c>
      <c r="S192" s="197">
        <f>((I87*I87)/162)*R192</f>
        <v>1418.8950617283947</v>
      </c>
      <c r="T192" s="154" t="s">
        <v>156</v>
      </c>
    </row>
    <row r="193" spans="2:20" hidden="1">
      <c r="C193" s="154" t="s">
        <v>181</v>
      </c>
      <c r="D193" s="191">
        <f>ROUNDUP(+(E192/SQRT(L87^2+M87^2)),0)</f>
        <v>100</v>
      </c>
      <c r="E193" s="184"/>
      <c r="G193" s="199"/>
      <c r="H193" s="199"/>
      <c r="I193" s="200"/>
      <c r="J193" s="200"/>
      <c r="K193" s="200"/>
      <c r="L193" s="193"/>
      <c r="M193" s="198"/>
      <c r="N193" s="194"/>
      <c r="O193" s="193"/>
      <c r="P193" s="201"/>
      <c r="Q193" s="195"/>
      <c r="R193" s="190"/>
      <c r="S193" s="197"/>
    </row>
    <row r="194" spans="2:20" hidden="1">
      <c r="C194" s="154" t="s">
        <v>182</v>
      </c>
      <c r="D194" s="154">
        <f>ROUNDUP(+E192/1,0)</f>
        <v>100</v>
      </c>
    </row>
    <row r="195" spans="2:20" hidden="1"/>
    <row r="196" spans="2:20" hidden="1">
      <c r="B196" s="205" t="s">
        <v>187</v>
      </c>
      <c r="C196" s="178" t="s">
        <v>185</v>
      </c>
      <c r="E196" s="184">
        <v>100</v>
      </c>
      <c r="G196" s="196">
        <f>+E196*(C91+E91*2+1)</f>
        <v>200</v>
      </c>
      <c r="H196" s="196">
        <f>0.5*L91*M91*D197</f>
        <v>20.25</v>
      </c>
      <c r="I196" s="197">
        <f>+(L91*(C91+2*E91)*D197*E91)</f>
        <v>9</v>
      </c>
      <c r="J196" s="197">
        <f>+D197*(L91+M91)*E91*(C91+2*E91)+D197*((L91+M91)*E91*D91)*2</f>
        <v>35.1</v>
      </c>
      <c r="K196" s="197">
        <f>+(D91+(D91+E91))*E196*2</f>
        <v>340.00000000000006</v>
      </c>
      <c r="L196" s="187">
        <f>+(D197*(L91+M91))/H91+ IF(E196&gt;0,1,0)</f>
        <v>541</v>
      </c>
      <c r="M196" s="198">
        <f>+ROUNDUP(L196,0)</f>
        <v>541</v>
      </c>
      <c r="N196" s="189">
        <f>+(D91+E91-0.08)*2+(C91+E91*2-0.08)</f>
        <v>2.56</v>
      </c>
      <c r="O196" s="187">
        <f>+N196/J91+1</f>
        <v>11.24</v>
      </c>
      <c r="P196" s="198">
        <f>+ROUNDUP(O196,0)</f>
        <v>12</v>
      </c>
      <c r="Q196" s="188">
        <f>+(L91+M91-2*0.04)*D197+(((L91+M91-2*0.04)*D197)/6*50*(I91/1000))</f>
        <v>137.58333333333334</v>
      </c>
      <c r="R196" s="190">
        <f>+N196*M196+P196*Q196</f>
        <v>3035.96</v>
      </c>
      <c r="S196" s="197">
        <f>((I91*I91)/162)*R196</f>
        <v>1874.0493827160492</v>
      </c>
      <c r="T196" s="154" t="s">
        <v>156</v>
      </c>
    </row>
    <row r="197" spans="2:20" hidden="1">
      <c r="C197" s="154" t="s">
        <v>181</v>
      </c>
      <c r="D197" s="191">
        <f>ROUNDUP(+(E196/SQRT(L91^2+M91^2)),0)</f>
        <v>100</v>
      </c>
      <c r="E197" s="184"/>
      <c r="G197" s="199"/>
      <c r="H197" s="199"/>
      <c r="I197" s="200"/>
      <c r="J197" s="200"/>
      <c r="K197" s="200"/>
      <c r="L197" s="193"/>
      <c r="M197" s="198"/>
      <c r="N197" s="194"/>
      <c r="O197" s="193"/>
      <c r="P197" s="201"/>
      <c r="Q197" s="195"/>
      <c r="R197" s="190"/>
      <c r="S197" s="197"/>
    </row>
    <row r="198" spans="2:20" hidden="1">
      <c r="C198" s="154" t="s">
        <v>182</v>
      </c>
      <c r="D198" s="154">
        <f>ROUNDUP(+E196/1,0)</f>
        <v>100</v>
      </c>
    </row>
    <row r="199" spans="2:20" hidden="1"/>
    <row r="200" spans="2:20" hidden="1">
      <c r="B200" s="205" t="s">
        <v>187</v>
      </c>
      <c r="C200" s="178" t="s">
        <v>188</v>
      </c>
      <c r="E200" s="184">
        <f>(22.38+21.09+22.47+16.84)*1.06418</f>
        <v>88.092820399999994</v>
      </c>
      <c r="G200" s="196">
        <f>+E200*(C95+E95*2+1)</f>
        <v>198.20884589999997</v>
      </c>
      <c r="H200" s="196">
        <f>0.5*L95*M95*D201</f>
        <v>17.82</v>
      </c>
      <c r="I200" s="197">
        <f>+(L95*(C95+2*E95)*D201*E95)</f>
        <v>12.375</v>
      </c>
      <c r="J200" s="197">
        <f>+D201*(L95+M95)*E95*(C95+2*E95)+D201*((L95+M95)*E95*D95)*2</f>
        <v>40.837500000000006</v>
      </c>
      <c r="K200" s="197">
        <f>+(D95+(D95+E95))*E200*2</f>
        <v>286.30166629999997</v>
      </c>
      <c r="L200" s="187">
        <f>+(D201*(L95+M95))/H95+ IF(E200&gt;0,1,0)</f>
        <v>476.20000000000005</v>
      </c>
      <c r="M200" s="198">
        <f>+ROUNDUP(L200,0)</f>
        <v>477</v>
      </c>
      <c r="N200" s="189">
        <f>+(D95+E95-0.08)*2+(C95+E95*2-0.08)</f>
        <v>2.76</v>
      </c>
      <c r="O200" s="187">
        <f>+N200/J95+1</f>
        <v>12.04</v>
      </c>
      <c r="P200" s="198">
        <f>+ROUNDUP(O200,0)</f>
        <v>13</v>
      </c>
      <c r="Q200" s="188">
        <f>+(L95+M95-2*0.04)*D201+(((L95+M95-2*0.04)*D201)/6*50*(I95/1000))</f>
        <v>121.07333333333334</v>
      </c>
      <c r="R200" s="190">
        <f>+N200*M200+P200*Q200</f>
        <v>2890.4733333333334</v>
      </c>
      <c r="S200" s="197">
        <f>((I95*I95)/162)*R200</f>
        <v>1784.2427983539094</v>
      </c>
      <c r="T200" s="154" t="s">
        <v>156</v>
      </c>
    </row>
    <row r="201" spans="2:20" hidden="1">
      <c r="C201" s="154" t="s">
        <v>181</v>
      </c>
      <c r="D201" s="191">
        <f>ROUNDUP(+(E200/SQRT(L95^2+M95^2)),0)</f>
        <v>88</v>
      </c>
      <c r="E201" s="184"/>
      <c r="G201" s="199"/>
      <c r="H201" s="199"/>
      <c r="I201" s="200"/>
      <c r="J201" s="200">
        <f>0.5*(0.075+0.05)*0.075*C95*D201</f>
        <v>0.41249999999999998</v>
      </c>
      <c r="K201" s="200">
        <f>D201*C95*M95</f>
        <v>39.6</v>
      </c>
      <c r="L201" s="193"/>
      <c r="M201" s="198"/>
      <c r="N201" s="194"/>
      <c r="O201" s="193"/>
      <c r="P201" s="201"/>
      <c r="Q201" s="195"/>
      <c r="R201" s="190"/>
      <c r="S201" s="197"/>
    </row>
    <row r="202" spans="2:20" hidden="1">
      <c r="C202" s="154" t="s">
        <v>182</v>
      </c>
      <c r="D202" s="154">
        <f>ROUNDUP(+E200/1,0)</f>
        <v>89</v>
      </c>
    </row>
    <row r="203" spans="2:20" hidden="1">
      <c r="G203" s="206" t="s">
        <v>189</v>
      </c>
      <c r="H203" s="206" t="s">
        <v>190</v>
      </c>
      <c r="I203" s="206" t="s">
        <v>52</v>
      </c>
    </row>
    <row r="204" spans="2:20" hidden="1"/>
    <row r="205" spans="2:20" hidden="1">
      <c r="B205" s="202"/>
      <c r="E205" s="202"/>
    </row>
    <row r="206" spans="2:20" hidden="1"/>
    <row r="207" spans="2:20" hidden="1">
      <c r="E207" s="202"/>
    </row>
    <row r="208" spans="2:20" hidden="1"/>
    <row r="209" spans="5:5">
      <c r="E209" s="202"/>
    </row>
    <row r="211" spans="5:5">
      <c r="E211" s="202"/>
    </row>
    <row r="221" spans="5:5" hidden="1"/>
    <row r="222" spans="5:5" hidden="1"/>
    <row r="223" spans="5:5" hidden="1"/>
    <row r="224" spans="5:5" hidden="1"/>
    <row r="225" spans="2:7" hidden="1"/>
    <row r="226" spans="2:7" hidden="1">
      <c r="B226" s="202" t="s">
        <v>158</v>
      </c>
    </row>
    <row r="227" spans="2:7" ht="28.8" hidden="1">
      <c r="B227" s="207" t="s">
        <v>191</v>
      </c>
      <c r="C227" s="208"/>
    </row>
    <row r="228" spans="2:7" hidden="1"/>
    <row r="229" spans="2:7" hidden="1">
      <c r="B229" s="154" t="s">
        <v>192</v>
      </c>
      <c r="C229" s="191"/>
    </row>
    <row r="230" spans="2:7" hidden="1">
      <c r="B230" s="154" t="s">
        <v>193</v>
      </c>
      <c r="C230" s="154">
        <v>0.5</v>
      </c>
    </row>
    <row r="231" spans="2:7" hidden="1">
      <c r="C231" s="191"/>
    </row>
    <row r="232" spans="2:7" hidden="1">
      <c r="B232" s="154" t="s">
        <v>194</v>
      </c>
      <c r="C232" s="154">
        <f>ROUNDUP(C227/C230,0)</f>
        <v>0</v>
      </c>
    </row>
    <row r="233" spans="2:7" hidden="1"/>
    <row r="234" spans="2:7" hidden="1"/>
    <row r="235" spans="2:7" hidden="1">
      <c r="B235" s="154" t="s">
        <v>195</v>
      </c>
      <c r="C235" s="154">
        <f>C232*0.16*0.5</f>
        <v>0</v>
      </c>
      <c r="E235" s="202" t="s">
        <v>196</v>
      </c>
    </row>
    <row r="236" spans="2:7" hidden="1">
      <c r="B236" s="154" t="s">
        <v>82</v>
      </c>
      <c r="C236" s="154">
        <f>((0.16*2)+(0.15*0.5*2))*C232</f>
        <v>0</v>
      </c>
    </row>
    <row r="237" spans="2:7" hidden="1"/>
    <row r="238" spans="2:7" hidden="1">
      <c r="B238" s="154" t="s">
        <v>197</v>
      </c>
      <c r="C238" s="193">
        <v>2.12</v>
      </c>
      <c r="D238" s="209">
        <f>ROUNDUP(0.5/0.125,0)+1</f>
        <v>5</v>
      </c>
      <c r="E238" s="154">
        <f>C232</f>
        <v>0</v>
      </c>
      <c r="F238" s="154">
        <v>1.1000000000000001</v>
      </c>
      <c r="G238" s="154">
        <f>PRODUCT(C238:F238)</f>
        <v>0</v>
      </c>
    </row>
    <row r="239" spans="2:7" hidden="1">
      <c r="C239" s="154">
        <v>0.5</v>
      </c>
      <c r="D239" s="209">
        <f>ROUNDUP(C238/0.2+1,0)</f>
        <v>12</v>
      </c>
      <c r="E239" s="154">
        <f>C232</f>
        <v>0</v>
      </c>
      <c r="F239" s="154">
        <v>1.1000000000000001</v>
      </c>
      <c r="G239" s="154">
        <f>PRODUCT(C239:F239)</f>
        <v>0</v>
      </c>
    </row>
    <row r="240" spans="2:7" hidden="1"/>
    <row r="241" spans="2:10" hidden="1">
      <c r="G241" s="154">
        <f>SUM(G238:G240)</f>
        <v>0</v>
      </c>
      <c r="H241" s="154">
        <f>ROUND(100/162,3)</f>
        <v>0.61699999999999999</v>
      </c>
      <c r="J241" s="193">
        <f>ROUNDUP(PRODUCT(G241:H241),0)</f>
        <v>0</v>
      </c>
    </row>
    <row r="242" spans="2:10" hidden="1"/>
    <row r="243" spans="2:10" hidden="1"/>
    <row r="244" spans="2:10" hidden="1"/>
    <row r="245" spans="2:10" hidden="1"/>
    <row r="246" spans="2:10" hidden="1"/>
    <row r="247" spans="2:10" hidden="1"/>
    <row r="248" spans="2:10" hidden="1">
      <c r="B248" s="202" t="s">
        <v>198</v>
      </c>
    </row>
    <row r="249" spans="2:10" hidden="1">
      <c r="C249" s="202" t="s">
        <v>189</v>
      </c>
      <c r="D249" s="202" t="s">
        <v>486</v>
      </c>
      <c r="F249" s="202" t="s">
        <v>487</v>
      </c>
    </row>
    <row r="250" spans="2:10" hidden="1">
      <c r="B250" s="202" t="s">
        <v>488</v>
      </c>
      <c r="C250" s="191">
        <f>E106</f>
        <v>130.11000000000001</v>
      </c>
      <c r="D250" s="191">
        <f>(C6+E6+E6)</f>
        <v>0.5</v>
      </c>
      <c r="F250" s="154">
        <f>C250*D250</f>
        <v>65.055000000000007</v>
      </c>
      <c r="G250" s="154">
        <v>1.1000000000000001</v>
      </c>
      <c r="H250" s="154">
        <f>F250*G250</f>
        <v>71.560500000000019</v>
      </c>
    </row>
    <row r="251" spans="2:10" hidden="1"/>
    <row r="252" spans="2:10" hidden="1"/>
    <row r="253" spans="2:10" hidden="1"/>
    <row r="254" spans="2:10" hidden="1"/>
    <row r="255" spans="2:10" hidden="1"/>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A4254-CB92-4446-A9BC-8A5425FA3574}">
  <dimension ref="A1:R10"/>
  <sheetViews>
    <sheetView workbookViewId="0">
      <selection activeCell="F7" sqref="F7"/>
    </sheetView>
  </sheetViews>
  <sheetFormatPr defaultColWidth="9.109375" defaultRowHeight="14.4"/>
  <cols>
    <col min="1" max="1" width="15.6640625" style="1" bestFit="1" customWidth="1"/>
    <col min="2" max="2" width="9.109375" style="1"/>
    <col min="3" max="3" width="9.5546875" style="1" bestFit="1" customWidth="1"/>
    <col min="4" max="4" width="9.109375" style="1"/>
    <col min="5" max="5" width="13.44140625" style="1" bestFit="1" customWidth="1"/>
    <col min="6" max="6" width="9.109375" style="1"/>
    <col min="7" max="7" width="8.44140625" style="1" bestFit="1" customWidth="1"/>
    <col min="8" max="8" width="21" style="1" bestFit="1" customWidth="1"/>
    <col min="9" max="9" width="17.88671875" style="1" bestFit="1" customWidth="1"/>
    <col min="10" max="10" width="17.88671875" style="1" customWidth="1"/>
    <col min="11" max="11" width="9.109375" style="1"/>
    <col min="12" max="12" width="11.5546875" style="1" bestFit="1" customWidth="1"/>
    <col min="13" max="13" width="11.33203125" style="1" bestFit="1" customWidth="1"/>
    <col min="14" max="14" width="12.33203125" style="1" bestFit="1" customWidth="1"/>
    <col min="15" max="15" width="15.88671875" style="1" bestFit="1" customWidth="1"/>
    <col min="16" max="16" width="9.5546875" style="1" bestFit="1" customWidth="1"/>
    <col min="17" max="16384" width="9.109375" style="1"/>
  </cols>
  <sheetData>
    <row r="1" spans="1:18">
      <c r="A1" s="1" t="s">
        <v>828</v>
      </c>
    </row>
    <row r="3" spans="1:18">
      <c r="A3" s="2" t="s">
        <v>0</v>
      </c>
      <c r="B3" s="2"/>
      <c r="C3" s="2" t="s">
        <v>1</v>
      </c>
      <c r="D3" s="2"/>
      <c r="E3" s="2" t="s">
        <v>749</v>
      </c>
      <c r="F3" s="2"/>
      <c r="G3" s="2" t="s">
        <v>1</v>
      </c>
      <c r="H3" s="5" t="s">
        <v>829</v>
      </c>
      <c r="I3" s="4" t="s">
        <v>830</v>
      </c>
      <c r="J3" s="4" t="s">
        <v>824</v>
      </c>
      <c r="K3" s="1" t="s">
        <v>195</v>
      </c>
      <c r="L3" s="1" t="s">
        <v>831</v>
      </c>
      <c r="M3" s="1" t="s">
        <v>823</v>
      </c>
      <c r="N3" s="1" t="s">
        <v>832</v>
      </c>
      <c r="O3" s="962" t="s">
        <v>81</v>
      </c>
      <c r="P3" s="962"/>
      <c r="Q3" s="962"/>
      <c r="R3" s="1" t="s">
        <v>833</v>
      </c>
    </row>
    <row r="5" spans="1:18">
      <c r="A5" s="1" t="s">
        <v>3</v>
      </c>
      <c r="C5" s="1">
        <v>54.75</v>
      </c>
      <c r="E5" s="1" t="s">
        <v>817</v>
      </c>
      <c r="G5" s="1">
        <v>3.68</v>
      </c>
      <c r="H5" s="1">
        <v>3.37</v>
      </c>
      <c r="I5" s="963">
        <v>0.17599999999999999</v>
      </c>
      <c r="J5" s="963">
        <f>3.5*0.3</f>
        <v>1.05</v>
      </c>
      <c r="K5" s="961">
        <f>0.3*1.22</f>
        <v>0.36599999999999999</v>
      </c>
      <c r="L5" s="961">
        <f>0.05*1.22</f>
        <v>6.0999999999999999E-2</v>
      </c>
      <c r="M5" s="961">
        <f>3.2-(K5+L5)</f>
        <v>2.7730000000000001</v>
      </c>
      <c r="N5" s="961">
        <f>0.3+3.5</f>
        <v>3.8</v>
      </c>
      <c r="O5" s="2">
        <f>1.72*((C9/0.2)+1)</f>
        <v>309.59999999999997</v>
      </c>
      <c r="P5" s="1">
        <f>(O5/6)*(0.012*50)</f>
        <v>30.959999999999994</v>
      </c>
      <c r="Q5" s="1">
        <f>(SUM(O5:P5)*0.888)</f>
        <v>302.41727999999995</v>
      </c>
      <c r="R5" s="961">
        <f>ROUNDUP(C9*2,0)</f>
        <v>72</v>
      </c>
    </row>
    <row r="6" spans="1:18">
      <c r="A6" s="1" t="s">
        <v>497</v>
      </c>
      <c r="C6" s="1">
        <f>5.25*1.414</f>
        <v>7.4234999999999998</v>
      </c>
      <c r="E6" s="1" t="s">
        <v>818</v>
      </c>
      <c r="G6" s="1">
        <v>19.95</v>
      </c>
      <c r="H6" s="1">
        <f>(3.37+3.56)/2</f>
        <v>3.4649999999999999</v>
      </c>
      <c r="I6" s="963"/>
      <c r="J6" s="963"/>
      <c r="K6" s="961"/>
      <c r="L6" s="961"/>
      <c r="M6" s="961"/>
      <c r="N6" s="961"/>
      <c r="O6" s="2">
        <f>C9*((1.72/0.2)+1)</f>
        <v>343.67999999999995</v>
      </c>
      <c r="P6" s="1">
        <f>(O6/6)*(0.01*50)</f>
        <v>28.639999999999997</v>
      </c>
      <c r="Q6" s="432">
        <f>SUM(O6:P6)*0.617</f>
        <v>229.72143999999994</v>
      </c>
      <c r="R6" s="961"/>
    </row>
    <row r="7" spans="1:18">
      <c r="E7" s="1" t="s">
        <v>819</v>
      </c>
      <c r="G7" s="1">
        <v>10</v>
      </c>
      <c r="H7" s="1">
        <f>(3.56+1.72)/2</f>
        <v>2.64</v>
      </c>
      <c r="I7" s="963"/>
      <c r="J7" s="963"/>
      <c r="K7" s="961"/>
      <c r="L7" s="961"/>
      <c r="M7" s="961"/>
      <c r="N7" s="961"/>
      <c r="O7" s="2"/>
      <c r="Q7" s="433">
        <f>SUM(Q5:Q6)</f>
        <v>532.13871999999992</v>
      </c>
      <c r="R7" s="961"/>
    </row>
    <row r="8" spans="1:18">
      <c r="E8" s="1" t="s">
        <v>820</v>
      </c>
      <c r="G8" s="1">
        <v>2.5</v>
      </c>
      <c r="H8" s="1">
        <v>1.72</v>
      </c>
      <c r="I8" s="963"/>
      <c r="J8" s="963"/>
      <c r="K8" s="961"/>
      <c r="L8" s="961"/>
      <c r="M8" s="961"/>
      <c r="N8" s="961"/>
      <c r="O8" s="2"/>
      <c r="R8" s="961"/>
    </row>
    <row r="9" spans="1:18">
      <c r="A9" s="1" t="s">
        <v>834</v>
      </c>
      <c r="C9" s="961">
        <v>35.799999999999997</v>
      </c>
    </row>
    <row r="10" spans="1:18">
      <c r="A10" s="1" t="s">
        <v>835</v>
      </c>
      <c r="C10" s="961"/>
    </row>
  </sheetData>
  <mergeCells count="9">
    <mergeCell ref="R5:R8"/>
    <mergeCell ref="C9:C10"/>
    <mergeCell ref="O3:Q3"/>
    <mergeCell ref="I5:I8"/>
    <mergeCell ref="J5:J8"/>
    <mergeCell ref="K5:K8"/>
    <mergeCell ref="L5:L8"/>
    <mergeCell ref="M5:M8"/>
    <mergeCell ref="N5:N8"/>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CEA6-0057-401B-8D76-3864EE0C2BCF}">
  <sheetPr>
    <tabColor rgb="FF002060"/>
  </sheetPr>
  <dimension ref="A1:M37"/>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3"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t="str">
        <f>'Bill No. 5'!A1:F1</f>
        <v>LOT -06 - BILLS OF QUANTITIES</v>
      </c>
      <c r="B1" s="870"/>
      <c r="C1" s="870"/>
      <c r="D1" s="870"/>
      <c r="E1" s="870"/>
      <c r="F1" s="871"/>
    </row>
    <row r="2" spans="1:13" customFormat="1" ht="64.2" customHeight="1" thickBot="1">
      <c r="A2" s="872" t="s">
        <v>1504</v>
      </c>
      <c r="B2" s="873"/>
      <c r="C2" s="873"/>
      <c r="D2" s="873"/>
      <c r="E2" s="873"/>
      <c r="F2" s="874"/>
    </row>
    <row r="3" spans="1:13" customFormat="1" ht="2.4" hidden="1" customHeight="1" thickBot="1">
      <c r="A3" s="748"/>
      <c r="B3" s="749"/>
      <c r="C3" s="749"/>
      <c r="D3" s="749"/>
      <c r="E3" s="750"/>
      <c r="F3" s="751"/>
    </row>
    <row r="4" spans="1:13" customFormat="1" ht="15" thickBot="1">
      <c r="A4" s="752"/>
      <c r="B4" s="6" t="s">
        <v>8</v>
      </c>
      <c r="C4" s="6"/>
      <c r="D4" s="7"/>
      <c r="E4" s="8"/>
      <c r="F4" s="753" t="s">
        <v>9</v>
      </c>
    </row>
    <row r="5" spans="1:13" s="11" customFormat="1" ht="29.4" customHeight="1">
      <c r="A5" s="9"/>
      <c r="B5" s="875" t="str">
        <f>'Bill 6.1'!$A$1</f>
        <v>BILL No. 6.1 - SITE CLEARING</v>
      </c>
      <c r="C5" s="875"/>
      <c r="D5" s="875"/>
      <c r="E5" s="876"/>
      <c r="F5" s="10"/>
      <c r="H5" s="12"/>
      <c r="I5" s="13"/>
      <c r="J5" s="12"/>
      <c r="L5" s="14"/>
    </row>
    <row r="6" spans="1:13" s="11" customFormat="1" ht="29.4" customHeight="1">
      <c r="A6" s="9"/>
      <c r="B6" s="890" t="str">
        <f>'Bill 6.2'!$A$1</f>
        <v>BILL No. 6.2 - EARTHWORKS</v>
      </c>
      <c r="C6" s="890"/>
      <c r="D6" s="890"/>
      <c r="E6" s="891"/>
      <c r="F6" s="10"/>
      <c r="H6" s="12"/>
      <c r="I6" s="13"/>
      <c r="J6" s="12"/>
      <c r="L6" s="14"/>
    </row>
    <row r="7" spans="1:13" s="11" customFormat="1" ht="29.4" customHeight="1">
      <c r="A7" s="9"/>
      <c r="B7" s="890" t="str">
        <f>'Bill 6.3'!$A$1</f>
        <v>BILL No. 6.3 - STRUCTURE CONSTRUCTION</v>
      </c>
      <c r="C7" s="890"/>
      <c r="D7" s="890"/>
      <c r="E7" s="891"/>
      <c r="F7" s="10"/>
      <c r="H7" s="12"/>
      <c r="I7" s="13"/>
      <c r="J7" s="12"/>
      <c r="L7" s="14"/>
    </row>
    <row r="8" spans="1:13" s="11" customFormat="1" ht="29.4" customHeight="1" thickBot="1">
      <c r="A8" s="9"/>
      <c r="B8" s="890" t="str">
        <f>'Bill 6.4'!$A$1</f>
        <v>BILL No. 6.4 - INCIDENTAL CONSTRUCTION</v>
      </c>
      <c r="C8" s="890"/>
      <c r="D8" s="890"/>
      <c r="E8" s="891"/>
      <c r="F8" s="10"/>
      <c r="H8" s="12"/>
      <c r="I8" s="13"/>
      <c r="J8" s="12"/>
      <c r="L8" s="14"/>
    </row>
    <row r="9" spans="1:13" s="11" customFormat="1" ht="24.9" customHeight="1" thickBot="1">
      <c r="A9" s="15"/>
      <c r="B9" s="877" t="s">
        <v>10</v>
      </c>
      <c r="C9" s="877"/>
      <c r="D9" s="877"/>
      <c r="E9" s="878"/>
      <c r="F9" s="16"/>
      <c r="H9" s="12"/>
      <c r="I9" s="17"/>
      <c r="J9" s="12"/>
      <c r="K9" s="14"/>
      <c r="M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row r="35" spans="1:10" s="11" customFormat="1">
      <c r="A35" s="18"/>
      <c r="C35" s="18"/>
      <c r="D35" s="19"/>
      <c r="E35" s="20"/>
      <c r="F35" s="20"/>
      <c r="H35" s="12"/>
      <c r="I35" s="13"/>
      <c r="J35" s="12"/>
    </row>
    <row r="36" spans="1:10" s="11" customFormat="1">
      <c r="A36" s="18"/>
      <c r="C36" s="18"/>
      <c r="D36" s="19"/>
      <c r="E36" s="20"/>
      <c r="F36" s="20"/>
      <c r="H36" s="12"/>
      <c r="I36" s="13"/>
      <c r="J36" s="12"/>
    </row>
    <row r="37" spans="1:10" s="11" customFormat="1">
      <c r="A37" s="18"/>
      <c r="C37" s="18"/>
      <c r="D37" s="19"/>
      <c r="E37" s="20"/>
      <c r="F37" s="20"/>
      <c r="H37" s="12"/>
      <c r="I37" s="13"/>
      <c r="J37" s="12"/>
    </row>
  </sheetData>
  <mergeCells count="7">
    <mergeCell ref="B9:E9"/>
    <mergeCell ref="A1:F1"/>
    <mergeCell ref="A2:F2"/>
    <mergeCell ref="B5:E5"/>
    <mergeCell ref="B6:E6"/>
    <mergeCell ref="B7:E7"/>
    <mergeCell ref="B8:E8"/>
  </mergeCells>
  <printOptions horizontalCentered="1"/>
  <pageMargins left="0.75" right="0.4" top="0.75" bottom="0.5" header="0" footer="0"/>
  <pageSetup paperSize="9" scale="70"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EF374-5816-4641-B9AB-9B3DB2BB266C}">
  <sheetPr>
    <tabColor rgb="FFFF9933"/>
  </sheetPr>
  <dimension ref="A1:J14"/>
  <sheetViews>
    <sheetView view="pageBreakPreview" topLeftCell="A10" zoomScaleNormal="100" zoomScaleSheetLayoutView="100" workbookViewId="0">
      <selection activeCell="H1" sqref="H1:I1048576"/>
    </sheetView>
  </sheetViews>
  <sheetFormatPr defaultColWidth="9.109375" defaultRowHeight="13.2"/>
  <cols>
    <col min="1" max="1" width="7.6640625" style="31" customWidth="1"/>
    <col min="2" max="2" width="9.6640625" style="31" customWidth="1"/>
    <col min="3" max="3" width="50.6640625" style="31" customWidth="1"/>
    <col min="4" max="4" width="7.6640625" style="31" customWidth="1"/>
    <col min="5" max="5" width="8.6640625" style="31" customWidth="1"/>
    <col min="6" max="6" width="15.5546875" style="31" customWidth="1"/>
    <col min="7" max="7" width="21.44140625" style="31" customWidth="1"/>
    <col min="8" max="8" width="0" style="31" hidden="1" customWidth="1"/>
    <col min="9" max="9" width="60.5546875" style="31" hidden="1" customWidth="1"/>
    <col min="10" max="16384" width="9.109375" style="31"/>
  </cols>
  <sheetData>
    <row r="1" spans="1:10" s="27" customFormat="1" ht="60" customHeight="1" thickBot="1">
      <c r="A1" s="892" t="s">
        <v>836</v>
      </c>
      <c r="B1" s="893"/>
      <c r="C1" s="893"/>
      <c r="D1" s="894" t="s">
        <v>1488</v>
      </c>
      <c r="E1" s="894"/>
      <c r="F1" s="894"/>
      <c r="G1" s="895"/>
    </row>
    <row r="2" spans="1:10" ht="26.4">
      <c r="A2" s="754" t="s">
        <v>11</v>
      </c>
      <c r="B2" s="28" t="s">
        <v>12</v>
      </c>
      <c r="C2" s="29" t="s">
        <v>8</v>
      </c>
      <c r="D2" s="28" t="s">
        <v>13</v>
      </c>
      <c r="E2" s="28" t="s">
        <v>14</v>
      </c>
      <c r="F2" s="30" t="s">
        <v>15</v>
      </c>
      <c r="G2" s="755" t="s">
        <v>16</v>
      </c>
    </row>
    <row r="3" spans="1:10" customFormat="1" ht="30" customHeight="1">
      <c r="A3" s="434" t="s">
        <v>837</v>
      </c>
      <c r="B3" s="723"/>
      <c r="C3" s="435" t="s">
        <v>838</v>
      </c>
      <c r="D3" s="723"/>
      <c r="E3" s="723"/>
      <c r="F3" s="436"/>
      <c r="G3" s="437"/>
    </row>
    <row r="4" spans="1:10" s="27" customFormat="1" ht="45.75" customHeight="1">
      <c r="A4" s="222" t="s">
        <v>839</v>
      </c>
      <c r="B4" s="46" t="s">
        <v>18</v>
      </c>
      <c r="C4" s="47" t="s">
        <v>505</v>
      </c>
      <c r="D4" s="46" t="s">
        <v>312</v>
      </c>
      <c r="E4" s="438">
        <f>1850+120</f>
        <v>1970</v>
      </c>
      <c r="F4" s="439"/>
      <c r="G4" s="440"/>
      <c r="H4" s="785">
        <f>+'QTY88'!J14</f>
        <v>1282.7850000000001</v>
      </c>
      <c r="I4" s="349" t="s">
        <v>840</v>
      </c>
    </row>
    <row r="5" spans="1:10" s="27" customFormat="1" ht="30" customHeight="1">
      <c r="A5" s="222" t="s">
        <v>841</v>
      </c>
      <c r="B5" s="56" t="s">
        <v>21</v>
      </c>
      <c r="C5" s="223" t="s">
        <v>22</v>
      </c>
      <c r="D5" s="46" t="s">
        <v>23</v>
      </c>
      <c r="E5" s="359">
        <v>15</v>
      </c>
      <c r="F5" s="57"/>
      <c r="G5" s="440"/>
      <c r="H5" s="40"/>
    </row>
    <row r="6" spans="1:10" s="27" customFormat="1" ht="30" customHeight="1">
      <c r="A6" s="222" t="s">
        <v>842</v>
      </c>
      <c r="B6" s="56" t="s">
        <v>24</v>
      </c>
      <c r="C6" s="223" t="s">
        <v>843</v>
      </c>
      <c r="D6" s="36" t="s">
        <v>23</v>
      </c>
      <c r="E6" s="348">
        <v>15</v>
      </c>
      <c r="F6" s="57"/>
      <c r="G6" s="440"/>
      <c r="H6" s="785"/>
    </row>
    <row r="7" spans="1:10" s="27" customFormat="1" ht="30" customHeight="1">
      <c r="A7" s="222" t="s">
        <v>844</v>
      </c>
      <c r="B7" s="56" t="s">
        <v>200</v>
      </c>
      <c r="C7" s="223" t="s">
        <v>201</v>
      </c>
      <c r="D7" s="36" t="s">
        <v>23</v>
      </c>
      <c r="E7" s="348">
        <v>8</v>
      </c>
      <c r="F7" s="57"/>
      <c r="G7" s="440"/>
      <c r="H7" s="40"/>
    </row>
    <row r="8" spans="1:10" s="27" customFormat="1" ht="30" customHeight="1">
      <c r="A8" s="222" t="s">
        <v>845</v>
      </c>
      <c r="B8" s="56" t="s">
        <v>202</v>
      </c>
      <c r="C8" s="223" t="s">
        <v>203</v>
      </c>
      <c r="D8" s="36" t="s">
        <v>23</v>
      </c>
      <c r="E8" s="348">
        <v>8</v>
      </c>
      <c r="F8" s="57"/>
      <c r="G8" s="440"/>
      <c r="H8" s="40"/>
    </row>
    <row r="9" spans="1:10" s="27" customFormat="1" ht="30" customHeight="1">
      <c r="A9" s="222" t="s">
        <v>846</v>
      </c>
      <c r="B9" s="56" t="s">
        <v>26</v>
      </c>
      <c r="C9" s="223" t="s">
        <v>204</v>
      </c>
      <c r="D9" s="36" t="s">
        <v>23</v>
      </c>
      <c r="E9" s="348">
        <v>8</v>
      </c>
      <c r="F9" s="57"/>
      <c r="G9" s="440"/>
      <c r="H9" s="40"/>
    </row>
    <row r="10" spans="1:10" s="27" customFormat="1" ht="30" customHeight="1">
      <c r="A10" s="222" t="s">
        <v>847</v>
      </c>
      <c r="B10" s="56" t="s">
        <v>205</v>
      </c>
      <c r="C10" s="223" t="s">
        <v>206</v>
      </c>
      <c r="D10" s="36" t="s">
        <v>23</v>
      </c>
      <c r="E10" s="348">
        <v>8</v>
      </c>
      <c r="F10" s="57"/>
      <c r="G10" s="440"/>
      <c r="H10" s="40"/>
      <c r="J10" s="27">
        <v>0</v>
      </c>
    </row>
    <row r="11" spans="1:10" customFormat="1" ht="30" customHeight="1">
      <c r="A11" s="770" t="s">
        <v>848</v>
      </c>
      <c r="B11" s="350"/>
      <c r="C11" s="351" t="s">
        <v>399</v>
      </c>
      <c r="D11" s="350"/>
      <c r="E11" s="352"/>
      <c r="F11" s="57"/>
      <c r="G11" s="440"/>
    </row>
    <row r="12" spans="1:10" customFormat="1" ht="30" customHeight="1">
      <c r="A12" s="222" t="s">
        <v>849</v>
      </c>
      <c r="B12" s="350" t="s">
        <v>401</v>
      </c>
      <c r="C12" s="353" t="s">
        <v>402</v>
      </c>
      <c r="D12" s="350" t="s">
        <v>28</v>
      </c>
      <c r="E12" s="352">
        <v>10</v>
      </c>
      <c r="F12" s="57"/>
      <c r="G12" s="440"/>
    </row>
    <row r="13" spans="1:10" customFormat="1" ht="30" customHeight="1">
      <c r="A13" s="222" t="s">
        <v>850</v>
      </c>
      <c r="B13" s="350" t="s">
        <v>404</v>
      </c>
      <c r="C13" s="355" t="s">
        <v>405</v>
      </c>
      <c r="D13" s="354" t="s">
        <v>28</v>
      </c>
      <c r="E13" s="356">
        <v>10</v>
      </c>
      <c r="F13" s="357"/>
      <c r="G13" s="440"/>
    </row>
    <row r="14" spans="1:10" ht="28.5" customHeight="1" thickBot="1">
      <c r="A14" s="760"/>
      <c r="B14" s="896" t="s">
        <v>856</v>
      </c>
      <c r="C14" s="897"/>
      <c r="D14" s="897"/>
      <c r="E14" s="897"/>
      <c r="F14" s="898"/>
      <c r="G14" s="761"/>
    </row>
  </sheetData>
  <mergeCells count="3">
    <mergeCell ref="A1:C1"/>
    <mergeCell ref="D1:G1"/>
    <mergeCell ref="B14:F14"/>
  </mergeCells>
  <printOptions horizontalCentered="1"/>
  <pageMargins left="0.75" right="0.4" top="0.75" bottom="0.5" header="0" footer="0"/>
  <pageSetup paperSize="9" scale="70"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A898-B23A-4B70-8FC3-D491373F8D55}">
  <sheetPr>
    <tabColor rgb="FFFF9933"/>
  </sheetPr>
  <dimension ref="A1:L16"/>
  <sheetViews>
    <sheetView view="pageBreakPreview" topLeftCell="A10" zoomScaleNormal="100" zoomScaleSheetLayoutView="100" workbookViewId="0">
      <selection activeCell="H1" sqref="H1:I1048576"/>
    </sheetView>
  </sheetViews>
  <sheetFormatPr defaultColWidth="9.109375" defaultRowHeight="15"/>
  <cols>
    <col min="1" max="1" width="7.6640625" style="31" customWidth="1"/>
    <col min="2" max="2" width="9.6640625" style="31" customWidth="1"/>
    <col min="3" max="3" width="54" style="31" customWidth="1"/>
    <col min="4" max="4" width="7.6640625" style="31" customWidth="1"/>
    <col min="5" max="5" width="8.6640625" style="31" customWidth="1"/>
    <col min="6" max="6" width="13.88671875" style="31" customWidth="1"/>
    <col min="7" max="7" width="17.6640625" style="31" customWidth="1"/>
    <col min="8" max="8" width="15.5546875" style="451" hidden="1" customWidth="1"/>
    <col min="9" max="9" width="41.88671875" style="31" hidden="1" customWidth="1"/>
    <col min="10" max="10" width="9.109375" style="31"/>
    <col min="11" max="11" width="11.5546875" style="31" bestFit="1" customWidth="1"/>
    <col min="12" max="16384" width="9.109375" style="31"/>
  </cols>
  <sheetData>
    <row r="1" spans="1:12" s="27" customFormat="1" ht="60" customHeight="1" thickBot="1">
      <c r="A1" s="892" t="s">
        <v>857</v>
      </c>
      <c r="B1" s="893"/>
      <c r="C1" s="893"/>
      <c r="D1" s="894" t="str">
        <f>+'Bill 6.1'!D1:G1</f>
        <v xml:space="preserve"> REDUCTION OF LANDSLIDE VULNERABILITY BY MITIGATION MEASURES AT RUBBER RESEARCH INSTITUTE DARTONFIELD ESTATE - AGALAWATTA (Site No.88)</v>
      </c>
      <c r="E1" s="894"/>
      <c r="F1" s="894"/>
      <c r="G1" s="895"/>
      <c r="H1" s="448"/>
    </row>
    <row r="2" spans="1:12" ht="30.75" customHeight="1">
      <c r="A2" s="754" t="s">
        <v>11</v>
      </c>
      <c r="B2" s="28" t="s">
        <v>12</v>
      </c>
      <c r="C2" s="29" t="s">
        <v>8</v>
      </c>
      <c r="D2" s="28" t="s">
        <v>13</v>
      </c>
      <c r="E2" s="28" t="s">
        <v>14</v>
      </c>
      <c r="F2" s="30" t="s">
        <v>15</v>
      </c>
      <c r="G2" s="755" t="s">
        <v>16</v>
      </c>
      <c r="H2" s="449"/>
      <c r="I2" s="220" t="s">
        <v>621</v>
      </c>
    </row>
    <row r="3" spans="1:12" ht="24.75" customHeight="1">
      <c r="A3" s="762" t="s">
        <v>858</v>
      </c>
      <c r="B3" s="41"/>
      <c r="C3" s="42" t="s">
        <v>229</v>
      </c>
      <c r="D3" s="41"/>
      <c r="E3" s="43"/>
      <c r="F3" s="41"/>
      <c r="G3" s="765"/>
      <c r="H3" s="349"/>
    </row>
    <row r="4" spans="1:12" ht="36" customHeight="1">
      <c r="A4" s="758" t="s">
        <v>859</v>
      </c>
      <c r="B4" s="33" t="s">
        <v>222</v>
      </c>
      <c r="C4" s="248" t="s">
        <v>223</v>
      </c>
      <c r="D4" s="33" t="s">
        <v>27</v>
      </c>
      <c r="E4" s="406">
        <v>300</v>
      </c>
      <c r="F4" s="35"/>
      <c r="G4" s="764"/>
      <c r="H4" s="349"/>
      <c r="I4" s="349" t="s">
        <v>860</v>
      </c>
      <c r="J4" s="450"/>
      <c r="K4" s="450">
        <f>SUM(H4:J4)</f>
        <v>0</v>
      </c>
      <c r="L4" s="450"/>
    </row>
    <row r="5" spans="1:12" ht="32.25" customHeight="1">
      <c r="A5" s="758" t="s">
        <v>861</v>
      </c>
      <c r="B5" s="33" t="s">
        <v>224</v>
      </c>
      <c r="C5" s="248" t="s">
        <v>225</v>
      </c>
      <c r="D5" s="33" t="s">
        <v>27</v>
      </c>
      <c r="E5" s="358">
        <v>100</v>
      </c>
      <c r="F5" s="35"/>
      <c r="G5" s="764"/>
      <c r="H5" s="451">
        <f>+H4*0.1</f>
        <v>0</v>
      </c>
    </row>
    <row r="6" spans="1:12" ht="32.25" customHeight="1">
      <c r="A6" s="758" t="s">
        <v>862</v>
      </c>
      <c r="B6" s="46" t="s">
        <v>226</v>
      </c>
      <c r="C6" s="248" t="s">
        <v>227</v>
      </c>
      <c r="D6" s="46" t="s">
        <v>28</v>
      </c>
      <c r="E6" s="359">
        <v>100</v>
      </c>
      <c r="F6" s="35"/>
      <c r="G6" s="764"/>
    </row>
    <row r="7" spans="1:12" ht="32.25" customHeight="1">
      <c r="A7" s="758" t="s">
        <v>863</v>
      </c>
      <c r="B7" s="48" t="s">
        <v>228</v>
      </c>
      <c r="C7" s="249" t="s">
        <v>35</v>
      </c>
      <c r="D7" s="50" t="s">
        <v>27</v>
      </c>
      <c r="E7" s="359">
        <v>300</v>
      </c>
      <c r="F7" s="35"/>
      <c r="G7" s="764"/>
      <c r="H7" s="349"/>
      <c r="I7" s="349" t="s">
        <v>864</v>
      </c>
    </row>
    <row r="8" spans="1:12" ht="26.25" customHeight="1">
      <c r="A8" s="762" t="s">
        <v>865</v>
      </c>
      <c r="B8" s="41"/>
      <c r="C8" s="42" t="s">
        <v>29</v>
      </c>
      <c r="D8" s="51"/>
      <c r="E8" s="43"/>
      <c r="F8" s="41"/>
      <c r="G8" s="764"/>
    </row>
    <row r="9" spans="1:12" ht="48" customHeight="1">
      <c r="A9" s="758" t="s">
        <v>866</v>
      </c>
      <c r="B9" s="452" t="s">
        <v>30</v>
      </c>
      <c r="C9" s="453" t="s">
        <v>31</v>
      </c>
      <c r="D9" s="452" t="s">
        <v>28</v>
      </c>
      <c r="E9" s="406">
        <v>80</v>
      </c>
      <c r="F9" s="35"/>
      <c r="G9" s="764"/>
      <c r="H9" s="454">
        <f>+'QTY88'!J44</f>
        <v>76.474500000000006</v>
      </c>
    </row>
    <row r="10" spans="1:12" ht="51" customHeight="1">
      <c r="A10" s="758" t="s">
        <v>867</v>
      </c>
      <c r="B10" s="452" t="s">
        <v>30</v>
      </c>
      <c r="C10" s="453" t="s">
        <v>868</v>
      </c>
      <c r="D10" s="452" t="s">
        <v>28</v>
      </c>
      <c r="E10" s="406">
        <v>510</v>
      </c>
      <c r="F10" s="35"/>
      <c r="G10" s="764"/>
      <c r="H10" s="455">
        <f>+SUM('QTY88'!J32:J42)</f>
        <v>506.45760000000007</v>
      </c>
    </row>
    <row r="11" spans="1:12" ht="40.5" customHeight="1">
      <c r="A11" s="758" t="s">
        <v>869</v>
      </c>
      <c r="B11" s="452" t="s">
        <v>418</v>
      </c>
      <c r="C11" s="453" t="s">
        <v>870</v>
      </c>
      <c r="D11" s="452" t="s">
        <v>28</v>
      </c>
      <c r="E11" s="406">
        <v>645</v>
      </c>
      <c r="F11" s="35"/>
      <c r="G11" s="764"/>
      <c r="H11" s="455">
        <f>+'QTY88'!J61</f>
        <v>642.39340000000004</v>
      </c>
    </row>
    <row r="12" spans="1:12" ht="40.5" customHeight="1">
      <c r="A12" s="758" t="s">
        <v>869</v>
      </c>
      <c r="B12" s="452"/>
      <c r="C12" s="453" t="s">
        <v>871</v>
      </c>
      <c r="D12" s="452" t="s">
        <v>28</v>
      </c>
      <c r="E12" s="241">
        <v>200</v>
      </c>
      <c r="F12" s="407"/>
      <c r="G12" s="764"/>
      <c r="H12" s="455">
        <f>+E9+E10-E11</f>
        <v>-55</v>
      </c>
    </row>
    <row r="13" spans="1:12" ht="35.25" customHeight="1">
      <c r="A13" s="758" t="s">
        <v>872</v>
      </c>
      <c r="B13" s="46" t="s">
        <v>32</v>
      </c>
      <c r="C13" s="248" t="s">
        <v>225</v>
      </c>
      <c r="D13" s="46" t="s">
        <v>28</v>
      </c>
      <c r="E13" s="238">
        <v>30</v>
      </c>
      <c r="F13" s="407"/>
      <c r="G13" s="764"/>
    </row>
    <row r="14" spans="1:12" ht="35.25" customHeight="1">
      <c r="A14" s="758" t="s">
        <v>873</v>
      </c>
      <c r="B14" s="46" t="s">
        <v>33</v>
      </c>
      <c r="C14" s="248" t="s">
        <v>227</v>
      </c>
      <c r="D14" s="46" t="s">
        <v>28</v>
      </c>
      <c r="E14" s="238">
        <v>50</v>
      </c>
      <c r="F14" s="407"/>
      <c r="G14" s="764"/>
    </row>
    <row r="15" spans="1:12" ht="35.25" customHeight="1">
      <c r="A15" s="758" t="s">
        <v>874</v>
      </c>
      <c r="B15" s="48" t="s">
        <v>34</v>
      </c>
      <c r="C15" s="49" t="s">
        <v>35</v>
      </c>
      <c r="D15" s="50" t="s">
        <v>27</v>
      </c>
      <c r="E15" s="238">
        <v>100</v>
      </c>
      <c r="F15" s="407">
        <f>F7</f>
        <v>0</v>
      </c>
      <c r="G15" s="764">
        <f t="shared" ref="G15" si="0">+E15*F15</f>
        <v>0</v>
      </c>
      <c r="H15" s="455">
        <f>+E9+E10-E11</f>
        <v>-55</v>
      </c>
    </row>
    <row r="16" spans="1:12" ht="28.5" customHeight="1" thickBot="1">
      <c r="A16" s="760"/>
      <c r="B16" s="896" t="s">
        <v>875</v>
      </c>
      <c r="C16" s="897"/>
      <c r="D16" s="897"/>
      <c r="E16" s="897"/>
      <c r="F16" s="898"/>
      <c r="G16" s="761">
        <f>SUM(G4:G15)</f>
        <v>0</v>
      </c>
    </row>
  </sheetData>
  <mergeCells count="3">
    <mergeCell ref="A1:C1"/>
    <mergeCell ref="D1:G1"/>
    <mergeCell ref="B16:F16"/>
  </mergeCells>
  <printOptions horizontalCentered="1"/>
  <pageMargins left="0.75" right="0.4" top="0.75" bottom="0.5" header="0" footer="0"/>
  <pageSetup paperSize="9" scale="70"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8EC4A-39D2-4593-BD56-1603C7AF4399}">
  <sheetPr>
    <tabColor rgb="FFFF9933"/>
  </sheetPr>
  <dimension ref="A1:J50"/>
  <sheetViews>
    <sheetView view="pageBreakPreview" zoomScaleNormal="110" zoomScaleSheetLayoutView="100" workbookViewId="0">
      <pane ySplit="2" topLeftCell="A42" activePane="bottomLeft" state="frozen"/>
      <selection activeCell="E36" sqref="E36"/>
      <selection pane="bottomLeft" activeCell="H1" sqref="H1:K1048576"/>
    </sheetView>
  </sheetViews>
  <sheetFormatPr defaultColWidth="9.109375" defaultRowHeight="15"/>
  <cols>
    <col min="1" max="1" width="7.6640625" style="31" customWidth="1"/>
    <col min="2" max="2" width="9.5546875" style="31" customWidth="1"/>
    <col min="3" max="3" width="54" style="31" customWidth="1"/>
    <col min="4" max="4" width="7.6640625" style="31" customWidth="1"/>
    <col min="5" max="5" width="8.6640625" style="31" customWidth="1"/>
    <col min="6" max="6" width="14.77734375" style="31" customWidth="1"/>
    <col min="7" max="7" width="17.6640625" style="31" customWidth="1"/>
    <col min="8" max="8" width="11.5546875" style="457" hidden="1" customWidth="1"/>
    <col min="9" max="11" width="0" style="31" hidden="1" customWidth="1"/>
    <col min="12" max="16384" width="9.109375" style="31"/>
  </cols>
  <sheetData>
    <row r="1" spans="1:8" s="27" customFormat="1" ht="60" customHeight="1" thickBot="1">
      <c r="A1" s="892" t="s">
        <v>876</v>
      </c>
      <c r="B1" s="893"/>
      <c r="C1" s="893"/>
      <c r="D1" s="894" t="str">
        <f>+'Bill 6.2'!D1:G1</f>
        <v xml:space="preserve"> REDUCTION OF LANDSLIDE VULNERABILITY BY MITIGATION MEASURES AT RUBBER RESEARCH INSTITUTE DARTONFIELD ESTATE - AGALAWATTA (Site No.88)</v>
      </c>
      <c r="E1" s="894"/>
      <c r="F1" s="894"/>
      <c r="G1" s="895"/>
      <c r="H1" s="456"/>
    </row>
    <row r="2" spans="1:8" ht="26.4">
      <c r="A2" s="754" t="s">
        <v>11</v>
      </c>
      <c r="B2" s="28" t="s">
        <v>12</v>
      </c>
      <c r="C2" s="29" t="s">
        <v>8</v>
      </c>
      <c r="D2" s="28" t="s">
        <v>13</v>
      </c>
      <c r="E2" s="28" t="s">
        <v>14</v>
      </c>
      <c r="F2" s="30" t="s">
        <v>15</v>
      </c>
      <c r="G2" s="755" t="s">
        <v>16</v>
      </c>
    </row>
    <row r="3" spans="1:8" ht="29.4" customHeight="1">
      <c r="A3" s="766" t="s">
        <v>877</v>
      </c>
      <c r="B3" s="60"/>
      <c r="C3" s="553" t="s">
        <v>210</v>
      </c>
      <c r="D3" s="61"/>
      <c r="E3" s="61"/>
      <c r="F3" s="61"/>
      <c r="G3" s="767"/>
    </row>
    <row r="4" spans="1:8" ht="29.4" customHeight="1">
      <c r="A4" s="758" t="s">
        <v>878</v>
      </c>
      <c r="B4" s="62" t="s">
        <v>37</v>
      </c>
      <c r="C4" s="45" t="s">
        <v>38</v>
      </c>
      <c r="D4" s="33" t="s">
        <v>27</v>
      </c>
      <c r="E4" s="406">
        <v>5</v>
      </c>
      <c r="F4" s="35"/>
      <c r="G4" s="764"/>
      <c r="H4" s="458">
        <f>+Drains88!I106</f>
        <v>4.7025000000000006</v>
      </c>
    </row>
    <row r="5" spans="1:8" ht="29.4" customHeight="1">
      <c r="A5" s="758" t="s">
        <v>879</v>
      </c>
      <c r="B5" s="62" t="s">
        <v>39</v>
      </c>
      <c r="C5" s="45" t="s">
        <v>40</v>
      </c>
      <c r="D5" s="33" t="s">
        <v>27</v>
      </c>
      <c r="E5" s="406">
        <v>22</v>
      </c>
      <c r="F5" s="35"/>
      <c r="G5" s="764"/>
      <c r="H5" s="458">
        <f>+Drains88!J106+Drains88!J107</f>
        <v>20.779593750000004</v>
      </c>
    </row>
    <row r="6" spans="1:8" ht="29.4" customHeight="1">
      <c r="A6" s="758" t="s">
        <v>880</v>
      </c>
      <c r="B6" s="62" t="s">
        <v>41</v>
      </c>
      <c r="C6" s="45" t="s">
        <v>42</v>
      </c>
      <c r="D6" s="33" t="s">
        <v>43</v>
      </c>
      <c r="E6" s="406">
        <v>1390</v>
      </c>
      <c r="F6" s="35"/>
      <c r="G6" s="764"/>
      <c r="H6" s="458">
        <f>+Drains88!S106+Drains88!S107</f>
        <v>1386.2592592592594</v>
      </c>
    </row>
    <row r="7" spans="1:8" ht="29.4" customHeight="1">
      <c r="A7" s="758" t="s">
        <v>881</v>
      </c>
      <c r="B7" s="62" t="s">
        <v>44</v>
      </c>
      <c r="C7" s="45" t="s">
        <v>45</v>
      </c>
      <c r="D7" s="33" t="s">
        <v>20</v>
      </c>
      <c r="E7" s="406">
        <v>270</v>
      </c>
      <c r="F7" s="35"/>
      <c r="G7" s="764"/>
      <c r="H7" s="458">
        <f>+Drains88!K106+Drains88!K107</f>
        <v>266.26950000000005</v>
      </c>
    </row>
    <row r="8" spans="1:8" ht="29.4" customHeight="1">
      <c r="A8" s="766" t="s">
        <v>882</v>
      </c>
      <c r="B8" s="60"/>
      <c r="C8" s="553" t="s">
        <v>36</v>
      </c>
      <c r="D8" s="61"/>
      <c r="E8" s="61"/>
      <c r="F8" s="61"/>
      <c r="G8" s="764"/>
    </row>
    <row r="9" spans="1:8" ht="29.4" customHeight="1">
      <c r="A9" s="758" t="s">
        <v>883</v>
      </c>
      <c r="B9" s="62" t="s">
        <v>37</v>
      </c>
      <c r="C9" s="45" t="s">
        <v>38</v>
      </c>
      <c r="D9" s="33" t="s">
        <v>27</v>
      </c>
      <c r="E9" s="406">
        <v>3</v>
      </c>
      <c r="F9" s="35"/>
      <c r="G9" s="764"/>
      <c r="H9" s="458">
        <f>+Drains88!I109</f>
        <v>2.6097500000000005</v>
      </c>
    </row>
    <row r="10" spans="1:8" ht="29.4" customHeight="1">
      <c r="A10" s="758" t="s">
        <v>884</v>
      </c>
      <c r="B10" s="62" t="s">
        <v>39</v>
      </c>
      <c r="C10" s="45" t="s">
        <v>40</v>
      </c>
      <c r="D10" s="33" t="s">
        <v>27</v>
      </c>
      <c r="E10" s="406">
        <v>13</v>
      </c>
      <c r="F10" s="35"/>
      <c r="G10" s="764"/>
      <c r="H10" s="458">
        <f>+Drains88!J109+Drains88!J110</f>
        <v>12.503453125000004</v>
      </c>
    </row>
    <row r="11" spans="1:8" ht="29.4" customHeight="1">
      <c r="A11" s="758" t="s">
        <v>885</v>
      </c>
      <c r="B11" s="62" t="s">
        <v>41</v>
      </c>
      <c r="C11" s="45" t="s">
        <v>42</v>
      </c>
      <c r="D11" s="33" t="s">
        <v>43</v>
      </c>
      <c r="E11" s="406">
        <v>815</v>
      </c>
      <c r="F11" s="35"/>
      <c r="G11" s="764"/>
      <c r="H11" s="458">
        <f>+Drains88!S109+Drains88!S110</f>
        <v>814.22427983539103</v>
      </c>
    </row>
    <row r="12" spans="1:8" ht="29.4" customHeight="1">
      <c r="A12" s="758" t="s">
        <v>886</v>
      </c>
      <c r="B12" s="62" t="s">
        <v>44</v>
      </c>
      <c r="C12" s="45" t="s">
        <v>45</v>
      </c>
      <c r="D12" s="33" t="s">
        <v>20</v>
      </c>
      <c r="E12" s="406">
        <v>165</v>
      </c>
      <c r="F12" s="35"/>
      <c r="G12" s="764"/>
      <c r="H12" s="458">
        <f>+Drains88!K109+Drains88!K110</f>
        <v>162.48325000000003</v>
      </c>
    </row>
    <row r="13" spans="1:8" ht="29.4" customHeight="1">
      <c r="A13" s="766" t="s">
        <v>887</v>
      </c>
      <c r="B13" s="51"/>
      <c r="C13" s="555" t="s">
        <v>888</v>
      </c>
      <c r="D13" s="41"/>
      <c r="E13" s="41"/>
      <c r="F13" s="41"/>
      <c r="G13" s="764"/>
    </row>
    <row r="14" spans="1:8" ht="29.4" customHeight="1">
      <c r="A14" s="758" t="s">
        <v>889</v>
      </c>
      <c r="B14" s="62" t="s">
        <v>37</v>
      </c>
      <c r="C14" s="45" t="s">
        <v>38</v>
      </c>
      <c r="D14" s="33" t="s">
        <v>27</v>
      </c>
      <c r="E14" s="406">
        <v>1</v>
      </c>
      <c r="F14" s="35"/>
      <c r="G14" s="764"/>
      <c r="H14" s="458">
        <f>+Drains88!I113</f>
        <v>0.81900000000000017</v>
      </c>
    </row>
    <row r="15" spans="1:8" ht="29.4" customHeight="1">
      <c r="A15" s="758" t="s">
        <v>890</v>
      </c>
      <c r="B15" s="62" t="s">
        <v>39</v>
      </c>
      <c r="C15" s="45" t="s">
        <v>40</v>
      </c>
      <c r="D15" s="33" t="s">
        <v>27</v>
      </c>
      <c r="E15" s="406">
        <v>4</v>
      </c>
      <c r="F15" s="35"/>
      <c r="G15" s="764"/>
      <c r="H15" s="458">
        <f>+Drains88!J113</f>
        <v>3.4965000000000006</v>
      </c>
    </row>
    <row r="16" spans="1:8" ht="29.4" customHeight="1">
      <c r="A16" s="758" t="s">
        <v>891</v>
      </c>
      <c r="B16" s="62" t="s">
        <v>41</v>
      </c>
      <c r="C16" s="45" t="s">
        <v>42</v>
      </c>
      <c r="D16" s="33" t="s">
        <v>43</v>
      </c>
      <c r="E16" s="406">
        <v>195</v>
      </c>
      <c r="F16" s="35"/>
      <c r="G16" s="764"/>
      <c r="H16" s="458">
        <f>+Drains88!S113</f>
        <v>193.04012345679013</v>
      </c>
    </row>
    <row r="17" spans="1:8" ht="29.4" customHeight="1">
      <c r="A17" s="758" t="s">
        <v>892</v>
      </c>
      <c r="B17" s="62" t="s">
        <v>44</v>
      </c>
      <c r="C17" s="45" t="s">
        <v>45</v>
      </c>
      <c r="D17" s="33" t="s">
        <v>20</v>
      </c>
      <c r="E17" s="406">
        <v>35</v>
      </c>
      <c r="F17" s="35"/>
      <c r="G17" s="764"/>
      <c r="H17" s="458">
        <f>+Drains88!K113</f>
        <v>34.32</v>
      </c>
    </row>
    <row r="18" spans="1:8" ht="30" customHeight="1">
      <c r="A18" s="766" t="s">
        <v>893</v>
      </c>
      <c r="B18" s="51"/>
      <c r="C18" s="555" t="s">
        <v>894</v>
      </c>
      <c r="D18" s="41"/>
      <c r="E18" s="41"/>
      <c r="F18" s="41"/>
      <c r="G18" s="764"/>
    </row>
    <row r="19" spans="1:8" ht="37.200000000000003" customHeight="1">
      <c r="A19" s="758" t="s">
        <v>895</v>
      </c>
      <c r="B19" s="62" t="s">
        <v>37</v>
      </c>
      <c r="C19" s="45" t="s">
        <v>896</v>
      </c>
      <c r="D19" s="33" t="s">
        <v>27</v>
      </c>
      <c r="E19" s="406">
        <v>20</v>
      </c>
      <c r="F19" s="35"/>
      <c r="G19" s="764"/>
      <c r="H19" s="458">
        <f>+'QTY88'!J70</f>
        <v>20.136875</v>
      </c>
    </row>
    <row r="20" spans="1:8" ht="33" customHeight="1">
      <c r="A20" s="758" t="s">
        <v>897</v>
      </c>
      <c r="B20" s="62" t="s">
        <v>39</v>
      </c>
      <c r="C20" s="45" t="s">
        <v>898</v>
      </c>
      <c r="D20" s="33" t="s">
        <v>27</v>
      </c>
      <c r="E20" s="406">
        <v>96</v>
      </c>
      <c r="F20" s="35"/>
      <c r="G20" s="764"/>
      <c r="H20" s="458">
        <f>+'QTY88'!J71</f>
        <v>95.823750000000018</v>
      </c>
    </row>
    <row r="21" spans="1:8" ht="30" customHeight="1">
      <c r="A21" s="758" t="s">
        <v>899</v>
      </c>
      <c r="B21" s="62" t="s">
        <v>41</v>
      </c>
      <c r="C21" s="45" t="s">
        <v>42</v>
      </c>
      <c r="D21" s="33" t="s">
        <v>43</v>
      </c>
      <c r="E21" s="406">
        <v>6725</v>
      </c>
      <c r="F21" s="35"/>
      <c r="G21" s="764"/>
      <c r="H21" s="458">
        <f>+'QTY88'!J78</f>
        <v>6721.8311111111107</v>
      </c>
    </row>
    <row r="22" spans="1:8" ht="30" customHeight="1">
      <c r="A22" s="758" t="s">
        <v>900</v>
      </c>
      <c r="B22" s="62" t="s">
        <v>44</v>
      </c>
      <c r="C22" s="45" t="s">
        <v>901</v>
      </c>
      <c r="D22" s="33" t="s">
        <v>20</v>
      </c>
      <c r="E22" s="406">
        <v>502</v>
      </c>
      <c r="F22" s="35"/>
      <c r="G22" s="764"/>
      <c r="H22" s="458">
        <f>+'QTY88'!J72</f>
        <v>501.67500000000007</v>
      </c>
    </row>
    <row r="23" spans="1:8" ht="30" customHeight="1">
      <c r="A23" s="758" t="s">
        <v>902</v>
      </c>
      <c r="B23" s="459" t="s">
        <v>813</v>
      </c>
      <c r="C23" s="460" t="s">
        <v>814</v>
      </c>
      <c r="D23" s="461" t="s">
        <v>312</v>
      </c>
      <c r="E23" s="406">
        <v>200</v>
      </c>
      <c r="F23" s="35"/>
      <c r="G23" s="764"/>
      <c r="H23" s="458">
        <f>+'QTY88'!J73</f>
        <v>199.98000000000002</v>
      </c>
    </row>
    <row r="24" spans="1:8" ht="30" customHeight="1">
      <c r="A24" s="758" t="s">
        <v>903</v>
      </c>
      <c r="B24" s="62" t="s">
        <v>904</v>
      </c>
      <c r="C24" s="460" t="s">
        <v>905</v>
      </c>
      <c r="D24" s="33" t="s">
        <v>27</v>
      </c>
      <c r="E24" s="406">
        <v>50</v>
      </c>
      <c r="F24" s="35"/>
      <c r="G24" s="764"/>
      <c r="H24" s="458">
        <f>+'QTY88'!J74</f>
        <v>49.994999999999997</v>
      </c>
    </row>
    <row r="25" spans="1:8" ht="30" customHeight="1">
      <c r="A25" s="818" t="s">
        <v>906</v>
      </c>
      <c r="B25" s="824" t="s">
        <v>569</v>
      </c>
      <c r="C25" s="825" t="s">
        <v>907</v>
      </c>
      <c r="D25" s="826" t="s">
        <v>5</v>
      </c>
      <c r="E25" s="827">
        <v>56</v>
      </c>
      <c r="F25" s="828"/>
      <c r="G25" s="829"/>
      <c r="H25" s="458">
        <f>+'QTY88'!J75</f>
        <v>55.550000000000011</v>
      </c>
    </row>
    <row r="26" spans="1:8" ht="30" customHeight="1">
      <c r="A26" s="766" t="s">
        <v>908</v>
      </c>
      <c r="B26" s="60"/>
      <c r="C26" s="823" t="s">
        <v>909</v>
      </c>
      <c r="D26" s="61"/>
      <c r="E26" s="61"/>
      <c r="F26" s="544"/>
      <c r="G26" s="790"/>
    </row>
    <row r="27" spans="1:8" ht="30" customHeight="1">
      <c r="A27" s="758" t="s">
        <v>910</v>
      </c>
      <c r="B27" s="62" t="s">
        <v>37</v>
      </c>
      <c r="C27" s="45" t="s">
        <v>896</v>
      </c>
      <c r="D27" s="33" t="s">
        <v>27</v>
      </c>
      <c r="E27" s="406">
        <v>4</v>
      </c>
      <c r="F27" s="35"/>
      <c r="G27" s="764"/>
      <c r="H27" s="458">
        <f>+'QTY88'!J82</f>
        <v>3.8898749999999995</v>
      </c>
    </row>
    <row r="28" spans="1:8" ht="30" customHeight="1">
      <c r="A28" s="758" t="s">
        <v>911</v>
      </c>
      <c r="B28" s="62" t="s">
        <v>39</v>
      </c>
      <c r="C28" s="45" t="s">
        <v>898</v>
      </c>
      <c r="D28" s="33" t="s">
        <v>27</v>
      </c>
      <c r="E28" s="406">
        <v>42</v>
      </c>
      <c r="F28" s="35"/>
      <c r="G28" s="764"/>
      <c r="H28" s="458">
        <f>+'QTY88'!J83</f>
        <v>40.922749999999994</v>
      </c>
    </row>
    <row r="29" spans="1:8" ht="30" customHeight="1">
      <c r="A29" s="758" t="s">
        <v>912</v>
      </c>
      <c r="B29" s="62" t="s">
        <v>41</v>
      </c>
      <c r="C29" s="45" t="s">
        <v>42</v>
      </c>
      <c r="D29" s="33" t="s">
        <v>43</v>
      </c>
      <c r="E29" s="406">
        <v>3115</v>
      </c>
      <c r="F29" s="35"/>
      <c r="G29" s="764"/>
      <c r="H29" s="458">
        <f>+'QTY88'!J90</f>
        <v>3113.0861102880654</v>
      </c>
    </row>
    <row r="30" spans="1:8" ht="30" customHeight="1">
      <c r="A30" s="758" t="s">
        <v>913</v>
      </c>
      <c r="B30" s="62" t="s">
        <v>44</v>
      </c>
      <c r="C30" s="45" t="s">
        <v>901</v>
      </c>
      <c r="D30" s="33" t="s">
        <v>20</v>
      </c>
      <c r="E30" s="406">
        <v>175</v>
      </c>
      <c r="F30" s="35"/>
      <c r="G30" s="764"/>
      <c r="H30" s="458">
        <f>+'QTY88'!J84</f>
        <v>172.70999999999998</v>
      </c>
    </row>
    <row r="31" spans="1:8" ht="30" customHeight="1">
      <c r="A31" s="758" t="s">
        <v>914</v>
      </c>
      <c r="B31" s="459" t="s">
        <v>813</v>
      </c>
      <c r="C31" s="460" t="s">
        <v>814</v>
      </c>
      <c r="D31" s="461" t="s">
        <v>312</v>
      </c>
      <c r="E31" s="406">
        <v>65</v>
      </c>
      <c r="F31" s="35"/>
      <c r="G31" s="764"/>
      <c r="H31" s="458">
        <f>+'QTY88'!J85</f>
        <v>64.515000000000001</v>
      </c>
    </row>
    <row r="32" spans="1:8" ht="30" customHeight="1">
      <c r="A32" s="758" t="s">
        <v>915</v>
      </c>
      <c r="B32" s="62" t="s">
        <v>904</v>
      </c>
      <c r="C32" s="460" t="s">
        <v>905</v>
      </c>
      <c r="D32" s="33" t="s">
        <v>27</v>
      </c>
      <c r="E32" s="406">
        <v>18</v>
      </c>
      <c r="F32" s="35"/>
      <c r="G32" s="764"/>
      <c r="H32" s="458">
        <f>+'QTY88'!J86</f>
        <v>17.077500000000001</v>
      </c>
    </row>
    <row r="33" spans="1:10" ht="30" customHeight="1">
      <c r="A33" s="758" t="s">
        <v>916</v>
      </c>
      <c r="B33" s="62" t="s">
        <v>569</v>
      </c>
      <c r="C33" s="460" t="s">
        <v>907</v>
      </c>
      <c r="D33" s="33" t="s">
        <v>5</v>
      </c>
      <c r="E33" s="406">
        <v>16</v>
      </c>
      <c r="F33" s="407"/>
      <c r="G33" s="764"/>
      <c r="H33" s="458">
        <f>+'QTY88'!J87</f>
        <v>15.18</v>
      </c>
    </row>
    <row r="34" spans="1:10" s="65" customFormat="1" ht="27.75" customHeight="1">
      <c r="A34" s="766" t="s">
        <v>917</v>
      </c>
      <c r="B34" s="46"/>
      <c r="C34" s="557" t="s">
        <v>48</v>
      </c>
      <c r="D34" s="46"/>
      <c r="E34" s="359"/>
      <c r="F34" s="35"/>
      <c r="G34" s="764"/>
      <c r="H34" s="462"/>
    </row>
    <row r="35" spans="1:10" s="65" customFormat="1" ht="31.95" customHeight="1">
      <c r="A35" s="768" t="s">
        <v>918</v>
      </c>
      <c r="B35" s="46" t="s">
        <v>49</v>
      </c>
      <c r="C35" s="58" t="s">
        <v>448</v>
      </c>
      <c r="D35" s="46" t="s">
        <v>5</v>
      </c>
      <c r="E35" s="359">
        <v>515</v>
      </c>
      <c r="F35" s="35"/>
      <c r="G35" s="764"/>
      <c r="H35" s="463">
        <f>+Drains88!D115</f>
        <v>14</v>
      </c>
      <c r="I35" s="65">
        <f>+'QTY88'!J77</f>
        <v>383.00833333333333</v>
      </c>
      <c r="J35" s="65">
        <f>+'QTY88'!J89</f>
        <v>116.15833333333332</v>
      </c>
    </row>
    <row r="36" spans="1:10" ht="30" customHeight="1">
      <c r="A36" s="766" t="s">
        <v>919</v>
      </c>
      <c r="B36" s="51"/>
      <c r="C36" s="555" t="s">
        <v>920</v>
      </c>
      <c r="D36" s="41"/>
      <c r="E36" s="41"/>
      <c r="F36" s="35"/>
      <c r="G36" s="764"/>
    </row>
    <row r="37" spans="1:10" ht="30" customHeight="1">
      <c r="A37" s="768" t="s">
        <v>921</v>
      </c>
      <c r="B37" s="62" t="s">
        <v>37</v>
      </c>
      <c r="C37" s="45" t="s">
        <v>38</v>
      </c>
      <c r="D37" s="33" t="s">
        <v>27</v>
      </c>
      <c r="E37" s="406">
        <v>2</v>
      </c>
      <c r="F37" s="35"/>
      <c r="G37" s="764"/>
      <c r="H37" s="458">
        <f>+'QTY88'!J94</f>
        <v>1.9800000000000002</v>
      </c>
    </row>
    <row r="38" spans="1:10" ht="30" customHeight="1">
      <c r="A38" s="768" t="s">
        <v>922</v>
      </c>
      <c r="B38" s="62" t="s">
        <v>39</v>
      </c>
      <c r="C38" s="45" t="s">
        <v>923</v>
      </c>
      <c r="D38" s="33" t="s">
        <v>27</v>
      </c>
      <c r="E38" s="406">
        <v>8</v>
      </c>
      <c r="F38" s="35"/>
      <c r="G38" s="764"/>
      <c r="H38" s="458">
        <f>+'QTY88'!J95</f>
        <v>7.9200000000000008</v>
      </c>
    </row>
    <row r="39" spans="1:10" ht="30" customHeight="1">
      <c r="A39" s="768" t="s">
        <v>924</v>
      </c>
      <c r="B39" s="62" t="s">
        <v>41</v>
      </c>
      <c r="C39" s="45" t="s">
        <v>42</v>
      </c>
      <c r="D39" s="33" t="s">
        <v>43</v>
      </c>
      <c r="E39" s="406">
        <v>245</v>
      </c>
      <c r="F39" s="35"/>
      <c r="G39" s="764"/>
      <c r="H39" s="458">
        <f>+'QTY88'!J105</f>
        <v>243.31565432098765</v>
      </c>
    </row>
    <row r="40" spans="1:10" ht="30" customHeight="1">
      <c r="A40" s="768" t="s">
        <v>925</v>
      </c>
      <c r="B40" s="62" t="s">
        <v>44</v>
      </c>
      <c r="C40" s="45" t="s">
        <v>901</v>
      </c>
      <c r="D40" s="33" t="s">
        <v>20</v>
      </c>
      <c r="E40" s="406">
        <v>4</v>
      </c>
      <c r="F40" s="35"/>
      <c r="G40" s="764"/>
      <c r="H40" s="458">
        <f>+'QTY88'!J107</f>
        <v>3.7345679012345681</v>
      </c>
    </row>
    <row r="41" spans="1:10" ht="30" customHeight="1">
      <c r="A41" s="768" t="s">
        <v>926</v>
      </c>
      <c r="B41" s="33" t="s">
        <v>581</v>
      </c>
      <c r="C41" s="460" t="s">
        <v>927</v>
      </c>
      <c r="D41" s="33" t="s">
        <v>27</v>
      </c>
      <c r="E41" s="406">
        <v>60</v>
      </c>
      <c r="F41" s="407"/>
      <c r="G41" s="764"/>
      <c r="H41" s="458">
        <f>+'QTY88'!J98</f>
        <v>59.400000000000006</v>
      </c>
    </row>
    <row r="42" spans="1:10" ht="30" customHeight="1">
      <c r="A42" s="768" t="s">
        <v>928</v>
      </c>
      <c r="B42" s="459" t="s">
        <v>813</v>
      </c>
      <c r="C42" s="460" t="s">
        <v>814</v>
      </c>
      <c r="D42" s="461" t="s">
        <v>312</v>
      </c>
      <c r="E42" s="406">
        <v>52</v>
      </c>
      <c r="F42" s="35"/>
      <c r="G42" s="764"/>
      <c r="H42" s="458">
        <f>+'QTY88'!J101</f>
        <v>50.292000000000002</v>
      </c>
    </row>
    <row r="43" spans="1:10" ht="30" customHeight="1">
      <c r="A43" s="768" t="s">
        <v>929</v>
      </c>
      <c r="B43" s="62" t="s">
        <v>904</v>
      </c>
      <c r="C43" s="460" t="s">
        <v>905</v>
      </c>
      <c r="D43" s="33" t="s">
        <v>27</v>
      </c>
      <c r="E43" s="406">
        <v>18</v>
      </c>
      <c r="F43" s="35"/>
      <c r="G43" s="764"/>
      <c r="H43" s="458">
        <f>+'QTY88'!J99</f>
        <v>16.374600000000001</v>
      </c>
    </row>
    <row r="44" spans="1:10" ht="30" customHeight="1">
      <c r="A44" s="768" t="s">
        <v>930</v>
      </c>
      <c r="B44" s="62" t="s">
        <v>569</v>
      </c>
      <c r="C44" s="460" t="s">
        <v>907</v>
      </c>
      <c r="D44" s="33" t="s">
        <v>5</v>
      </c>
      <c r="E44" s="406">
        <v>48</v>
      </c>
      <c r="F44" s="35"/>
      <c r="G44" s="764"/>
      <c r="H44" s="458">
        <f>+'QTY88'!J100</f>
        <v>46.750000000000007</v>
      </c>
    </row>
    <row r="45" spans="1:10" ht="30" customHeight="1">
      <c r="A45" s="768" t="s">
        <v>931</v>
      </c>
      <c r="B45" s="400" t="s">
        <v>587</v>
      </c>
      <c r="C45" s="385" t="s">
        <v>588</v>
      </c>
      <c r="D45" s="245" t="s">
        <v>312</v>
      </c>
      <c r="E45" s="359">
        <v>15</v>
      </c>
      <c r="F45" s="237"/>
      <c r="G45" s="764"/>
      <c r="H45" s="458">
        <f>+'QTY88'!J102</f>
        <v>13.860000000000001</v>
      </c>
      <c r="J45" s="31">
        <v>8780</v>
      </c>
    </row>
    <row r="46" spans="1:10" ht="30" customHeight="1">
      <c r="A46" s="766" t="s">
        <v>932</v>
      </c>
      <c r="B46" s="51"/>
      <c r="C46" s="555" t="s">
        <v>933</v>
      </c>
      <c r="D46" s="41"/>
      <c r="E46" s="41"/>
      <c r="F46" s="35"/>
      <c r="G46" s="764"/>
      <c r="J46" s="31">
        <v>9.2899999999999991</v>
      </c>
    </row>
    <row r="47" spans="1:10" ht="30" customHeight="1">
      <c r="A47" s="786" t="s">
        <v>934</v>
      </c>
      <c r="B47" s="62" t="s">
        <v>39</v>
      </c>
      <c r="C47" s="45" t="s">
        <v>923</v>
      </c>
      <c r="D47" s="33" t="s">
        <v>27</v>
      </c>
      <c r="E47" s="33">
        <v>4</v>
      </c>
      <c r="F47" s="35"/>
      <c r="G47" s="764"/>
      <c r="H47" s="458">
        <f>+'QTY88'!J111</f>
        <v>3.2175000000000002</v>
      </c>
    </row>
    <row r="48" spans="1:10" ht="30" customHeight="1">
      <c r="A48" s="786" t="s">
        <v>935</v>
      </c>
      <c r="B48" s="62" t="s">
        <v>41</v>
      </c>
      <c r="C48" s="45" t="s">
        <v>42</v>
      </c>
      <c r="D48" s="33" t="s">
        <v>43</v>
      </c>
      <c r="E48" s="33">
        <v>480</v>
      </c>
      <c r="F48" s="35"/>
      <c r="G48" s="764"/>
      <c r="H48" s="458">
        <f>+'QTY88'!J116</f>
        <v>476.62592592592603</v>
      </c>
    </row>
    <row r="49" spans="1:8" ht="30" customHeight="1">
      <c r="A49" s="786" t="s">
        <v>936</v>
      </c>
      <c r="B49" s="62" t="s">
        <v>44</v>
      </c>
      <c r="C49" s="45" t="s">
        <v>901</v>
      </c>
      <c r="D49" s="33" t="s">
        <v>20</v>
      </c>
      <c r="E49" s="33">
        <v>11</v>
      </c>
      <c r="F49" s="35"/>
      <c r="G49" s="764"/>
      <c r="H49" s="458">
        <f>+'QTY88'!J113</f>
        <v>10.1145</v>
      </c>
    </row>
    <row r="50" spans="1:8" ht="30" customHeight="1" thickBot="1">
      <c r="A50" s="760"/>
      <c r="B50" s="896" t="s">
        <v>937</v>
      </c>
      <c r="C50" s="897"/>
      <c r="D50" s="897"/>
      <c r="E50" s="897"/>
      <c r="F50" s="898"/>
      <c r="G50" s="761"/>
    </row>
  </sheetData>
  <mergeCells count="3">
    <mergeCell ref="A1:C1"/>
    <mergeCell ref="D1:G1"/>
    <mergeCell ref="B50:F50"/>
  </mergeCells>
  <printOptions horizontalCentered="1"/>
  <pageMargins left="0.75" right="0.4" top="0.75" bottom="0.5" header="0" footer="0"/>
  <pageSetup paperSize="9" scale="70" fitToHeight="0" orientation="portrait" r:id="rId1"/>
  <rowBreaks count="1" manualBreakCount="1">
    <brk id="25" max="6"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8609B-BDDF-4D2B-9EEE-C495068AA92D}">
  <sheetPr>
    <tabColor rgb="FFFF9933"/>
  </sheetPr>
  <dimension ref="A1:I7"/>
  <sheetViews>
    <sheetView view="pageBreakPreview" zoomScale="110" zoomScaleNormal="110" zoomScaleSheetLayoutView="110" workbookViewId="0">
      <selection activeCell="H1" sqref="H1:I1048576"/>
    </sheetView>
  </sheetViews>
  <sheetFormatPr defaultColWidth="9.109375" defaultRowHeight="15"/>
  <cols>
    <col min="1" max="1" width="7.6640625" style="31" customWidth="1"/>
    <col min="2" max="2" width="9.6640625" style="369" customWidth="1"/>
    <col min="3" max="3" width="54" style="31" customWidth="1"/>
    <col min="4" max="4" width="7.6640625" style="370" customWidth="1"/>
    <col min="5" max="5" width="8.6640625" style="31" customWidth="1"/>
    <col min="6" max="6" width="14.5546875" style="31" customWidth="1"/>
    <col min="7" max="7" width="18.5546875" style="31" customWidth="1"/>
    <col min="8" max="8" width="11.5546875" style="457" hidden="1" customWidth="1"/>
    <col min="9" max="9" width="39.5546875" style="31" hidden="1" customWidth="1"/>
    <col min="10" max="16384" width="9.109375" style="31"/>
  </cols>
  <sheetData>
    <row r="1" spans="1:9" s="27" customFormat="1" ht="60" customHeight="1" thickBot="1">
      <c r="A1" s="892" t="s">
        <v>938</v>
      </c>
      <c r="B1" s="893"/>
      <c r="C1" s="893"/>
      <c r="D1" s="894" t="str">
        <f>+'Bill 6.3'!D1:G1</f>
        <v xml:space="preserve"> REDUCTION OF LANDSLIDE VULNERABILITY BY MITIGATION MEASURES AT RUBBER RESEARCH INSTITUTE DARTONFIELD ESTATE - AGALAWATTA (Site No.88)</v>
      </c>
      <c r="E1" s="894"/>
      <c r="F1" s="894"/>
      <c r="G1" s="895"/>
      <c r="H1" s="456"/>
    </row>
    <row r="2" spans="1:9" ht="26.4">
      <c r="A2" s="754" t="s">
        <v>11</v>
      </c>
      <c r="B2" s="28" t="s">
        <v>12</v>
      </c>
      <c r="C2" s="29" t="s">
        <v>8</v>
      </c>
      <c r="D2" s="28" t="s">
        <v>13</v>
      </c>
      <c r="E2" s="28" t="s">
        <v>14</v>
      </c>
      <c r="F2" s="30" t="s">
        <v>15</v>
      </c>
      <c r="G2" s="755" t="s">
        <v>16</v>
      </c>
    </row>
    <row r="3" spans="1:9" ht="27.6" customHeight="1">
      <c r="A3" s="615" t="s">
        <v>939</v>
      </c>
      <c r="B3" s="365"/>
      <c r="C3" s="362" t="s">
        <v>461</v>
      </c>
      <c r="D3" s="365"/>
      <c r="E3" s="359"/>
      <c r="F3" s="57"/>
      <c r="G3" s="784"/>
      <c r="H3" s="458"/>
    </row>
    <row r="4" spans="1:9" ht="31.2" customHeight="1">
      <c r="A4" s="787" t="s">
        <v>940</v>
      </c>
      <c r="B4" s="46" t="s">
        <v>592</v>
      </c>
      <c r="C4" s="47" t="s">
        <v>463</v>
      </c>
      <c r="D4" s="365" t="s">
        <v>312</v>
      </c>
      <c r="E4" s="464">
        <v>150</v>
      </c>
      <c r="F4" s="366"/>
      <c r="G4" s="367"/>
      <c r="H4" s="458"/>
      <c r="I4" s="349" t="s">
        <v>941</v>
      </c>
    </row>
    <row r="5" spans="1:9" s="27" customFormat="1" ht="25.95" customHeight="1">
      <c r="A5" s="788" t="s">
        <v>942</v>
      </c>
      <c r="B5" s="350"/>
      <c r="C5" s="351" t="s">
        <v>943</v>
      </c>
      <c r="D5" s="56"/>
      <c r="E5" s="352"/>
      <c r="F5" s="420"/>
      <c r="G5" s="789"/>
      <c r="H5" s="44"/>
      <c r="I5" s="414"/>
    </row>
    <row r="6" spans="1:9" s="27" customFormat="1" ht="58.2" customHeight="1">
      <c r="A6" s="776" t="s">
        <v>944</v>
      </c>
      <c r="B6" s="350" t="s">
        <v>945</v>
      </c>
      <c r="C6" s="353" t="s">
        <v>946</v>
      </c>
      <c r="D6" s="350" t="s">
        <v>5</v>
      </c>
      <c r="E6" s="352">
        <v>212</v>
      </c>
      <c r="F6" s="465"/>
      <c r="G6" s="367"/>
      <c r="H6" s="44">
        <f>+'QTY88'!J120</f>
        <v>211.20000000000002</v>
      </c>
      <c r="I6" s="414"/>
    </row>
    <row r="7" spans="1:9" ht="24.75" customHeight="1" thickBot="1">
      <c r="A7" s="760"/>
      <c r="B7" s="896" t="s">
        <v>947</v>
      </c>
      <c r="C7" s="897"/>
      <c r="D7" s="897"/>
      <c r="E7" s="897"/>
      <c r="F7" s="898"/>
      <c r="G7" s="761"/>
    </row>
  </sheetData>
  <mergeCells count="3">
    <mergeCell ref="A1:C1"/>
    <mergeCell ref="D1:G1"/>
    <mergeCell ref="B7:F7"/>
  </mergeCells>
  <printOptions horizontalCentered="1"/>
  <pageMargins left="0.75" right="0.4" top="0.75" bottom="0.5" header="0" footer="0"/>
  <pageSetup paperSize="9" scale="70"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F01C7-C99D-4682-B627-DD848D089E63}">
  <sheetPr>
    <tabColor rgb="FF00B050"/>
  </sheetPr>
  <dimension ref="A1:M124"/>
  <sheetViews>
    <sheetView view="pageBreakPreview" zoomScale="90" zoomScaleNormal="100" zoomScaleSheetLayoutView="90" workbookViewId="0">
      <pane ySplit="2" topLeftCell="A3" activePane="bottomLeft" state="frozen"/>
      <selection activeCell="F9" sqref="F9"/>
      <selection pane="bottomLeft" activeCell="F9" sqref="F9"/>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5" width="9.109375" style="68"/>
    <col min="16" max="16" width="11.109375" style="68" bestFit="1" customWidth="1"/>
    <col min="17" max="16384" width="9.109375" style="68"/>
  </cols>
  <sheetData>
    <row r="1" spans="1:12" ht="20.100000000000001" customHeight="1">
      <c r="A1" s="902" t="s">
        <v>948</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08" t="s">
        <v>62</v>
      </c>
      <c r="B4" s="909"/>
      <c r="C4" s="909"/>
      <c r="D4" s="909"/>
      <c r="E4" s="909"/>
      <c r="F4" s="910"/>
      <c r="G4" s="73"/>
      <c r="H4" s="74"/>
      <c r="I4" s="73"/>
      <c r="J4" s="73"/>
    </row>
    <row r="5" spans="1:12" ht="15">
      <c r="A5" s="466" t="s">
        <v>949</v>
      </c>
      <c r="B5" s="76"/>
      <c r="C5" s="77"/>
      <c r="D5" s="78"/>
      <c r="E5" s="77"/>
      <c r="F5" s="76"/>
      <c r="G5" s="77"/>
      <c r="H5" s="77"/>
      <c r="I5" s="77"/>
      <c r="J5" s="79"/>
      <c r="L5" s="80"/>
    </row>
    <row r="6" spans="1:12" ht="15">
      <c r="A6" s="84"/>
      <c r="B6" s="82"/>
      <c r="C6" s="82"/>
      <c r="D6" s="78"/>
      <c r="E6" s="77"/>
      <c r="F6" s="76">
        <f>B6*C6</f>
        <v>0</v>
      </c>
      <c r="G6" s="77"/>
      <c r="H6" s="77" t="s">
        <v>487</v>
      </c>
      <c r="I6" s="79">
        <f>F6*1.1</f>
        <v>0</v>
      </c>
      <c r="J6" s="128">
        <f>ROUNDUP(I6,2)</f>
        <v>0</v>
      </c>
      <c r="L6" s="467" t="s">
        <v>950</v>
      </c>
    </row>
    <row r="7" spans="1:12" ht="15">
      <c r="A7" s="84"/>
      <c r="B7" s="82"/>
      <c r="C7" s="76"/>
      <c r="D7" s="78"/>
      <c r="E7" s="77"/>
      <c r="F7" s="76"/>
      <c r="G7" s="77"/>
      <c r="H7" s="77"/>
      <c r="I7" s="79"/>
      <c r="J7" s="128"/>
      <c r="L7" s="467" t="s">
        <v>951</v>
      </c>
    </row>
    <row r="8" spans="1:12" ht="30">
      <c r="A8" s="84" t="s">
        <v>952</v>
      </c>
      <c r="B8" s="82"/>
      <c r="C8" s="76"/>
      <c r="D8" s="78"/>
      <c r="E8" s="77"/>
      <c r="F8" s="76"/>
      <c r="G8" s="79"/>
      <c r="H8" s="77" t="s">
        <v>487</v>
      </c>
      <c r="I8" s="79"/>
      <c r="J8" s="128">
        <f>+'Cantilever Walls88'!E17</f>
        <v>622.16000000000008</v>
      </c>
      <c r="L8" s="80"/>
    </row>
    <row r="9" spans="1:12" ht="15">
      <c r="A9" s="84"/>
      <c r="B9" s="82"/>
      <c r="C9" s="76"/>
      <c r="D9" s="78"/>
      <c r="E9" s="77"/>
      <c r="F9" s="76"/>
      <c r="G9" s="79"/>
      <c r="H9" s="77"/>
      <c r="I9" s="79"/>
      <c r="J9" s="128"/>
      <c r="L9" s="80"/>
    </row>
    <row r="10" spans="1:12" ht="15">
      <c r="A10" s="84" t="s">
        <v>953</v>
      </c>
      <c r="B10" s="82"/>
      <c r="C10" s="76"/>
      <c r="D10" s="78"/>
      <c r="E10" s="77"/>
      <c r="F10" s="76"/>
      <c r="G10" s="79"/>
      <c r="H10" s="77" t="s">
        <v>487</v>
      </c>
      <c r="I10" s="79"/>
      <c r="J10" s="128">
        <f>+Drains88!G116</f>
        <v>570.625</v>
      </c>
      <c r="L10" s="80"/>
    </row>
    <row r="11" spans="1:12" ht="15">
      <c r="A11" s="84"/>
      <c r="B11" s="76"/>
      <c r="C11" s="76"/>
      <c r="D11" s="78"/>
      <c r="E11" s="77"/>
      <c r="F11" s="76"/>
      <c r="G11" s="79"/>
      <c r="H11" s="77"/>
      <c r="I11" s="79"/>
      <c r="J11" s="128"/>
      <c r="L11" s="80"/>
    </row>
    <row r="12" spans="1:12" ht="15">
      <c r="A12" s="84" t="s">
        <v>954</v>
      </c>
      <c r="B12" s="76">
        <v>18</v>
      </c>
      <c r="C12" s="76">
        <f>2+3</f>
        <v>5</v>
      </c>
      <c r="D12" s="78"/>
      <c r="E12" s="77"/>
      <c r="F12" s="76"/>
      <c r="G12" s="79"/>
      <c r="H12" s="77" t="s">
        <v>487</v>
      </c>
      <c r="I12" s="79"/>
      <c r="J12" s="128">
        <f>+B12*C12</f>
        <v>90</v>
      </c>
      <c r="L12" s="80"/>
    </row>
    <row r="13" spans="1:12" ht="15">
      <c r="A13" s="84"/>
      <c r="B13" s="76"/>
      <c r="C13" s="76"/>
      <c r="D13" s="78"/>
      <c r="E13" s="77"/>
      <c r="F13" s="76"/>
      <c r="G13" s="79"/>
      <c r="H13" s="77"/>
      <c r="I13" s="79"/>
      <c r="J13" s="128"/>
      <c r="L13" s="80"/>
    </row>
    <row r="14" spans="1:12" ht="15">
      <c r="A14" s="84"/>
      <c r="B14" s="76"/>
      <c r="C14" s="76"/>
      <c r="D14" s="78"/>
      <c r="E14" s="77"/>
      <c r="F14" s="76"/>
      <c r="G14" s="77"/>
      <c r="H14" s="77"/>
      <c r="I14" s="79"/>
      <c r="J14" s="103">
        <f>+SUM(J5:J12)</f>
        <v>1282.7850000000001</v>
      </c>
    </row>
    <row r="15" spans="1:12" ht="15">
      <c r="A15" s="84"/>
      <c r="B15" s="76"/>
      <c r="C15" s="76"/>
      <c r="D15" s="78"/>
      <c r="E15" s="77"/>
      <c r="F15" s="76"/>
      <c r="G15" s="77"/>
      <c r="H15" s="77"/>
      <c r="I15" s="79"/>
      <c r="J15" s="101"/>
    </row>
    <row r="16" spans="1:12" ht="15">
      <c r="A16" s="905" t="s">
        <v>64</v>
      </c>
      <c r="B16" s="906"/>
      <c r="C16" s="906"/>
      <c r="D16" s="906"/>
      <c r="E16" s="906"/>
      <c r="F16" s="906"/>
      <c r="G16" s="906"/>
      <c r="H16" s="906"/>
      <c r="I16" s="906"/>
      <c r="J16" s="907"/>
    </row>
    <row r="17" spans="1:12" ht="15">
      <c r="A17" s="911" t="s">
        <v>65</v>
      </c>
      <c r="B17" s="912"/>
      <c r="C17" s="912"/>
      <c r="D17" s="912"/>
      <c r="E17" s="912"/>
      <c r="F17" s="913"/>
      <c r="G17" s="73"/>
      <c r="H17" s="74"/>
      <c r="I17" s="74"/>
      <c r="J17" s="73"/>
      <c r="K17" s="94"/>
    </row>
    <row r="18" spans="1:12" ht="15">
      <c r="A18" s="911" t="s">
        <v>66</v>
      </c>
      <c r="B18" s="912"/>
      <c r="C18" s="912"/>
      <c r="D18" s="912"/>
      <c r="E18" s="912"/>
      <c r="F18" s="913"/>
      <c r="G18" s="73"/>
      <c r="H18" s="74"/>
      <c r="I18" s="73"/>
      <c r="J18" s="73"/>
      <c r="L18" s="80"/>
    </row>
    <row r="19" spans="1:12" ht="15">
      <c r="A19" s="911" t="s">
        <v>67</v>
      </c>
      <c r="B19" s="912"/>
      <c r="C19" s="912"/>
      <c r="D19" s="912"/>
      <c r="E19" s="912"/>
      <c r="F19" s="913"/>
      <c r="G19" s="95"/>
      <c r="H19" s="96"/>
      <c r="I19" s="95"/>
      <c r="J19" s="95"/>
      <c r="L19" s="80"/>
    </row>
    <row r="20" spans="1:12" ht="15">
      <c r="A20" s="468" t="s">
        <v>68</v>
      </c>
      <c r="B20" s="76"/>
      <c r="C20" s="76"/>
      <c r="D20" s="78"/>
      <c r="E20" s="77"/>
      <c r="F20" s="76"/>
      <c r="G20" s="77"/>
      <c r="H20" s="77"/>
      <c r="I20" s="79"/>
      <c r="J20" s="79"/>
      <c r="L20" s="80"/>
    </row>
    <row r="21" spans="1:12" ht="15">
      <c r="A21" s="84" t="s">
        <v>955</v>
      </c>
      <c r="B21" s="76"/>
      <c r="C21" s="76"/>
      <c r="D21" s="78"/>
      <c r="E21" s="77"/>
      <c r="F21" s="76">
        <f>B21*C21</f>
        <v>0</v>
      </c>
      <c r="G21" s="77"/>
      <c r="H21" s="77" t="s">
        <v>63</v>
      </c>
      <c r="I21" s="79">
        <f>F21*1.1</f>
        <v>0</v>
      </c>
      <c r="J21" s="128">
        <f>ROUNDUP(I21,2)</f>
        <v>0</v>
      </c>
      <c r="L21" s="80"/>
    </row>
    <row r="22" spans="1:12" ht="15">
      <c r="A22" s="84"/>
      <c r="B22" s="76"/>
      <c r="C22" s="76"/>
      <c r="D22" s="78"/>
      <c r="E22" s="77"/>
      <c r="F22" s="76">
        <f>B22*C22</f>
        <v>0</v>
      </c>
      <c r="G22" s="77"/>
      <c r="H22" s="77" t="s">
        <v>63</v>
      </c>
      <c r="I22" s="79">
        <f>F22*1.1</f>
        <v>0</v>
      </c>
      <c r="J22" s="128">
        <f>ROUNDUP(I22,2)</f>
        <v>0</v>
      </c>
      <c r="L22" s="80"/>
    </row>
    <row r="23" spans="1:12" ht="15">
      <c r="A23" s="84"/>
      <c r="B23" s="76"/>
      <c r="C23" s="76"/>
      <c r="D23" s="78"/>
      <c r="E23" s="77"/>
      <c r="F23" s="76"/>
      <c r="G23" s="77"/>
      <c r="H23" s="77"/>
      <c r="I23" s="79"/>
      <c r="J23" s="128"/>
      <c r="L23" s="80"/>
    </row>
    <row r="24" spans="1:12" ht="15">
      <c r="A24" s="84"/>
      <c r="B24" s="76"/>
      <c r="C24" s="76"/>
      <c r="D24" s="78"/>
      <c r="E24" s="77"/>
      <c r="F24" s="76"/>
      <c r="G24" s="77"/>
      <c r="H24" s="77"/>
      <c r="I24" s="79"/>
      <c r="J24" s="101">
        <f>+SUM(J21:J23)</f>
        <v>0</v>
      </c>
    </row>
    <row r="25" spans="1:12" ht="15">
      <c r="A25" s="84"/>
      <c r="B25" s="76"/>
      <c r="C25" s="76"/>
      <c r="D25" s="78"/>
      <c r="E25" s="77"/>
      <c r="F25" s="76"/>
      <c r="G25" s="77"/>
      <c r="H25" s="77"/>
      <c r="I25" s="79"/>
      <c r="J25" s="79"/>
    </row>
    <row r="26" spans="1:12" ht="15">
      <c r="A26" s="964" t="s">
        <v>956</v>
      </c>
      <c r="B26" s="965"/>
      <c r="C26" s="965"/>
      <c r="D26" s="965"/>
      <c r="E26" s="965"/>
      <c r="F26" s="966"/>
      <c r="G26" s="95"/>
      <c r="H26" s="96"/>
      <c r="I26" s="95"/>
      <c r="J26" s="95">
        <f>+J24</f>
        <v>0</v>
      </c>
      <c r="L26" s="80"/>
    </row>
    <row r="27" spans="1:12" ht="15">
      <c r="A27" s="84"/>
      <c r="B27" s="76"/>
      <c r="C27" s="76"/>
      <c r="D27" s="78"/>
      <c r="E27" s="77"/>
      <c r="F27" s="76"/>
      <c r="G27" s="77"/>
      <c r="H27" s="77"/>
      <c r="I27" s="79"/>
      <c r="J27" s="79"/>
      <c r="L27" s="80"/>
    </row>
    <row r="28" spans="1:12" ht="15">
      <c r="A28" s="911" t="s">
        <v>69</v>
      </c>
      <c r="B28" s="912"/>
      <c r="C28" s="912"/>
      <c r="D28" s="912"/>
      <c r="E28" s="912"/>
      <c r="F28" s="913"/>
      <c r="G28" s="97"/>
      <c r="H28" s="74"/>
      <c r="I28" s="73"/>
      <c r="J28" s="73"/>
      <c r="K28" s="80"/>
      <c r="L28" s="80"/>
    </row>
    <row r="29" spans="1:12" ht="15">
      <c r="A29" s="911" t="s">
        <v>70</v>
      </c>
      <c r="B29" s="912"/>
      <c r="C29" s="912"/>
      <c r="D29" s="912"/>
      <c r="E29" s="912"/>
      <c r="F29" s="913"/>
      <c r="G29" s="97"/>
      <c r="H29" s="74"/>
      <c r="I29" s="73"/>
      <c r="J29" s="73"/>
      <c r="K29" s="80"/>
      <c r="L29" s="80"/>
    </row>
    <row r="30" spans="1:12" ht="15">
      <c r="A30" s="911" t="s">
        <v>71</v>
      </c>
      <c r="B30" s="912"/>
      <c r="C30" s="912"/>
      <c r="D30" s="912"/>
      <c r="E30" s="912"/>
      <c r="F30" s="913"/>
      <c r="G30" s="95"/>
      <c r="H30" s="96"/>
      <c r="I30" s="95"/>
      <c r="J30" s="95"/>
      <c r="K30" s="80"/>
      <c r="L30" s="80"/>
    </row>
    <row r="31" spans="1:12" ht="15">
      <c r="A31" s="98" t="s">
        <v>957</v>
      </c>
      <c r="B31" s="82"/>
      <c r="C31" s="99"/>
      <c r="D31" s="99"/>
      <c r="E31" s="100"/>
      <c r="F31" s="82"/>
      <c r="G31" s="100"/>
      <c r="H31" s="100"/>
      <c r="I31" s="79"/>
      <c r="J31" s="101"/>
      <c r="K31" s="80"/>
      <c r="L31" s="80"/>
    </row>
    <row r="32" spans="1:12" ht="15">
      <c r="A32" s="87" t="s">
        <v>958</v>
      </c>
      <c r="B32" s="88">
        <v>2.302</v>
      </c>
      <c r="C32" s="90">
        <v>15</v>
      </c>
      <c r="D32" s="90"/>
      <c r="E32" s="91"/>
      <c r="F32" s="88">
        <f>PRODUCT(B32:E32)</f>
        <v>34.53</v>
      </c>
      <c r="G32" s="102">
        <f>F32</f>
        <v>34.53</v>
      </c>
      <c r="H32" s="77" t="s">
        <v>63</v>
      </c>
      <c r="I32" s="79">
        <f>G32*1.1</f>
        <v>37.983000000000004</v>
      </c>
      <c r="J32" s="128">
        <f>I32</f>
        <v>37.983000000000004</v>
      </c>
      <c r="K32" s="80"/>
      <c r="L32" s="80"/>
    </row>
    <row r="33" spans="1:12" ht="15">
      <c r="A33" s="87" t="s">
        <v>959</v>
      </c>
      <c r="B33" s="88">
        <f>+B32</f>
        <v>2.302</v>
      </c>
      <c r="C33" s="90">
        <v>8.5</v>
      </c>
      <c r="D33" s="90"/>
      <c r="E33" s="91"/>
      <c r="F33" s="88">
        <f t="shared" ref="F33:F36" si="0">PRODUCT(B33:E33)</f>
        <v>19.567</v>
      </c>
      <c r="G33" s="102">
        <f t="shared" ref="G33:G36" si="1">F33</f>
        <v>19.567</v>
      </c>
      <c r="H33" s="77" t="s">
        <v>63</v>
      </c>
      <c r="I33" s="79">
        <f t="shared" ref="I33:I36" si="2">G33*1.1</f>
        <v>21.523700000000002</v>
      </c>
      <c r="J33" s="128">
        <f t="shared" ref="J33:J36" si="3">I33</f>
        <v>21.523700000000002</v>
      </c>
      <c r="K33" s="80"/>
      <c r="L33" s="80"/>
    </row>
    <row r="34" spans="1:12" ht="15">
      <c r="A34" s="87" t="s">
        <v>960</v>
      </c>
      <c r="B34" s="88">
        <v>3.024</v>
      </c>
      <c r="C34" s="90">
        <v>15</v>
      </c>
      <c r="D34" s="90"/>
      <c r="E34" s="91"/>
      <c r="F34" s="88">
        <f t="shared" si="0"/>
        <v>45.36</v>
      </c>
      <c r="G34" s="102">
        <f t="shared" si="1"/>
        <v>45.36</v>
      </c>
      <c r="H34" s="77" t="s">
        <v>63</v>
      </c>
      <c r="I34" s="79">
        <f t="shared" si="2"/>
        <v>49.896000000000001</v>
      </c>
      <c r="J34" s="128">
        <f t="shared" si="3"/>
        <v>49.896000000000001</v>
      </c>
      <c r="K34" s="80"/>
      <c r="L34" s="80"/>
    </row>
    <row r="35" spans="1:12" ht="15">
      <c r="A35" s="87" t="s">
        <v>961</v>
      </c>
      <c r="B35" s="88">
        <v>2.65</v>
      </c>
      <c r="C35" s="90">
        <v>30</v>
      </c>
      <c r="D35" s="90"/>
      <c r="E35" s="91"/>
      <c r="F35" s="88">
        <f t="shared" si="0"/>
        <v>79.5</v>
      </c>
      <c r="G35" s="102">
        <f t="shared" si="1"/>
        <v>79.5</v>
      </c>
      <c r="H35" s="77" t="s">
        <v>63</v>
      </c>
      <c r="I35" s="79">
        <f t="shared" si="2"/>
        <v>87.45</v>
      </c>
      <c r="J35" s="128">
        <f t="shared" si="3"/>
        <v>87.45</v>
      </c>
      <c r="K35" s="80"/>
      <c r="L35" s="80"/>
    </row>
    <row r="36" spans="1:12" ht="15">
      <c r="A36" s="87" t="s">
        <v>962</v>
      </c>
      <c r="B36" s="88">
        <v>3.58</v>
      </c>
      <c r="C36" s="90">
        <v>34</v>
      </c>
      <c r="D36" s="90"/>
      <c r="E36" s="91"/>
      <c r="F36" s="88">
        <f t="shared" si="0"/>
        <v>121.72</v>
      </c>
      <c r="G36" s="102">
        <f t="shared" si="1"/>
        <v>121.72</v>
      </c>
      <c r="H36" s="77" t="s">
        <v>63</v>
      </c>
      <c r="I36" s="79">
        <f t="shared" si="2"/>
        <v>133.892</v>
      </c>
      <c r="J36" s="128">
        <f t="shared" si="3"/>
        <v>133.892</v>
      </c>
      <c r="K36" s="80"/>
      <c r="L36" s="80"/>
    </row>
    <row r="37" spans="1:12" ht="15">
      <c r="A37" s="394"/>
      <c r="B37" s="88"/>
      <c r="C37" s="90"/>
      <c r="D37" s="90"/>
      <c r="E37" s="91"/>
      <c r="F37" s="88"/>
      <c r="G37" s="102"/>
      <c r="H37" s="77"/>
      <c r="I37" s="79"/>
      <c r="J37" s="103"/>
      <c r="K37" s="80"/>
      <c r="L37" s="80"/>
    </row>
    <row r="38" spans="1:12" ht="15">
      <c r="A38" s="98" t="s">
        <v>963</v>
      </c>
      <c r="B38" s="82"/>
      <c r="C38" s="99"/>
      <c r="D38" s="99"/>
      <c r="E38" s="100"/>
      <c r="F38" s="82"/>
      <c r="G38" s="100"/>
      <c r="H38" s="100"/>
      <c r="I38" s="79"/>
      <c r="J38" s="101"/>
      <c r="K38" s="80"/>
      <c r="L38" s="80"/>
    </row>
    <row r="39" spans="1:12" ht="15">
      <c r="A39" s="87" t="s">
        <v>615</v>
      </c>
      <c r="B39" s="88">
        <v>3.9649999999999999</v>
      </c>
      <c r="C39" s="90">
        <v>23</v>
      </c>
      <c r="D39" s="90"/>
      <c r="E39" s="91"/>
      <c r="F39" s="88">
        <f>PRODUCT(B39:E39)</f>
        <v>91.194999999999993</v>
      </c>
      <c r="G39" s="102">
        <f>F39</f>
        <v>91.194999999999993</v>
      </c>
      <c r="H39" s="77" t="s">
        <v>63</v>
      </c>
      <c r="I39" s="79">
        <f>G39*1.1</f>
        <v>100.3145</v>
      </c>
      <c r="J39" s="128">
        <f>I39</f>
        <v>100.3145</v>
      </c>
      <c r="K39" s="80"/>
      <c r="L39" s="80"/>
    </row>
    <row r="40" spans="1:12" ht="15">
      <c r="A40" s="394"/>
      <c r="B40" s="88"/>
      <c r="C40" s="90"/>
      <c r="D40" s="90"/>
      <c r="E40" s="91"/>
      <c r="F40" s="88"/>
      <c r="G40" s="102"/>
      <c r="H40" s="77"/>
      <c r="I40" s="79"/>
      <c r="J40" s="103"/>
      <c r="K40" s="80"/>
      <c r="L40" s="80"/>
    </row>
    <row r="41" spans="1:12" ht="30">
      <c r="A41" s="98" t="s">
        <v>964</v>
      </c>
      <c r="B41" s="82"/>
      <c r="C41" s="99"/>
      <c r="D41" s="99"/>
      <c r="E41" s="100"/>
      <c r="F41" s="82"/>
      <c r="G41" s="100"/>
      <c r="H41" s="100"/>
      <c r="I41" s="79"/>
      <c r="J41" s="101"/>
      <c r="K41" s="80"/>
      <c r="L41" s="80"/>
    </row>
    <row r="42" spans="1:12" ht="15">
      <c r="A42" s="87" t="s">
        <v>615</v>
      </c>
      <c r="B42" s="88">
        <v>3.8079999999999998</v>
      </c>
      <c r="C42" s="90">
        <v>18</v>
      </c>
      <c r="D42" s="90"/>
      <c r="E42" s="91"/>
      <c r="F42" s="88">
        <f>PRODUCT(B42:E42)</f>
        <v>68.543999999999997</v>
      </c>
      <c r="G42" s="102">
        <f>F42</f>
        <v>68.543999999999997</v>
      </c>
      <c r="H42" s="77" t="s">
        <v>63</v>
      </c>
      <c r="I42" s="79">
        <f>G42*1.1</f>
        <v>75.398400000000009</v>
      </c>
      <c r="J42" s="128">
        <f>I42</f>
        <v>75.398400000000009</v>
      </c>
      <c r="K42" s="80"/>
      <c r="L42" s="80"/>
    </row>
    <row r="43" spans="1:12" ht="15">
      <c r="A43" s="394"/>
      <c r="B43" s="88"/>
      <c r="C43" s="90"/>
      <c r="D43" s="90"/>
      <c r="E43" s="91"/>
      <c r="F43" s="88"/>
      <c r="G43" s="102"/>
      <c r="H43" s="77"/>
      <c r="I43" s="79">
        <f t="shared" ref="I43:I44" si="4">G43*1.1</f>
        <v>0</v>
      </c>
      <c r="J43" s="128">
        <f t="shared" ref="J43" si="5">I43</f>
        <v>0</v>
      </c>
      <c r="K43" s="80"/>
      <c r="L43" s="80"/>
    </row>
    <row r="44" spans="1:12" ht="15">
      <c r="A44" s="394" t="s">
        <v>953</v>
      </c>
      <c r="B44" s="88"/>
      <c r="C44" s="90"/>
      <c r="D44" s="90"/>
      <c r="E44" s="91"/>
      <c r="F44" s="88"/>
      <c r="G44" s="102"/>
      <c r="H44" s="77" t="s">
        <v>63</v>
      </c>
      <c r="I44" s="79">
        <f t="shared" si="4"/>
        <v>0</v>
      </c>
      <c r="J44" s="128">
        <f>+Drains88!H116</f>
        <v>76.474500000000006</v>
      </c>
      <c r="K44" s="80"/>
      <c r="L44" s="80"/>
    </row>
    <row r="45" spans="1:12" ht="15">
      <c r="A45" s="394"/>
      <c r="B45" s="88"/>
      <c r="C45" s="90"/>
      <c r="D45" s="90"/>
      <c r="E45" s="91"/>
      <c r="F45" s="88"/>
      <c r="G45" s="102"/>
      <c r="H45" s="77"/>
      <c r="I45" s="79"/>
      <c r="J45" s="128"/>
      <c r="K45" s="80"/>
      <c r="L45" s="80"/>
    </row>
    <row r="46" spans="1:12" ht="15">
      <c r="A46" s="394"/>
      <c r="B46" s="88"/>
      <c r="C46" s="90"/>
      <c r="D46" s="90"/>
      <c r="E46" s="91"/>
      <c r="F46" s="88"/>
      <c r="G46" s="102"/>
      <c r="H46" s="77"/>
      <c r="I46" s="79"/>
      <c r="J46" s="103">
        <f>+SUM(J32:J45)</f>
        <v>582.9321000000001</v>
      </c>
      <c r="K46" s="80"/>
      <c r="L46" s="80"/>
    </row>
    <row r="47" spans="1:12" ht="15">
      <c r="A47" s="914" t="s">
        <v>72</v>
      </c>
      <c r="B47" s="915"/>
      <c r="C47" s="915"/>
      <c r="D47" s="915"/>
      <c r="E47" s="915"/>
      <c r="F47" s="915"/>
      <c r="G47" s="915"/>
      <c r="H47" s="915"/>
      <c r="I47" s="915"/>
      <c r="J47" s="916"/>
      <c r="K47" s="80"/>
      <c r="L47" s="80"/>
    </row>
    <row r="48" spans="1:12" ht="15">
      <c r="A48" s="98" t="s">
        <v>957</v>
      </c>
      <c r="B48" s="82"/>
      <c r="C48" s="99"/>
      <c r="D48" s="99"/>
      <c r="E48" s="100"/>
      <c r="F48" s="82"/>
      <c r="G48" s="100"/>
      <c r="H48" s="100"/>
      <c r="I48" s="79"/>
      <c r="J48" s="101"/>
      <c r="K48" s="80"/>
      <c r="L48" s="80"/>
    </row>
    <row r="49" spans="1:12" ht="15">
      <c r="A49" s="87" t="s">
        <v>958</v>
      </c>
      <c r="B49" s="88">
        <v>3.8220000000000001</v>
      </c>
      <c r="C49" s="90">
        <v>15</v>
      </c>
      <c r="D49" s="90"/>
      <c r="E49" s="91"/>
      <c r="F49" s="88">
        <f>PRODUCT(B49:E49)</f>
        <v>57.33</v>
      </c>
      <c r="G49" s="102">
        <f>F49</f>
        <v>57.33</v>
      </c>
      <c r="H49" s="77" t="s">
        <v>63</v>
      </c>
      <c r="I49" s="79">
        <f>G49*1.1</f>
        <v>63.063000000000002</v>
      </c>
      <c r="J49" s="128">
        <f>I49</f>
        <v>63.063000000000002</v>
      </c>
      <c r="K49" s="80"/>
      <c r="L49" s="80"/>
    </row>
    <row r="50" spans="1:12" ht="15">
      <c r="A50" s="87" t="s">
        <v>959</v>
      </c>
      <c r="B50" s="88">
        <f>+B49</f>
        <v>3.8220000000000001</v>
      </c>
      <c r="C50" s="90">
        <v>8.5</v>
      </c>
      <c r="D50" s="90"/>
      <c r="E50" s="91"/>
      <c r="F50" s="88">
        <f t="shared" ref="F50:F53" si="6">PRODUCT(B50:E50)</f>
        <v>32.487000000000002</v>
      </c>
      <c r="G50" s="102">
        <f t="shared" ref="G50:G53" si="7">F50</f>
        <v>32.487000000000002</v>
      </c>
      <c r="H50" s="77" t="s">
        <v>63</v>
      </c>
      <c r="I50" s="79">
        <f t="shared" ref="I50:I53" si="8">G50*1.1</f>
        <v>35.735700000000008</v>
      </c>
      <c r="J50" s="128">
        <f t="shared" ref="J50:J53" si="9">I50</f>
        <v>35.735700000000008</v>
      </c>
      <c r="K50" s="80"/>
      <c r="L50" s="80"/>
    </row>
    <row r="51" spans="1:12" ht="15">
      <c r="A51" s="87" t="s">
        <v>960</v>
      </c>
      <c r="B51" s="88">
        <v>3.72</v>
      </c>
      <c r="C51" s="90">
        <v>15</v>
      </c>
      <c r="D51" s="90"/>
      <c r="E51" s="91"/>
      <c r="F51" s="88">
        <f t="shared" si="6"/>
        <v>55.800000000000004</v>
      </c>
      <c r="G51" s="102">
        <f t="shared" si="7"/>
        <v>55.800000000000004</v>
      </c>
      <c r="H51" s="77" t="s">
        <v>63</v>
      </c>
      <c r="I51" s="79">
        <f t="shared" si="8"/>
        <v>61.38000000000001</v>
      </c>
      <c r="J51" s="128">
        <f t="shared" si="9"/>
        <v>61.38000000000001</v>
      </c>
      <c r="K51" s="80"/>
      <c r="L51" s="80"/>
    </row>
    <row r="52" spans="1:12" ht="15">
      <c r="A52" s="87" t="s">
        <v>961</v>
      </c>
      <c r="B52" s="88">
        <v>3.3210000000000002</v>
      </c>
      <c r="C52" s="90">
        <v>30</v>
      </c>
      <c r="D52" s="90"/>
      <c r="E52" s="91"/>
      <c r="F52" s="88">
        <f t="shared" si="6"/>
        <v>99.63000000000001</v>
      </c>
      <c r="G52" s="102">
        <f t="shared" si="7"/>
        <v>99.63000000000001</v>
      </c>
      <c r="H52" s="77" t="s">
        <v>63</v>
      </c>
      <c r="I52" s="79">
        <f t="shared" si="8"/>
        <v>109.59300000000002</v>
      </c>
      <c r="J52" s="128">
        <f t="shared" si="9"/>
        <v>109.59300000000002</v>
      </c>
      <c r="K52" s="80"/>
      <c r="L52" s="80"/>
    </row>
    <row r="53" spans="1:12" ht="15">
      <c r="A53" s="87" t="s">
        <v>962</v>
      </c>
      <c r="B53" s="88">
        <v>3.2549999999999999</v>
      </c>
      <c r="C53" s="90">
        <v>34</v>
      </c>
      <c r="D53" s="90"/>
      <c r="E53" s="91"/>
      <c r="F53" s="88">
        <f t="shared" si="6"/>
        <v>110.67</v>
      </c>
      <c r="G53" s="102">
        <f t="shared" si="7"/>
        <v>110.67</v>
      </c>
      <c r="H53" s="77" t="s">
        <v>63</v>
      </c>
      <c r="I53" s="79">
        <f t="shared" si="8"/>
        <v>121.73700000000001</v>
      </c>
      <c r="J53" s="128">
        <f t="shared" si="9"/>
        <v>121.73700000000001</v>
      </c>
      <c r="K53" s="80"/>
      <c r="L53" s="80"/>
    </row>
    <row r="54" spans="1:12" ht="15">
      <c r="A54" s="394"/>
      <c r="B54" s="88"/>
      <c r="C54" s="90"/>
      <c r="D54" s="90"/>
      <c r="E54" s="91"/>
      <c r="F54" s="88"/>
      <c r="G54" s="102"/>
      <c r="H54" s="77"/>
      <c r="I54" s="79"/>
      <c r="J54" s="103"/>
      <c r="K54" s="80"/>
      <c r="L54" s="80"/>
    </row>
    <row r="55" spans="1:12" ht="15">
      <c r="A55" s="98" t="s">
        <v>963</v>
      </c>
      <c r="B55" s="82"/>
      <c r="C55" s="99"/>
      <c r="D55" s="99"/>
      <c r="E55" s="100"/>
      <c r="F55" s="82"/>
      <c r="G55" s="100"/>
      <c r="H55" s="100"/>
      <c r="I55" s="79"/>
      <c r="J55" s="101"/>
      <c r="K55" s="80"/>
      <c r="L55" s="80"/>
    </row>
    <row r="56" spans="1:12" ht="15">
      <c r="A56" s="87" t="s">
        <v>615</v>
      </c>
      <c r="B56" s="88">
        <v>7.7830000000000004</v>
      </c>
      <c r="C56" s="90">
        <v>23</v>
      </c>
      <c r="D56" s="90"/>
      <c r="E56" s="91"/>
      <c r="F56" s="88">
        <f>PRODUCT(B56:E56)</f>
        <v>179.00900000000001</v>
      </c>
      <c r="G56" s="102">
        <f>F56</f>
        <v>179.00900000000001</v>
      </c>
      <c r="H56" s="77" t="s">
        <v>63</v>
      </c>
      <c r="I56" s="79">
        <f>G56*1.1</f>
        <v>196.90990000000002</v>
      </c>
      <c r="J56" s="128">
        <f>I56</f>
        <v>196.90990000000002</v>
      </c>
      <c r="K56" s="80"/>
      <c r="L56" s="80"/>
    </row>
    <row r="57" spans="1:12" ht="15">
      <c r="A57" s="394"/>
      <c r="B57" s="88"/>
      <c r="C57" s="90"/>
      <c r="D57" s="90"/>
      <c r="E57" s="91"/>
      <c r="F57" s="88"/>
      <c r="G57" s="102"/>
      <c r="H57" s="77"/>
      <c r="I57" s="79"/>
      <c r="J57" s="103"/>
      <c r="K57" s="80"/>
      <c r="L57" s="80"/>
    </row>
    <row r="58" spans="1:12" ht="30">
      <c r="A58" s="98" t="s">
        <v>964</v>
      </c>
      <c r="B58" s="82"/>
      <c r="C58" s="99"/>
      <c r="D58" s="99"/>
      <c r="E58" s="100"/>
      <c r="F58" s="82"/>
      <c r="G58" s="100"/>
      <c r="H58" s="100"/>
      <c r="I58" s="79"/>
      <c r="J58" s="101"/>
      <c r="K58" s="80"/>
      <c r="L58" s="80"/>
    </row>
    <row r="59" spans="1:12" ht="15">
      <c r="A59" s="87" t="s">
        <v>615</v>
      </c>
      <c r="B59" s="88">
        <v>2.726</v>
      </c>
      <c r="C59" s="90">
        <v>18</v>
      </c>
      <c r="D59" s="90"/>
      <c r="E59" s="91"/>
      <c r="F59" s="88">
        <f>PRODUCT(B59:E59)</f>
        <v>49.067999999999998</v>
      </c>
      <c r="G59" s="102">
        <f>F59</f>
        <v>49.067999999999998</v>
      </c>
      <c r="H59" s="77" t="s">
        <v>63</v>
      </c>
      <c r="I59" s="79">
        <f>G59*1.1</f>
        <v>53.974800000000002</v>
      </c>
      <c r="J59" s="128">
        <f>I59</f>
        <v>53.974800000000002</v>
      </c>
      <c r="K59" s="80"/>
      <c r="L59" s="80"/>
    </row>
    <row r="60" spans="1:12" ht="15">
      <c r="A60" s="394"/>
      <c r="B60" s="88"/>
      <c r="C60" s="90"/>
      <c r="D60" s="90"/>
      <c r="E60" s="91"/>
      <c r="F60" s="88"/>
      <c r="G60" s="102"/>
      <c r="H60" s="77"/>
      <c r="I60" s="79"/>
      <c r="J60" s="128"/>
      <c r="K60" s="80"/>
      <c r="L60" s="80"/>
    </row>
    <row r="61" spans="1:12" ht="15">
      <c r="A61" s="394"/>
      <c r="B61" s="88"/>
      <c r="C61" s="90"/>
      <c r="D61" s="90"/>
      <c r="E61" s="91"/>
      <c r="F61" s="88"/>
      <c r="G61" s="102"/>
      <c r="H61" s="77"/>
      <c r="I61" s="79">
        <f t="shared" ref="I61" si="10">G61*1.1</f>
        <v>0</v>
      </c>
      <c r="J61" s="103">
        <f>+SUM(J49:J60)</f>
        <v>642.39340000000004</v>
      </c>
      <c r="K61" s="80"/>
      <c r="L61" s="80"/>
    </row>
    <row r="62" spans="1:12" ht="15">
      <c r="A62" s="84"/>
      <c r="B62" s="76"/>
      <c r="C62" s="78"/>
      <c r="D62" s="78"/>
      <c r="E62" s="77"/>
      <c r="F62" s="76"/>
      <c r="G62" s="77"/>
      <c r="H62" s="77"/>
      <c r="I62" s="79"/>
      <c r="J62" s="79"/>
      <c r="K62" s="80"/>
      <c r="L62" s="80"/>
    </row>
    <row r="63" spans="1:12" ht="15">
      <c r="A63" s="914" t="s">
        <v>965</v>
      </c>
      <c r="B63" s="915"/>
      <c r="C63" s="915"/>
      <c r="D63" s="915"/>
      <c r="E63" s="915"/>
      <c r="F63" s="915"/>
      <c r="G63" s="915"/>
      <c r="H63" s="915"/>
      <c r="I63" s="915"/>
      <c r="J63" s="916"/>
      <c r="K63" s="80"/>
      <c r="L63" s="80"/>
    </row>
    <row r="64" spans="1:12" ht="15">
      <c r="A64" s="84"/>
      <c r="B64" s="76"/>
      <c r="C64" s="78"/>
      <c r="D64" s="78"/>
      <c r="E64" s="77"/>
      <c r="F64" s="76"/>
      <c r="G64" s="77"/>
      <c r="H64" s="77"/>
      <c r="I64" s="79"/>
      <c r="J64" s="79"/>
      <c r="K64" s="80"/>
      <c r="L64" s="80"/>
    </row>
    <row r="65" spans="1:12" ht="15">
      <c r="A65" s="899"/>
      <c r="B65" s="900"/>
      <c r="C65" s="900"/>
      <c r="D65" s="900"/>
      <c r="E65" s="900"/>
      <c r="F65" s="900"/>
      <c r="G65" s="900"/>
      <c r="H65" s="900"/>
      <c r="I65" s="900"/>
      <c r="J65" s="901"/>
      <c r="L65" s="80"/>
    </row>
    <row r="66" spans="1:12" ht="15">
      <c r="A66" s="917" t="s">
        <v>73</v>
      </c>
      <c r="B66" s="918"/>
      <c r="C66" s="918"/>
      <c r="D66" s="918"/>
      <c r="E66" s="918"/>
      <c r="F66" s="918"/>
      <c r="G66" s="918"/>
      <c r="H66" s="918"/>
      <c r="I66" s="918"/>
      <c r="J66" s="919"/>
      <c r="L66" s="80"/>
    </row>
    <row r="67" spans="1:12" ht="15">
      <c r="A67" s="75"/>
      <c r="B67" s="82"/>
      <c r="C67" s="99"/>
      <c r="D67" s="104"/>
      <c r="E67" s="105"/>
      <c r="F67" s="82"/>
      <c r="G67" s="106"/>
      <c r="H67" s="100"/>
      <c r="I67" s="79"/>
      <c r="J67" s="101"/>
      <c r="L67" s="107"/>
    </row>
    <row r="68" spans="1:12" ht="15">
      <c r="A68" s="253"/>
      <c r="B68" s="254"/>
      <c r="C68" s="254"/>
      <c r="D68" s="254"/>
      <c r="E68" s="254"/>
      <c r="F68" s="254"/>
      <c r="G68" s="469"/>
      <c r="H68" s="265"/>
      <c r="I68" s="469"/>
      <c r="J68" s="470"/>
    </row>
    <row r="69" spans="1:12" ht="15">
      <c r="A69" s="471" t="s">
        <v>957</v>
      </c>
      <c r="B69" s="472"/>
      <c r="C69" s="472"/>
      <c r="D69" s="472"/>
      <c r="E69" s="472"/>
      <c r="F69" s="472"/>
      <c r="G69" s="473"/>
      <c r="H69" s="474"/>
      <c r="I69" s="473"/>
      <c r="J69" s="475"/>
    </row>
    <row r="70" spans="1:12" ht="15">
      <c r="A70" s="75" t="s">
        <v>966</v>
      </c>
      <c r="B70" s="476"/>
      <c r="C70" s="476"/>
      <c r="D70" s="476"/>
      <c r="E70" s="476"/>
      <c r="F70" s="476"/>
      <c r="G70" s="477"/>
      <c r="H70" s="478"/>
      <c r="I70" s="477"/>
      <c r="J70" s="479">
        <f>+'Cantilever Walls88'!F13</f>
        <v>20.136875</v>
      </c>
    </row>
    <row r="71" spans="1:12" ht="15">
      <c r="A71" s="75" t="s">
        <v>967</v>
      </c>
      <c r="B71" s="480"/>
      <c r="C71" s="480"/>
      <c r="D71" s="480"/>
      <c r="E71" s="480"/>
      <c r="F71" s="480"/>
      <c r="G71" s="481"/>
      <c r="H71" s="482"/>
      <c r="I71" s="481"/>
      <c r="J71" s="92">
        <f>+'Cantilever Walls88'!G13</f>
        <v>95.823750000000018</v>
      </c>
    </row>
    <row r="72" spans="1:12" ht="15">
      <c r="A72" s="75" t="s">
        <v>968</v>
      </c>
      <c r="B72" s="480"/>
      <c r="C72" s="480"/>
      <c r="D72" s="480"/>
      <c r="E72" s="480"/>
      <c r="F72" s="480"/>
      <c r="G72" s="481"/>
      <c r="H72" s="482"/>
      <c r="I72" s="481"/>
      <c r="J72" s="92">
        <f>+'Cantilever Walls88'!H13</f>
        <v>501.67500000000007</v>
      </c>
    </row>
    <row r="73" spans="1:12" ht="15">
      <c r="A73" s="75" t="s">
        <v>969</v>
      </c>
      <c r="B73" s="480"/>
      <c r="C73" s="480"/>
      <c r="D73" s="480"/>
      <c r="E73" s="480"/>
      <c r="F73" s="480"/>
      <c r="G73" s="481"/>
      <c r="H73" s="482"/>
      <c r="I73" s="481"/>
      <c r="J73" s="92">
        <f>+'Cantilever Walls88'!I13</f>
        <v>199.98000000000002</v>
      </c>
    </row>
    <row r="74" spans="1:12" ht="15">
      <c r="A74" s="75" t="s">
        <v>970</v>
      </c>
      <c r="B74" s="480"/>
      <c r="C74" s="480"/>
      <c r="D74" s="480"/>
      <c r="E74" s="480"/>
      <c r="F74" s="480"/>
      <c r="G74" s="481"/>
      <c r="H74" s="482"/>
      <c r="I74" s="481"/>
      <c r="J74" s="92">
        <f>+'Cantilever Walls88'!J13</f>
        <v>49.994999999999997</v>
      </c>
    </row>
    <row r="75" spans="1:12" ht="15">
      <c r="A75" s="75" t="s">
        <v>971</v>
      </c>
      <c r="B75" s="480"/>
      <c r="C75" s="480"/>
      <c r="D75" s="480"/>
      <c r="E75" s="480"/>
      <c r="F75" s="480"/>
      <c r="G75" s="481"/>
      <c r="H75" s="482"/>
      <c r="I75" s="481"/>
      <c r="J75" s="92">
        <f>+'Cantilever Walls88'!K13</f>
        <v>55.550000000000011</v>
      </c>
    </row>
    <row r="76" spans="1:12" ht="15">
      <c r="A76" s="75" t="s">
        <v>972</v>
      </c>
      <c r="B76" s="480"/>
      <c r="C76" s="480"/>
      <c r="D76" s="480"/>
      <c r="E76" s="480"/>
      <c r="F76" s="480"/>
      <c r="G76" s="481"/>
      <c r="H76" s="482"/>
      <c r="I76" s="481"/>
      <c r="J76" s="92">
        <f>+'Cantilever Walls88'!L13</f>
        <v>33.33</v>
      </c>
    </row>
    <row r="77" spans="1:12" ht="15">
      <c r="A77" s="75" t="s">
        <v>973</v>
      </c>
      <c r="B77" s="480"/>
      <c r="C77" s="480"/>
      <c r="D77" s="480"/>
      <c r="E77" s="480"/>
      <c r="F77" s="480"/>
      <c r="G77" s="481"/>
      <c r="H77" s="482"/>
      <c r="I77" s="481"/>
      <c r="J77" s="92">
        <f>+'Cantilever Walls88'!M13</f>
        <v>383.00833333333333</v>
      </c>
    </row>
    <row r="78" spans="1:12" ht="15">
      <c r="A78" s="392" t="s">
        <v>974</v>
      </c>
      <c r="B78" s="483"/>
      <c r="C78" s="483"/>
      <c r="D78" s="483"/>
      <c r="E78" s="483"/>
      <c r="F78" s="483"/>
      <c r="G78" s="484"/>
      <c r="H78" s="485"/>
      <c r="I78" s="484"/>
      <c r="J78" s="124">
        <f>+'Cantilever Walls88'!X13</f>
        <v>6721.8311111111107</v>
      </c>
    </row>
    <row r="79" spans="1:12" ht="15">
      <c r="A79" s="253"/>
      <c r="B79" s="254"/>
      <c r="C79" s="254"/>
      <c r="D79" s="254"/>
      <c r="E79" s="254"/>
      <c r="F79" s="254"/>
      <c r="G79" s="469"/>
      <c r="H79" s="265"/>
      <c r="I79" s="469"/>
      <c r="J79" s="470"/>
    </row>
    <row r="80" spans="1:12" ht="15">
      <c r="A80" s="253"/>
      <c r="B80" s="254"/>
      <c r="C80" s="254"/>
      <c r="D80" s="254"/>
      <c r="E80" s="254"/>
      <c r="F80" s="254"/>
      <c r="G80" s="469"/>
      <c r="H80" s="265"/>
      <c r="I80" s="469"/>
      <c r="J80" s="470"/>
    </row>
    <row r="81" spans="1:12" ht="15">
      <c r="A81" s="471" t="s">
        <v>975</v>
      </c>
      <c r="B81" s="472"/>
      <c r="C81" s="472"/>
      <c r="D81" s="472"/>
      <c r="E81" s="472"/>
      <c r="F81" s="472"/>
      <c r="G81" s="473"/>
      <c r="H81" s="474"/>
      <c r="I81" s="473"/>
      <c r="J81" s="475"/>
    </row>
    <row r="82" spans="1:12" ht="15">
      <c r="A82" s="75" t="s">
        <v>966</v>
      </c>
      <c r="B82" s="476"/>
      <c r="C82" s="476"/>
      <c r="D82" s="476"/>
      <c r="E82" s="476"/>
      <c r="F82" s="476"/>
      <c r="G82" s="477"/>
      <c r="H82" s="478"/>
      <c r="I82" s="477"/>
      <c r="J82" s="479">
        <f>+'Cantilever Walls88'!F15</f>
        <v>3.8898749999999995</v>
      </c>
    </row>
    <row r="83" spans="1:12" ht="15">
      <c r="A83" s="75" t="s">
        <v>967</v>
      </c>
      <c r="B83" s="480"/>
      <c r="C83" s="480"/>
      <c r="D83" s="480"/>
      <c r="E83" s="480"/>
      <c r="F83" s="480"/>
      <c r="G83" s="481"/>
      <c r="H83" s="482"/>
      <c r="I83" s="481"/>
      <c r="J83" s="92">
        <f>+'Cantilever Walls88'!G15</f>
        <v>40.922749999999994</v>
      </c>
    </row>
    <row r="84" spans="1:12" ht="15">
      <c r="A84" s="75" t="s">
        <v>968</v>
      </c>
      <c r="B84" s="480"/>
      <c r="C84" s="480"/>
      <c r="D84" s="480"/>
      <c r="E84" s="480"/>
      <c r="F84" s="480"/>
      <c r="G84" s="481"/>
      <c r="H84" s="482"/>
      <c r="I84" s="481"/>
      <c r="J84" s="92">
        <f>+'Cantilever Walls88'!H15</f>
        <v>172.70999999999998</v>
      </c>
    </row>
    <row r="85" spans="1:12" ht="15">
      <c r="A85" s="75" t="s">
        <v>969</v>
      </c>
      <c r="B85" s="480"/>
      <c r="C85" s="480"/>
      <c r="D85" s="480"/>
      <c r="E85" s="480"/>
      <c r="F85" s="480"/>
      <c r="G85" s="481"/>
      <c r="H85" s="482"/>
      <c r="I85" s="481"/>
      <c r="J85" s="92">
        <f>+'Cantilever Walls88'!I15</f>
        <v>64.515000000000001</v>
      </c>
    </row>
    <row r="86" spans="1:12" ht="15">
      <c r="A86" s="75" t="s">
        <v>970</v>
      </c>
      <c r="B86" s="480"/>
      <c r="C86" s="480"/>
      <c r="D86" s="480"/>
      <c r="E86" s="480"/>
      <c r="F86" s="480"/>
      <c r="G86" s="481"/>
      <c r="H86" s="482"/>
      <c r="I86" s="481"/>
      <c r="J86" s="92">
        <f>+'Cantilever Walls88'!J15</f>
        <v>17.077500000000001</v>
      </c>
    </row>
    <row r="87" spans="1:12" ht="15">
      <c r="A87" s="75" t="s">
        <v>971</v>
      </c>
      <c r="B87" s="480"/>
      <c r="C87" s="480"/>
      <c r="D87" s="480"/>
      <c r="E87" s="480"/>
      <c r="F87" s="480"/>
      <c r="G87" s="481"/>
      <c r="H87" s="482"/>
      <c r="I87" s="481"/>
      <c r="J87" s="92">
        <f>+'Cantilever Walls88'!K15</f>
        <v>15.18</v>
      </c>
    </row>
    <row r="88" spans="1:12" ht="15">
      <c r="A88" s="75" t="s">
        <v>972</v>
      </c>
      <c r="B88" s="480"/>
      <c r="C88" s="480"/>
      <c r="D88" s="480"/>
      <c r="E88" s="480"/>
      <c r="F88" s="480"/>
      <c r="G88" s="481"/>
      <c r="H88" s="482"/>
      <c r="I88" s="481"/>
      <c r="J88" s="92">
        <f>+'Cantilever Walls88'!L15</f>
        <v>7.59</v>
      </c>
    </row>
    <row r="89" spans="1:12" ht="15">
      <c r="A89" s="75" t="s">
        <v>973</v>
      </c>
      <c r="B89" s="480"/>
      <c r="C89" s="480"/>
      <c r="D89" s="480"/>
      <c r="E89" s="480"/>
      <c r="F89" s="480"/>
      <c r="G89" s="481"/>
      <c r="H89" s="482"/>
      <c r="I89" s="481"/>
      <c r="J89" s="92">
        <f>+'Cantilever Walls88'!M15</f>
        <v>116.15833333333332</v>
      </c>
    </row>
    <row r="90" spans="1:12" ht="15">
      <c r="A90" s="392" t="s">
        <v>974</v>
      </c>
      <c r="B90" s="483"/>
      <c r="C90" s="483"/>
      <c r="D90" s="483"/>
      <c r="E90" s="483"/>
      <c r="F90" s="483"/>
      <c r="G90" s="484"/>
      <c r="H90" s="485"/>
      <c r="I90" s="484"/>
      <c r="J90" s="124">
        <f>+'Cantilever Walls88'!X15</f>
        <v>3113.0861102880654</v>
      </c>
    </row>
    <row r="91" spans="1:12" ht="15">
      <c r="A91" s="253"/>
      <c r="B91" s="254"/>
      <c r="C91" s="254"/>
      <c r="D91" s="254"/>
      <c r="E91" s="254"/>
      <c r="F91" s="254"/>
      <c r="G91" s="469"/>
      <c r="H91" s="265"/>
      <c r="I91" s="469"/>
      <c r="J91" s="470"/>
    </row>
    <row r="92" spans="1:12" ht="15">
      <c r="A92" s="970" t="s">
        <v>976</v>
      </c>
      <c r="B92" s="971"/>
      <c r="C92" s="971"/>
      <c r="D92" s="971"/>
      <c r="E92" s="971"/>
      <c r="F92" s="971"/>
      <c r="G92" s="971"/>
      <c r="H92" s="971"/>
      <c r="I92" s="971"/>
      <c r="J92" s="972"/>
      <c r="L92" s="80"/>
    </row>
    <row r="93" spans="1:12" ht="15">
      <c r="A93" s="98"/>
      <c r="B93" s="76"/>
      <c r="C93" s="78"/>
      <c r="D93" s="78"/>
      <c r="E93" s="77"/>
      <c r="F93" s="76"/>
      <c r="G93" s="77"/>
      <c r="H93" s="77"/>
      <c r="I93" s="79"/>
      <c r="J93" s="79"/>
      <c r="L93" s="80"/>
    </row>
    <row r="94" spans="1:12" ht="15">
      <c r="A94" s="87" t="s">
        <v>977</v>
      </c>
      <c r="B94" s="421">
        <v>18</v>
      </c>
      <c r="C94" s="78">
        <v>2</v>
      </c>
      <c r="D94" s="78">
        <v>0.05</v>
      </c>
      <c r="E94" s="77"/>
      <c r="F94" s="88">
        <f>PRODUCT(B94:E94)</f>
        <v>1.8</v>
      </c>
      <c r="G94" s="102">
        <f t="shared" ref="G94:G102" si="11">F94</f>
        <v>1.8</v>
      </c>
      <c r="H94" s="77" t="s">
        <v>63</v>
      </c>
      <c r="I94" s="79">
        <f t="shared" ref="I94:I102" si="12">G94*1.1</f>
        <v>1.9800000000000002</v>
      </c>
      <c r="J94" s="103">
        <f>I94</f>
        <v>1.9800000000000002</v>
      </c>
      <c r="L94" s="80"/>
    </row>
    <row r="95" spans="1:12" ht="15">
      <c r="A95" s="87" t="s">
        <v>967</v>
      </c>
      <c r="B95" s="421">
        <f>+B94</f>
        <v>18</v>
      </c>
      <c r="C95" s="78">
        <f>+C94</f>
        <v>2</v>
      </c>
      <c r="D95" s="78">
        <v>0.2</v>
      </c>
      <c r="E95" s="77"/>
      <c r="F95" s="88">
        <f t="shared" ref="F95:F98" si="13">PRODUCT(B95:E95)</f>
        <v>7.2</v>
      </c>
      <c r="G95" s="102">
        <f t="shared" si="11"/>
        <v>7.2</v>
      </c>
      <c r="H95" s="77" t="s">
        <v>63</v>
      </c>
      <c r="I95" s="79">
        <f t="shared" si="12"/>
        <v>7.9200000000000008</v>
      </c>
      <c r="J95" s="103">
        <f>I95</f>
        <v>7.9200000000000008</v>
      </c>
      <c r="L95" s="80"/>
    </row>
    <row r="96" spans="1:12" ht="15">
      <c r="A96" s="87" t="s">
        <v>954</v>
      </c>
      <c r="B96" s="421">
        <f>+B95</f>
        <v>18</v>
      </c>
      <c r="C96" s="78">
        <v>1.4</v>
      </c>
      <c r="D96" s="78">
        <v>1</v>
      </c>
      <c r="E96" s="77"/>
      <c r="F96" s="88">
        <f t="shared" si="13"/>
        <v>25.2</v>
      </c>
      <c r="G96" s="102">
        <f t="shared" si="11"/>
        <v>25.2</v>
      </c>
      <c r="H96" s="77" t="s">
        <v>63</v>
      </c>
      <c r="I96" s="79">
        <f t="shared" si="12"/>
        <v>27.720000000000002</v>
      </c>
      <c r="J96" s="103"/>
      <c r="L96" s="80" t="s">
        <v>978</v>
      </c>
    </row>
    <row r="97" spans="1:13" ht="15">
      <c r="A97" s="87"/>
      <c r="B97" s="421">
        <f>+B96</f>
        <v>18</v>
      </c>
      <c r="C97" s="78">
        <v>1</v>
      </c>
      <c r="D97" s="78">
        <v>1</v>
      </c>
      <c r="E97" s="77"/>
      <c r="F97" s="88">
        <f t="shared" si="13"/>
        <v>18</v>
      </c>
      <c r="G97" s="102">
        <f t="shared" si="11"/>
        <v>18</v>
      </c>
      <c r="H97" s="77" t="s">
        <v>63</v>
      </c>
      <c r="I97" s="79">
        <f t="shared" si="12"/>
        <v>19.8</v>
      </c>
      <c r="J97" s="103"/>
      <c r="L97" s="80"/>
    </row>
    <row r="98" spans="1:13" ht="15">
      <c r="A98" s="87"/>
      <c r="B98" s="421">
        <f>+B97</f>
        <v>18</v>
      </c>
      <c r="C98" s="78">
        <v>0.6</v>
      </c>
      <c r="D98" s="78">
        <v>1</v>
      </c>
      <c r="E98" s="77"/>
      <c r="F98" s="88">
        <f t="shared" si="13"/>
        <v>10.799999999999999</v>
      </c>
      <c r="G98" s="102">
        <f t="shared" si="11"/>
        <v>10.799999999999999</v>
      </c>
      <c r="H98" s="77" t="s">
        <v>63</v>
      </c>
      <c r="I98" s="79">
        <f t="shared" si="12"/>
        <v>11.879999999999999</v>
      </c>
      <c r="J98" s="103">
        <f>+SUM(I96:I98)</f>
        <v>59.400000000000006</v>
      </c>
      <c r="L98" s="80"/>
    </row>
    <row r="99" spans="1:13" ht="15">
      <c r="A99" s="87" t="s">
        <v>979</v>
      </c>
      <c r="B99" s="421">
        <f>+B98</f>
        <v>18</v>
      </c>
      <c r="C99" s="78">
        <v>0.82699999999999996</v>
      </c>
      <c r="D99" s="78"/>
      <c r="E99" s="77"/>
      <c r="F99" s="88">
        <f>PRODUCT(B99:E99)</f>
        <v>14.885999999999999</v>
      </c>
      <c r="G99" s="102">
        <f t="shared" si="11"/>
        <v>14.885999999999999</v>
      </c>
      <c r="H99" s="77" t="s">
        <v>63</v>
      </c>
      <c r="I99" s="79">
        <f t="shared" si="12"/>
        <v>16.374600000000001</v>
      </c>
      <c r="J99" s="103">
        <f>I99</f>
        <v>16.374600000000001</v>
      </c>
      <c r="L99" s="80"/>
    </row>
    <row r="100" spans="1:13" ht="15">
      <c r="A100" s="87" t="s">
        <v>980</v>
      </c>
      <c r="B100" s="421">
        <v>1.7</v>
      </c>
      <c r="C100" s="78"/>
      <c r="D100" s="78"/>
      <c r="E100" s="77">
        <f>+B94/0.75+1</f>
        <v>25</v>
      </c>
      <c r="F100" s="88">
        <f>PRODUCT(B100:E100)</f>
        <v>42.5</v>
      </c>
      <c r="G100" s="102">
        <f t="shared" si="11"/>
        <v>42.5</v>
      </c>
      <c r="H100" s="77" t="s">
        <v>63</v>
      </c>
      <c r="I100" s="79">
        <f t="shared" si="12"/>
        <v>46.750000000000007</v>
      </c>
      <c r="J100" s="103">
        <f>I100</f>
        <v>46.750000000000007</v>
      </c>
      <c r="L100" s="80"/>
    </row>
    <row r="101" spans="1:13" ht="15">
      <c r="A101" s="87" t="s">
        <v>981</v>
      </c>
      <c r="B101" s="421">
        <f>+B94</f>
        <v>18</v>
      </c>
      <c r="C101" s="78">
        <v>2.54</v>
      </c>
      <c r="D101" s="78"/>
      <c r="E101" s="77"/>
      <c r="F101" s="88">
        <f>PRODUCT(B101:E101)</f>
        <v>45.72</v>
      </c>
      <c r="G101" s="102">
        <f t="shared" si="11"/>
        <v>45.72</v>
      </c>
      <c r="H101" s="77" t="s">
        <v>487</v>
      </c>
      <c r="I101" s="79">
        <f t="shared" si="12"/>
        <v>50.292000000000002</v>
      </c>
      <c r="J101" s="103">
        <f>I101</f>
        <v>50.292000000000002</v>
      </c>
      <c r="L101" s="80"/>
      <c r="M101" s="80"/>
    </row>
    <row r="102" spans="1:13" ht="15">
      <c r="A102" s="87" t="s">
        <v>982</v>
      </c>
      <c r="B102" s="421">
        <f>+B94</f>
        <v>18</v>
      </c>
      <c r="C102" s="78">
        <v>0.7</v>
      </c>
      <c r="D102" s="78"/>
      <c r="E102" s="77"/>
      <c r="F102" s="88">
        <f>PRODUCT(B102:E102)</f>
        <v>12.6</v>
      </c>
      <c r="G102" s="102">
        <f t="shared" si="11"/>
        <v>12.6</v>
      </c>
      <c r="H102" s="77" t="s">
        <v>63</v>
      </c>
      <c r="I102" s="79">
        <f t="shared" si="12"/>
        <v>13.860000000000001</v>
      </c>
      <c r="J102" s="103">
        <f>I102</f>
        <v>13.860000000000001</v>
      </c>
      <c r="L102" s="80"/>
    </row>
    <row r="103" spans="1:13" ht="15">
      <c r="A103" s="87" t="s">
        <v>983</v>
      </c>
      <c r="B103" s="421"/>
      <c r="C103" s="78"/>
      <c r="D103" s="78"/>
      <c r="E103" s="77"/>
      <c r="F103" s="88"/>
      <c r="G103" s="102"/>
      <c r="H103" s="77"/>
      <c r="I103" s="79"/>
      <c r="J103" s="103"/>
      <c r="L103" s="80"/>
    </row>
    <row r="104" spans="1:13" ht="15">
      <c r="A104" s="135" t="s">
        <v>984</v>
      </c>
      <c r="B104" s="421">
        <f>+(0.2+2+0.2)-0.08*2</f>
        <v>2.2400000000000002</v>
      </c>
      <c r="C104" s="78"/>
      <c r="D104" s="78"/>
      <c r="E104" s="77">
        <f>+B94/0.25+1</f>
        <v>73</v>
      </c>
      <c r="F104" s="88">
        <f t="shared" ref="F104:F107" si="14">PRODUCT(B104:E104)</f>
        <v>163.52000000000001</v>
      </c>
      <c r="G104" s="102">
        <f>+F104</f>
        <v>163.52000000000001</v>
      </c>
      <c r="H104" s="77" t="s">
        <v>43</v>
      </c>
      <c r="I104" s="79">
        <f>+G104*1.1*(100/162)</f>
        <v>111.0320987654321</v>
      </c>
      <c r="J104" s="103"/>
      <c r="L104" s="80"/>
    </row>
    <row r="105" spans="1:13" ht="15">
      <c r="A105" s="135" t="s">
        <v>105</v>
      </c>
      <c r="B105" s="421">
        <f>+B94+B94/6*52*(10/1000)</f>
        <v>19.559999999999999</v>
      </c>
      <c r="C105" s="78"/>
      <c r="D105" s="78"/>
      <c r="E105" s="77">
        <f>+B104/0.25+1</f>
        <v>9.9600000000000009</v>
      </c>
      <c r="F105" s="88">
        <f t="shared" si="14"/>
        <v>194.8176</v>
      </c>
      <c r="G105" s="102">
        <f>+F105</f>
        <v>194.8176</v>
      </c>
      <c r="H105" s="77" t="s">
        <v>43</v>
      </c>
      <c r="I105" s="79">
        <f>+G105*1.1*(100/162)</f>
        <v>132.28355555555555</v>
      </c>
      <c r="J105" s="103">
        <f>+SUM(I104:I105)</f>
        <v>243.31565432098765</v>
      </c>
      <c r="L105" s="80"/>
    </row>
    <row r="106" spans="1:13" ht="15">
      <c r="A106" s="135"/>
      <c r="B106" s="421"/>
      <c r="C106" s="78"/>
      <c r="D106" s="78"/>
      <c r="E106" s="77"/>
      <c r="F106" s="88">
        <f t="shared" si="14"/>
        <v>0</v>
      </c>
      <c r="G106" s="102">
        <f t="shared" ref="G106:G107" si="15">+F106</f>
        <v>0</v>
      </c>
      <c r="H106" s="77"/>
      <c r="I106" s="79">
        <f t="shared" ref="I106:I107" si="16">+G106*1.1*(100/162)</f>
        <v>0</v>
      </c>
      <c r="J106" s="103"/>
      <c r="L106" s="80"/>
    </row>
    <row r="107" spans="1:13" ht="15">
      <c r="A107" s="388" t="s">
        <v>968</v>
      </c>
      <c r="B107" s="421">
        <f>+B94+2*2</f>
        <v>22</v>
      </c>
      <c r="C107" s="78"/>
      <c r="D107" s="78">
        <v>0.25</v>
      </c>
      <c r="E107" s="77"/>
      <c r="F107" s="88">
        <f t="shared" si="14"/>
        <v>5.5</v>
      </c>
      <c r="G107" s="102">
        <f t="shared" si="15"/>
        <v>5.5</v>
      </c>
      <c r="H107" s="77" t="s">
        <v>487</v>
      </c>
      <c r="I107" s="79">
        <f t="shared" si="16"/>
        <v>3.7345679012345681</v>
      </c>
      <c r="J107" s="103">
        <f>+I107</f>
        <v>3.7345679012345681</v>
      </c>
      <c r="L107" s="80"/>
    </row>
    <row r="108" spans="1:13" ht="15">
      <c r="A108" s="87"/>
      <c r="B108" s="421"/>
      <c r="C108" s="78"/>
      <c r="D108" s="78"/>
      <c r="E108" s="77"/>
      <c r="F108" s="421"/>
      <c r="G108" s="102"/>
      <c r="H108" s="77"/>
      <c r="I108" s="79"/>
      <c r="J108" s="79"/>
      <c r="L108" s="80"/>
    </row>
    <row r="109" spans="1:13" ht="15">
      <c r="A109" s="970" t="s">
        <v>985</v>
      </c>
      <c r="B109" s="971"/>
      <c r="C109" s="971"/>
      <c r="D109" s="971"/>
      <c r="E109" s="971"/>
      <c r="F109" s="971"/>
      <c r="G109" s="971"/>
      <c r="H109" s="971"/>
      <c r="I109" s="971"/>
      <c r="J109" s="972"/>
      <c r="L109" s="80"/>
    </row>
    <row r="110" spans="1:13" ht="15">
      <c r="A110" s="98"/>
      <c r="B110" s="76"/>
      <c r="C110" s="78"/>
      <c r="D110" s="78"/>
      <c r="E110" s="77"/>
      <c r="F110" s="76"/>
      <c r="G110" s="77"/>
      <c r="H110" s="77"/>
      <c r="I110" s="79"/>
      <c r="J110" s="79"/>
      <c r="L110" s="80"/>
    </row>
    <row r="111" spans="1:13" ht="15">
      <c r="A111" s="87" t="s">
        <v>967</v>
      </c>
      <c r="B111" s="421">
        <v>30</v>
      </c>
      <c r="C111" s="78">
        <v>0.65</v>
      </c>
      <c r="D111" s="78">
        <v>0.15</v>
      </c>
      <c r="E111" s="77"/>
      <c r="F111" s="88">
        <f>PRODUCT(B111:E111)</f>
        <v>2.9249999999999998</v>
      </c>
      <c r="G111" s="102">
        <f>F111</f>
        <v>2.9249999999999998</v>
      </c>
      <c r="H111" s="77" t="s">
        <v>63</v>
      </c>
      <c r="I111" s="79">
        <f>G111*1.1</f>
        <v>3.2175000000000002</v>
      </c>
      <c r="J111" s="103">
        <f>I111</f>
        <v>3.2175000000000002</v>
      </c>
      <c r="L111" s="80"/>
    </row>
    <row r="112" spans="1:13" ht="15">
      <c r="A112" s="87" t="s">
        <v>968</v>
      </c>
      <c r="B112" s="421">
        <f>+B111</f>
        <v>30</v>
      </c>
      <c r="C112" s="78"/>
      <c r="D112" s="78">
        <v>0.15</v>
      </c>
      <c r="E112" s="77">
        <v>2</v>
      </c>
      <c r="F112" s="88">
        <f t="shared" ref="F112:F113" si="17">PRODUCT(B112:E112)</f>
        <v>9</v>
      </c>
      <c r="G112" s="102">
        <f>F112</f>
        <v>9</v>
      </c>
      <c r="H112" s="77" t="s">
        <v>487</v>
      </c>
      <c r="I112" s="79">
        <f>G112*1.1</f>
        <v>9.9</v>
      </c>
      <c r="J112" s="103"/>
      <c r="L112" s="80"/>
    </row>
    <row r="113" spans="1:12" ht="15">
      <c r="A113" s="87"/>
      <c r="B113" s="421"/>
      <c r="C113" s="78">
        <v>0.65</v>
      </c>
      <c r="D113" s="78">
        <v>0.15</v>
      </c>
      <c r="E113" s="77">
        <v>2</v>
      </c>
      <c r="F113" s="88">
        <f t="shared" si="17"/>
        <v>0.19500000000000001</v>
      </c>
      <c r="G113" s="102">
        <f>F113</f>
        <v>0.19500000000000001</v>
      </c>
      <c r="H113" s="77" t="s">
        <v>487</v>
      </c>
      <c r="I113" s="79">
        <f>G113*1.1</f>
        <v>0.21450000000000002</v>
      </c>
      <c r="J113" s="103">
        <f>+SUM(I112:I113)</f>
        <v>10.1145</v>
      </c>
      <c r="L113" s="80"/>
    </row>
    <row r="114" spans="1:12" ht="15">
      <c r="A114" s="87" t="s">
        <v>974</v>
      </c>
      <c r="B114" s="421"/>
      <c r="C114" s="78"/>
      <c r="D114" s="78"/>
      <c r="E114" s="77"/>
      <c r="F114" s="88"/>
      <c r="G114" s="102"/>
      <c r="H114" s="77"/>
      <c r="I114" s="79"/>
      <c r="J114" s="103"/>
      <c r="L114" s="80"/>
    </row>
    <row r="115" spans="1:12" ht="15">
      <c r="A115" s="486" t="s">
        <v>104</v>
      </c>
      <c r="B115" s="487">
        <f>0.65+0.15+0.15-2*0.08</f>
        <v>0.79</v>
      </c>
      <c r="C115" s="488"/>
      <c r="D115" s="488"/>
      <c r="E115" s="489">
        <f>(B111/0.125)*2</f>
        <v>480</v>
      </c>
      <c r="F115" s="88">
        <f t="shared" ref="F115:F116" si="18">PRODUCT(B115:E115)</f>
        <v>379.20000000000005</v>
      </c>
      <c r="G115" s="102">
        <f t="shared" ref="G115:G116" si="19">+F115</f>
        <v>379.20000000000005</v>
      </c>
      <c r="H115" s="77" t="s">
        <v>43</v>
      </c>
      <c r="I115" s="79">
        <f t="shared" ref="I115:I116" si="20">+G115*1.1*(100/162)</f>
        <v>257.48148148148152</v>
      </c>
      <c r="J115" s="490"/>
      <c r="L115" s="80"/>
    </row>
    <row r="116" spans="1:12" ht="15">
      <c r="A116" s="486" t="s">
        <v>986</v>
      </c>
      <c r="B116" s="487">
        <f>+B111+B111/6*52*(0.01)</f>
        <v>32.6</v>
      </c>
      <c r="C116" s="488"/>
      <c r="D116" s="488"/>
      <c r="E116" s="491">
        <f>(B115/0.2+1)*2</f>
        <v>9.9</v>
      </c>
      <c r="F116" s="88">
        <f t="shared" si="18"/>
        <v>322.74</v>
      </c>
      <c r="G116" s="102">
        <f t="shared" si="19"/>
        <v>322.74</v>
      </c>
      <c r="H116" s="77" t="s">
        <v>43</v>
      </c>
      <c r="I116" s="79">
        <f t="shared" si="20"/>
        <v>219.14444444444447</v>
      </c>
      <c r="J116" s="490">
        <f>+SUM(I115:I116)</f>
        <v>476.62592592592603</v>
      </c>
      <c r="L116" s="80"/>
    </row>
    <row r="118" spans="1:12" ht="15">
      <c r="A118" s="970" t="s">
        <v>987</v>
      </c>
      <c r="B118" s="971"/>
      <c r="C118" s="971"/>
      <c r="D118" s="971"/>
      <c r="E118" s="971"/>
      <c r="F118" s="971"/>
      <c r="G118" s="971"/>
      <c r="H118" s="971"/>
      <c r="I118" s="971"/>
      <c r="J118" s="972"/>
      <c r="L118" s="80"/>
    </row>
    <row r="119" spans="1:12" ht="15">
      <c r="A119" s="98"/>
      <c r="B119" s="76"/>
      <c r="C119" s="78"/>
      <c r="D119" s="78"/>
      <c r="E119" s="77"/>
      <c r="F119" s="76"/>
      <c r="G119" s="77"/>
      <c r="H119" s="77"/>
      <c r="I119" s="79"/>
      <c r="J119" s="79"/>
      <c r="L119" s="80"/>
    </row>
    <row r="120" spans="1:12" ht="15">
      <c r="A120" s="87" t="s">
        <v>987</v>
      </c>
      <c r="B120" s="421"/>
      <c r="C120" s="78"/>
      <c r="D120" s="78"/>
      <c r="E120" s="77"/>
      <c r="F120" s="88"/>
      <c r="G120" s="102">
        <v>192</v>
      </c>
      <c r="H120" s="77" t="s">
        <v>5</v>
      </c>
      <c r="I120" s="79">
        <f>G120*1.1</f>
        <v>211.20000000000002</v>
      </c>
      <c r="J120" s="103">
        <f>I120</f>
        <v>211.20000000000002</v>
      </c>
      <c r="L120" s="80"/>
    </row>
    <row r="122" spans="1:12" ht="15">
      <c r="A122" s="967" t="s">
        <v>988</v>
      </c>
      <c r="B122" s="968"/>
      <c r="C122" s="968"/>
      <c r="D122" s="968"/>
      <c r="E122" s="968"/>
      <c r="F122" s="968"/>
      <c r="G122" s="968"/>
      <c r="H122" s="968"/>
      <c r="I122" s="968"/>
      <c r="J122" s="969"/>
      <c r="L122" s="80"/>
    </row>
    <row r="123" spans="1:12" ht="15">
      <c r="A123" s="98"/>
      <c r="B123" s="76"/>
      <c r="C123" s="78"/>
      <c r="D123" s="78"/>
      <c r="E123" s="77"/>
      <c r="F123" s="76"/>
      <c r="G123" s="77"/>
      <c r="H123" s="77"/>
      <c r="I123" s="79"/>
      <c r="J123" s="79"/>
      <c r="L123" s="80"/>
    </row>
    <row r="124" spans="1:12" ht="15">
      <c r="A124" s="492" t="s">
        <v>989</v>
      </c>
      <c r="B124" s="421"/>
      <c r="C124" s="78"/>
      <c r="D124" s="78"/>
      <c r="E124" s="77"/>
      <c r="F124" s="88"/>
      <c r="G124" s="102"/>
      <c r="H124" s="77" t="s">
        <v>487</v>
      </c>
      <c r="I124" s="79">
        <f>G124*1.1</f>
        <v>0</v>
      </c>
      <c r="J124" s="103">
        <f>I124</f>
        <v>0</v>
      </c>
      <c r="L124" s="80"/>
    </row>
  </sheetData>
  <mergeCells count="19">
    <mergeCell ref="A122:J122"/>
    <mergeCell ref="A63:J63"/>
    <mergeCell ref="A65:J65"/>
    <mergeCell ref="A66:J66"/>
    <mergeCell ref="A92:J92"/>
    <mergeCell ref="A109:J109"/>
    <mergeCell ref="A118:J118"/>
    <mergeCell ref="A47:J47"/>
    <mergeCell ref="A1:J1"/>
    <mergeCell ref="A3:J3"/>
    <mergeCell ref="A4:F4"/>
    <mergeCell ref="A16:J16"/>
    <mergeCell ref="A17:F17"/>
    <mergeCell ref="A18:F18"/>
    <mergeCell ref="A19:F19"/>
    <mergeCell ref="A26:F26"/>
    <mergeCell ref="A28:F28"/>
    <mergeCell ref="A29:F29"/>
    <mergeCell ref="A30:F30"/>
  </mergeCells>
  <pageMargins left="0.7" right="0.7" top="0.75" bottom="0.75" header="0.3" footer="0.3"/>
  <pageSetup paperSize="9" scale="63"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B7437-3B55-4B4C-85F2-EB50580C1538}">
  <dimension ref="B3:W116"/>
  <sheetViews>
    <sheetView topLeftCell="G1" zoomScale="90" zoomScaleNormal="90" workbookViewId="0">
      <pane ySplit="4" topLeftCell="A99" activePane="bottomLeft" state="frozen"/>
      <selection activeCell="F9" sqref="F9"/>
      <selection pane="bottomLeft" activeCell="F9" sqref="F9"/>
    </sheetView>
  </sheetViews>
  <sheetFormatPr defaultRowHeight="14.4"/>
  <cols>
    <col min="1" max="1" width="3.88671875" customWidth="1"/>
    <col min="2" max="2" width="20.44140625" customWidth="1"/>
    <col min="3" max="3" width="17.109375" customWidth="1"/>
    <col min="4" max="10" width="14.44140625" customWidth="1"/>
    <col min="11" max="11" width="19.88671875" customWidth="1"/>
    <col min="12" max="12" width="12.109375" customWidth="1"/>
    <col min="13" max="13" width="14" customWidth="1"/>
    <col min="18" max="18" width="11.88671875" customWidth="1"/>
    <col min="19" max="19" width="12.88671875" customWidth="1"/>
  </cols>
  <sheetData>
    <row r="3" spans="2:23">
      <c r="B3" s="493" t="s">
        <v>95</v>
      </c>
      <c r="C3" s="493" t="s">
        <v>96</v>
      </c>
      <c r="D3" s="493" t="s">
        <v>97</v>
      </c>
      <c r="E3" s="493" t="s">
        <v>98</v>
      </c>
      <c r="F3" s="493" t="s">
        <v>99</v>
      </c>
      <c r="G3" s="493"/>
      <c r="H3" s="973" t="s">
        <v>100</v>
      </c>
      <c r="I3" s="973"/>
      <c r="J3" s="973"/>
      <c r="K3" s="493" t="s">
        <v>101</v>
      </c>
      <c r="L3" s="494" t="s">
        <v>102</v>
      </c>
      <c r="M3" s="495"/>
    </row>
    <row r="4" spans="2:23">
      <c r="B4" s="496"/>
      <c r="C4" s="496"/>
      <c r="D4" s="496"/>
      <c r="E4" s="496"/>
      <c r="F4" s="497" t="s">
        <v>98</v>
      </c>
      <c r="G4" s="497" t="s">
        <v>103</v>
      </c>
      <c r="H4" s="497" t="s">
        <v>104</v>
      </c>
      <c r="I4" s="497" t="s">
        <v>103</v>
      </c>
      <c r="J4" s="497" t="s">
        <v>105</v>
      </c>
      <c r="K4" s="497" t="s">
        <v>106</v>
      </c>
      <c r="L4" s="498" t="s">
        <v>107</v>
      </c>
      <c r="M4" s="498" t="s">
        <v>108</v>
      </c>
    </row>
    <row r="5" spans="2:23">
      <c r="B5" s="499"/>
      <c r="C5" s="499"/>
      <c r="D5" s="499"/>
      <c r="E5" s="499"/>
      <c r="F5" s="500"/>
      <c r="G5" s="500"/>
      <c r="H5" s="500"/>
      <c r="I5" s="500"/>
      <c r="J5" s="500"/>
      <c r="K5" s="501"/>
      <c r="L5" s="501"/>
      <c r="M5" s="501"/>
    </row>
    <row r="6" spans="2:23" ht="18">
      <c r="B6" s="501" t="s">
        <v>109</v>
      </c>
      <c r="C6" s="502">
        <v>0.3</v>
      </c>
      <c r="D6" s="502">
        <v>0.3</v>
      </c>
      <c r="E6" s="502">
        <v>0.1</v>
      </c>
      <c r="F6" s="502">
        <v>0.05</v>
      </c>
      <c r="G6" s="502">
        <v>10</v>
      </c>
      <c r="H6" s="503">
        <v>0.2</v>
      </c>
      <c r="I6" s="503">
        <v>10</v>
      </c>
      <c r="J6" s="503">
        <v>0.25</v>
      </c>
      <c r="K6" s="503">
        <v>3</v>
      </c>
      <c r="L6" s="501"/>
      <c r="M6" s="501"/>
      <c r="T6" s="974" t="s">
        <v>110</v>
      </c>
      <c r="U6" s="974"/>
    </row>
    <row r="7" spans="2:23">
      <c r="B7" s="501"/>
      <c r="C7" s="502"/>
      <c r="D7" s="502"/>
      <c r="E7" s="502"/>
      <c r="F7" s="502"/>
      <c r="G7" s="502"/>
      <c r="H7" s="501"/>
      <c r="I7" s="501"/>
      <c r="J7" s="501"/>
      <c r="K7" s="502"/>
      <c r="L7" s="501"/>
      <c r="M7" s="501"/>
      <c r="S7" s="504"/>
      <c r="V7" s="504"/>
      <c r="W7" s="975" t="s">
        <v>6</v>
      </c>
    </row>
    <row r="8" spans="2:23">
      <c r="B8" s="501"/>
      <c r="C8" s="502"/>
      <c r="D8" s="502"/>
      <c r="E8" s="502"/>
      <c r="F8" s="502"/>
      <c r="G8" s="502"/>
      <c r="H8" s="501"/>
      <c r="I8" s="501"/>
      <c r="J8" s="501"/>
      <c r="K8" s="502"/>
      <c r="L8" s="501"/>
      <c r="M8" s="501"/>
      <c r="S8" s="504"/>
      <c r="V8" s="504"/>
      <c r="W8" s="975"/>
    </row>
    <row r="9" spans="2:23">
      <c r="B9" s="501" t="s">
        <v>111</v>
      </c>
      <c r="C9" s="502">
        <v>0.45</v>
      </c>
      <c r="D9" s="502">
        <v>0.45</v>
      </c>
      <c r="E9" s="502">
        <v>0.1</v>
      </c>
      <c r="F9" s="502">
        <v>0.05</v>
      </c>
      <c r="G9" s="502">
        <v>10</v>
      </c>
      <c r="H9" s="503">
        <v>0.2</v>
      </c>
      <c r="I9" s="503">
        <v>10</v>
      </c>
      <c r="J9" s="503">
        <v>0.25</v>
      </c>
      <c r="K9" s="503">
        <v>3</v>
      </c>
      <c r="L9" s="501"/>
      <c r="M9" s="501"/>
      <c r="S9" s="504"/>
      <c r="V9" s="504"/>
      <c r="W9" s="975"/>
    </row>
    <row r="10" spans="2:23">
      <c r="B10" s="501"/>
      <c r="C10" s="502"/>
      <c r="D10" s="502"/>
      <c r="E10" s="502"/>
      <c r="F10" s="502"/>
      <c r="G10" s="502"/>
      <c r="H10" s="503"/>
      <c r="I10" s="503"/>
      <c r="J10" s="503"/>
      <c r="K10" s="503"/>
      <c r="L10" s="501"/>
      <c r="M10" s="501"/>
      <c r="S10" s="504"/>
      <c r="V10" s="504"/>
      <c r="W10" s="975"/>
    </row>
    <row r="11" spans="2:23">
      <c r="B11" s="501"/>
      <c r="C11" s="502"/>
      <c r="D11" s="502"/>
      <c r="E11" s="502"/>
      <c r="F11" s="502"/>
      <c r="G11" s="502"/>
      <c r="H11" s="501"/>
      <c r="I11" s="501"/>
      <c r="J11" s="501"/>
      <c r="K11" s="502"/>
      <c r="L11" s="501"/>
      <c r="M11" s="501"/>
      <c r="S11" s="504"/>
      <c r="V11" s="504"/>
      <c r="W11" s="975"/>
    </row>
    <row r="12" spans="2:23">
      <c r="B12" s="501" t="s">
        <v>112</v>
      </c>
      <c r="C12" s="502">
        <v>0.6</v>
      </c>
      <c r="D12" s="502">
        <v>0.6</v>
      </c>
      <c r="E12" s="502">
        <v>0.1</v>
      </c>
      <c r="F12" s="502">
        <v>0.05</v>
      </c>
      <c r="G12" s="502">
        <v>10</v>
      </c>
      <c r="H12" s="501">
        <v>0.2</v>
      </c>
      <c r="I12" s="501">
        <v>10</v>
      </c>
      <c r="J12" s="501">
        <v>0.25</v>
      </c>
      <c r="K12" s="503">
        <v>3</v>
      </c>
      <c r="L12" s="501"/>
      <c r="M12" s="501"/>
      <c r="S12" s="504"/>
      <c r="V12" s="504"/>
      <c r="W12" s="975"/>
    </row>
    <row r="13" spans="2:23">
      <c r="B13" s="501"/>
      <c r="C13" s="502"/>
      <c r="D13" s="502"/>
      <c r="E13" s="502"/>
      <c r="F13" s="502"/>
      <c r="G13" s="502"/>
      <c r="H13" s="501"/>
      <c r="I13" s="501"/>
      <c r="J13" s="501"/>
      <c r="K13" s="503"/>
      <c r="L13" s="501"/>
      <c r="M13" s="501"/>
      <c r="S13" s="504"/>
      <c r="V13" s="504"/>
      <c r="W13" s="975"/>
    </row>
    <row r="14" spans="2:23">
      <c r="B14" s="501"/>
      <c r="C14" s="502"/>
      <c r="D14" s="502"/>
      <c r="E14" s="502"/>
      <c r="F14" s="502"/>
      <c r="G14" s="502"/>
      <c r="H14" s="501"/>
      <c r="I14" s="501"/>
      <c r="J14" s="501"/>
      <c r="K14" s="502"/>
      <c r="L14" s="501"/>
      <c r="M14" s="501"/>
      <c r="S14" s="504"/>
      <c r="V14" s="504"/>
      <c r="W14" s="975"/>
    </row>
    <row r="15" spans="2:23">
      <c r="B15" s="501" t="s">
        <v>113</v>
      </c>
      <c r="C15" s="502">
        <v>0.75</v>
      </c>
      <c r="D15" s="502">
        <v>0.75</v>
      </c>
      <c r="E15" s="502">
        <v>0.125</v>
      </c>
      <c r="F15" s="502">
        <v>0.05</v>
      </c>
      <c r="G15" s="502">
        <v>10</v>
      </c>
      <c r="H15" s="501">
        <v>0.2</v>
      </c>
      <c r="I15" s="501">
        <v>10</v>
      </c>
      <c r="J15" s="501">
        <v>0.25</v>
      </c>
      <c r="K15" s="503">
        <v>3</v>
      </c>
      <c r="L15" s="501"/>
      <c r="M15" s="501"/>
      <c r="S15" s="504"/>
      <c r="V15" s="504"/>
      <c r="W15" s="975"/>
    </row>
    <row r="16" spans="2:23">
      <c r="B16" s="501"/>
      <c r="C16" s="502"/>
      <c r="D16" s="502"/>
      <c r="E16" s="502"/>
      <c r="F16" s="502"/>
      <c r="G16" s="502"/>
      <c r="H16" s="501"/>
      <c r="I16" s="501"/>
      <c r="J16" s="501"/>
      <c r="K16" s="503"/>
      <c r="L16" s="501"/>
      <c r="M16" s="501"/>
      <c r="S16" s="504"/>
      <c r="V16" s="504"/>
      <c r="W16" s="975"/>
    </row>
    <row r="17" spans="2:23">
      <c r="B17" s="501"/>
      <c r="C17" s="502"/>
      <c r="D17" s="502"/>
      <c r="E17" s="502"/>
      <c r="F17" s="502"/>
      <c r="G17" s="502"/>
      <c r="H17" s="501"/>
      <c r="I17" s="501"/>
      <c r="J17" s="501"/>
      <c r="K17" s="502"/>
      <c r="L17" s="501"/>
      <c r="M17" s="501"/>
      <c r="S17" s="504"/>
      <c r="V17" s="504"/>
      <c r="W17" s="975"/>
    </row>
    <row r="18" spans="2:23">
      <c r="B18" s="501" t="s">
        <v>114</v>
      </c>
      <c r="C18" s="502">
        <v>0.9</v>
      </c>
      <c r="D18" s="502">
        <v>0.9</v>
      </c>
      <c r="E18" s="502">
        <v>0.15</v>
      </c>
      <c r="F18" s="502">
        <v>0.05</v>
      </c>
      <c r="G18" s="502">
        <v>10</v>
      </c>
      <c r="H18" s="501">
        <v>0.17499999999999999</v>
      </c>
      <c r="I18" s="501">
        <v>10</v>
      </c>
      <c r="J18" s="501">
        <v>0.25</v>
      </c>
      <c r="K18" s="503">
        <v>3</v>
      </c>
      <c r="L18" s="501"/>
      <c r="M18" s="501"/>
      <c r="S18" s="504"/>
      <c r="T18" s="504"/>
      <c r="U18" s="504"/>
      <c r="V18" s="504"/>
      <c r="W18" s="975" t="s">
        <v>115</v>
      </c>
    </row>
    <row r="19" spans="2:23">
      <c r="B19" s="501"/>
      <c r="C19" s="502"/>
      <c r="D19" s="502"/>
      <c r="E19" s="502"/>
      <c r="F19" s="502"/>
      <c r="G19" s="502"/>
      <c r="H19" s="501"/>
      <c r="I19" s="501"/>
      <c r="J19" s="501"/>
      <c r="K19" s="503"/>
      <c r="L19" s="501"/>
      <c r="M19" s="501"/>
      <c r="S19" s="504"/>
      <c r="T19" s="504"/>
      <c r="U19" s="504"/>
      <c r="V19" s="504"/>
      <c r="W19" s="975"/>
    </row>
    <row r="20" spans="2:23">
      <c r="B20" s="501"/>
      <c r="C20" s="502"/>
      <c r="D20" s="502"/>
      <c r="E20" s="502"/>
      <c r="F20" s="502"/>
      <c r="G20" s="502"/>
      <c r="H20" s="501"/>
      <c r="I20" s="501"/>
      <c r="J20" s="501"/>
      <c r="K20" s="502"/>
      <c r="L20" s="501"/>
      <c r="M20" s="501"/>
      <c r="S20" s="504"/>
      <c r="T20" s="504"/>
      <c r="U20" s="504"/>
      <c r="V20" s="504"/>
      <c r="W20" s="975"/>
    </row>
    <row r="21" spans="2:23">
      <c r="B21" s="501" t="s">
        <v>116</v>
      </c>
      <c r="C21" s="502">
        <v>1</v>
      </c>
      <c r="D21" s="502">
        <v>1</v>
      </c>
      <c r="E21" s="502">
        <v>0.15</v>
      </c>
      <c r="F21" s="502">
        <v>0.05</v>
      </c>
      <c r="G21" s="502">
        <v>10</v>
      </c>
      <c r="H21" s="501">
        <v>0.17499999999999999</v>
      </c>
      <c r="I21" s="501">
        <v>10</v>
      </c>
      <c r="J21" s="501">
        <v>0.25</v>
      </c>
      <c r="K21" s="503">
        <v>3</v>
      </c>
      <c r="L21" s="501"/>
      <c r="M21" s="501"/>
      <c r="S21" s="505"/>
      <c r="T21" s="505"/>
      <c r="U21" s="505"/>
      <c r="V21" s="505"/>
      <c r="W21" t="s">
        <v>117</v>
      </c>
    </row>
    <row r="22" spans="2:23">
      <c r="B22" s="501"/>
      <c r="C22" s="502"/>
      <c r="D22" s="502"/>
      <c r="E22" s="502"/>
      <c r="F22" s="502"/>
      <c r="G22" s="502"/>
      <c r="H22" s="501"/>
      <c r="I22" s="501"/>
      <c r="J22" s="501"/>
      <c r="K22" s="503"/>
      <c r="L22" s="501"/>
      <c r="M22" s="501"/>
      <c r="S22" s="505"/>
      <c r="T22" s="505"/>
      <c r="U22" s="505"/>
      <c r="V22" s="505"/>
    </row>
    <row r="23" spans="2:23">
      <c r="B23" s="501"/>
      <c r="C23" s="502"/>
      <c r="D23" s="502"/>
      <c r="E23" s="502"/>
      <c r="F23" s="502"/>
      <c r="G23" s="502"/>
      <c r="H23" s="501"/>
      <c r="I23" s="501"/>
      <c r="J23" s="501"/>
      <c r="K23" s="502"/>
      <c r="L23" s="501"/>
      <c r="M23" s="501"/>
    </row>
    <row r="24" spans="2:23">
      <c r="B24" s="501" t="s">
        <v>118</v>
      </c>
      <c r="C24" s="502">
        <v>0.3</v>
      </c>
      <c r="D24" s="502">
        <v>0.3</v>
      </c>
      <c r="E24" s="502">
        <v>0.1</v>
      </c>
      <c r="F24" s="502">
        <v>0.05</v>
      </c>
      <c r="G24" s="502">
        <v>10</v>
      </c>
      <c r="H24" s="501">
        <v>0.2</v>
      </c>
      <c r="I24" s="501">
        <v>10</v>
      </c>
      <c r="J24" s="501">
        <v>0.25</v>
      </c>
      <c r="K24" s="503">
        <v>3</v>
      </c>
      <c r="L24" s="501"/>
      <c r="M24" s="501"/>
    </row>
    <row r="25" spans="2:23">
      <c r="B25" s="501"/>
      <c r="C25" s="502"/>
      <c r="D25" s="502"/>
      <c r="E25" s="502"/>
      <c r="F25" s="502"/>
      <c r="G25" s="502"/>
      <c r="H25" s="501"/>
      <c r="I25" s="501"/>
      <c r="J25" s="501"/>
      <c r="K25" s="503"/>
      <c r="L25" s="501"/>
      <c r="M25" s="501"/>
    </row>
    <row r="26" spans="2:23">
      <c r="B26" s="501"/>
      <c r="C26" s="502"/>
      <c r="D26" s="502"/>
      <c r="E26" s="502"/>
      <c r="F26" s="502"/>
      <c r="G26" s="502"/>
      <c r="H26" s="501"/>
      <c r="I26" s="501"/>
      <c r="J26" s="501"/>
      <c r="K26" s="502"/>
      <c r="L26" s="501"/>
      <c r="M26" s="501"/>
    </row>
    <row r="27" spans="2:23">
      <c r="B27" s="501" t="s">
        <v>119</v>
      </c>
      <c r="C27" s="502">
        <v>0.6</v>
      </c>
      <c r="D27" s="502">
        <v>0.6</v>
      </c>
      <c r="E27" s="502">
        <v>0.1</v>
      </c>
      <c r="F27" s="502">
        <v>0.05</v>
      </c>
      <c r="G27" s="502">
        <v>10</v>
      </c>
      <c r="H27" s="501">
        <v>0.2</v>
      </c>
      <c r="I27" s="501">
        <v>10</v>
      </c>
      <c r="J27" s="501">
        <v>0.25</v>
      </c>
      <c r="K27" s="503">
        <v>3</v>
      </c>
      <c r="L27" s="501"/>
      <c r="M27" s="501"/>
    </row>
    <row r="28" spans="2:23">
      <c r="B28" s="506"/>
      <c r="C28" s="507"/>
      <c r="D28" s="507"/>
      <c r="E28" s="507"/>
      <c r="F28" s="507"/>
      <c r="G28" s="507"/>
      <c r="H28" s="506"/>
      <c r="I28" s="506"/>
      <c r="J28" s="506"/>
      <c r="K28" s="503"/>
      <c r="L28" s="501"/>
      <c r="M28" s="501"/>
    </row>
    <row r="29" spans="2:23">
      <c r="B29" s="506"/>
      <c r="C29" s="507"/>
      <c r="D29" s="507"/>
      <c r="E29" s="507"/>
      <c r="F29" s="507"/>
      <c r="G29" s="507"/>
      <c r="H29" s="506"/>
      <c r="I29" s="506"/>
      <c r="J29" s="506"/>
      <c r="K29" s="508"/>
      <c r="L29" s="501"/>
      <c r="M29" s="501"/>
    </row>
    <row r="30" spans="2:23">
      <c r="B30" s="509" t="s">
        <v>120</v>
      </c>
      <c r="C30" s="502">
        <v>0.3</v>
      </c>
      <c r="D30" s="502">
        <v>0.3</v>
      </c>
      <c r="E30" s="502">
        <v>0.1</v>
      </c>
      <c r="F30" s="502">
        <v>0.05</v>
      </c>
      <c r="G30" s="502">
        <v>10</v>
      </c>
      <c r="H30" s="501">
        <v>0.25</v>
      </c>
      <c r="I30" s="501">
        <v>10</v>
      </c>
      <c r="J30" s="501">
        <v>0.25</v>
      </c>
      <c r="K30" s="503">
        <v>0</v>
      </c>
      <c r="L30" s="501"/>
      <c r="M30" s="501"/>
    </row>
    <row r="31" spans="2:23">
      <c r="B31" s="506" t="s">
        <v>121</v>
      </c>
      <c r="C31" s="507">
        <v>1.5</v>
      </c>
      <c r="D31" s="507"/>
      <c r="E31" s="507">
        <v>0.1</v>
      </c>
      <c r="F31" s="507"/>
      <c r="G31" s="507">
        <v>10</v>
      </c>
      <c r="H31" s="506">
        <v>0.25</v>
      </c>
      <c r="I31" s="506">
        <v>10</v>
      </c>
      <c r="J31" s="506">
        <v>0.15</v>
      </c>
      <c r="K31" s="503"/>
      <c r="L31" s="501"/>
      <c r="M31" s="501"/>
    </row>
    <row r="32" spans="2:23">
      <c r="B32" s="506"/>
      <c r="C32" s="507"/>
      <c r="D32" s="507"/>
      <c r="E32" s="507"/>
      <c r="F32" s="507"/>
      <c r="G32" s="507"/>
      <c r="H32" s="506"/>
      <c r="I32" s="506"/>
      <c r="J32" s="506"/>
      <c r="K32" s="508"/>
      <c r="L32" s="501"/>
      <c r="M32" s="501"/>
    </row>
    <row r="33" spans="2:13">
      <c r="B33" s="509" t="s">
        <v>122</v>
      </c>
      <c r="C33" s="502">
        <v>0.45</v>
      </c>
      <c r="D33" s="502">
        <v>0.45</v>
      </c>
      <c r="E33" s="502">
        <v>0.1</v>
      </c>
      <c r="F33" s="502">
        <v>0.05</v>
      </c>
      <c r="G33" s="502">
        <v>10</v>
      </c>
      <c r="H33" s="501">
        <v>0.25</v>
      </c>
      <c r="I33" s="501">
        <v>10</v>
      </c>
      <c r="J33" s="501">
        <v>0.25</v>
      </c>
      <c r="K33" s="503">
        <v>0</v>
      </c>
      <c r="L33" s="501"/>
      <c r="M33" s="501"/>
    </row>
    <row r="34" spans="2:13">
      <c r="B34" s="506" t="s">
        <v>121</v>
      </c>
      <c r="C34" s="507">
        <v>1.5</v>
      </c>
      <c r="D34" s="507"/>
      <c r="E34" s="507">
        <v>0.1</v>
      </c>
      <c r="F34" s="507"/>
      <c r="G34" s="507">
        <v>10</v>
      </c>
      <c r="H34" s="506">
        <v>0.25</v>
      </c>
      <c r="I34" s="506">
        <v>10</v>
      </c>
      <c r="J34" s="506">
        <v>0.15</v>
      </c>
      <c r="K34" s="503"/>
      <c r="L34" s="501"/>
      <c r="M34" s="501"/>
    </row>
    <row r="35" spans="2:13">
      <c r="B35" s="506"/>
      <c r="C35" s="507"/>
      <c r="D35" s="507"/>
      <c r="E35" s="507"/>
      <c r="F35" s="507"/>
      <c r="G35" s="507"/>
      <c r="H35" s="506"/>
      <c r="I35" s="506"/>
      <c r="J35" s="506"/>
      <c r="K35" s="508"/>
      <c r="L35" s="501"/>
      <c r="M35" s="501"/>
    </row>
    <row r="36" spans="2:13">
      <c r="B36" s="509" t="s">
        <v>124</v>
      </c>
      <c r="C36" s="502">
        <v>1</v>
      </c>
      <c r="D36" s="502">
        <v>0.15</v>
      </c>
      <c r="E36" s="502">
        <v>0.1</v>
      </c>
      <c r="F36" s="502">
        <v>0.05</v>
      </c>
      <c r="G36" s="502">
        <v>10</v>
      </c>
      <c r="H36" s="501">
        <v>0.25</v>
      </c>
      <c r="I36" s="501">
        <v>10</v>
      </c>
      <c r="J36" s="501">
        <v>0.25</v>
      </c>
      <c r="K36" s="503">
        <v>0</v>
      </c>
      <c r="L36" s="501"/>
      <c r="M36" s="501"/>
    </row>
    <row r="37" spans="2:13">
      <c r="B37" s="506" t="s">
        <v>121</v>
      </c>
      <c r="C37" s="507">
        <v>1.5</v>
      </c>
      <c r="D37" s="507"/>
      <c r="E37" s="507">
        <v>0.1</v>
      </c>
      <c r="F37" s="507"/>
      <c r="G37" s="507">
        <v>10</v>
      </c>
      <c r="H37" s="506">
        <v>0.25</v>
      </c>
      <c r="I37" s="506">
        <v>10</v>
      </c>
      <c r="J37" s="506">
        <v>0.15</v>
      </c>
      <c r="K37" s="503"/>
      <c r="L37" s="501"/>
      <c r="M37" s="501"/>
    </row>
    <row r="38" spans="2:13">
      <c r="B38" s="506"/>
      <c r="C38" s="507"/>
      <c r="D38" s="507"/>
      <c r="E38" s="507"/>
      <c r="F38" s="507"/>
      <c r="G38" s="507"/>
      <c r="H38" s="506"/>
      <c r="I38" s="506"/>
      <c r="J38" s="506"/>
      <c r="K38" s="508"/>
      <c r="L38" s="501"/>
      <c r="M38" s="501"/>
    </row>
    <row r="39" spans="2:13">
      <c r="B39" s="510" t="s">
        <v>125</v>
      </c>
      <c r="C39" s="502">
        <v>1</v>
      </c>
      <c r="D39" s="502">
        <v>0.2</v>
      </c>
      <c r="E39" s="502">
        <v>0.1</v>
      </c>
      <c r="F39" s="502">
        <v>0.05</v>
      </c>
      <c r="G39" s="502">
        <v>10</v>
      </c>
      <c r="H39" s="501">
        <v>0.25</v>
      </c>
      <c r="I39" s="501">
        <v>10</v>
      </c>
      <c r="J39" s="501">
        <v>0.25</v>
      </c>
      <c r="K39" s="503">
        <v>0</v>
      </c>
      <c r="L39" s="501"/>
      <c r="M39" s="501"/>
    </row>
    <row r="40" spans="2:13">
      <c r="B40" s="506"/>
      <c r="C40" s="507"/>
      <c r="D40" s="507"/>
      <c r="E40" s="507"/>
      <c r="F40" s="507"/>
      <c r="G40" s="507"/>
      <c r="H40" s="506"/>
      <c r="I40" s="506"/>
      <c r="J40" s="506"/>
      <c r="K40" s="508"/>
      <c r="L40" s="501"/>
      <c r="M40" s="501"/>
    </row>
    <row r="41" spans="2:13">
      <c r="B41" s="510" t="s">
        <v>126</v>
      </c>
      <c r="C41" s="502">
        <v>1</v>
      </c>
      <c r="D41" s="502">
        <v>0.3</v>
      </c>
      <c r="E41" s="502">
        <v>0.1</v>
      </c>
      <c r="F41" s="502">
        <v>0.05</v>
      </c>
      <c r="G41" s="502">
        <v>10</v>
      </c>
      <c r="H41" s="501">
        <v>0.25</v>
      </c>
      <c r="I41" s="501">
        <v>10</v>
      </c>
      <c r="J41" s="501">
        <v>0.25</v>
      </c>
      <c r="K41" s="503">
        <v>0</v>
      </c>
      <c r="L41" s="501"/>
      <c r="M41" s="501"/>
    </row>
    <row r="42" spans="2:13">
      <c r="B42" s="506"/>
      <c r="C42" s="507"/>
      <c r="D42" s="507"/>
      <c r="E42" s="507"/>
      <c r="F42" s="507"/>
      <c r="G42" s="507"/>
      <c r="H42" s="506"/>
      <c r="I42" s="506"/>
      <c r="J42" s="506"/>
      <c r="K42" s="508"/>
      <c r="L42" s="501"/>
      <c r="M42" s="501"/>
    </row>
    <row r="43" spans="2:13">
      <c r="B43" s="511" t="s">
        <v>127</v>
      </c>
      <c r="C43" s="502">
        <v>0.6</v>
      </c>
      <c r="D43" s="502">
        <v>0.6</v>
      </c>
      <c r="E43" s="502">
        <v>0.15</v>
      </c>
      <c r="F43" s="502">
        <v>0.05</v>
      </c>
      <c r="G43" s="502">
        <v>10</v>
      </c>
      <c r="H43" s="501">
        <v>0.25</v>
      </c>
      <c r="I43" s="501">
        <v>10</v>
      </c>
      <c r="J43" s="501">
        <v>0.25</v>
      </c>
      <c r="K43" s="503">
        <v>0</v>
      </c>
      <c r="L43" s="501"/>
      <c r="M43" s="501"/>
    </row>
    <row r="44" spans="2:13">
      <c r="B44" s="506"/>
      <c r="C44" s="507"/>
      <c r="D44" s="507"/>
      <c r="E44" s="507"/>
      <c r="F44" s="507"/>
      <c r="G44" s="507"/>
      <c r="H44" s="506"/>
      <c r="I44" s="506"/>
      <c r="J44" s="506"/>
      <c r="K44" s="508"/>
      <c r="L44" s="501"/>
      <c r="M44" s="501"/>
    </row>
    <row r="45" spans="2:13">
      <c r="B45" s="511" t="s">
        <v>128</v>
      </c>
      <c r="C45" s="502">
        <v>0.8</v>
      </c>
      <c r="D45" s="502">
        <v>0.8</v>
      </c>
      <c r="E45" s="502">
        <v>0.15</v>
      </c>
      <c r="F45" s="502">
        <v>0.05</v>
      </c>
      <c r="G45" s="502">
        <v>10</v>
      </c>
      <c r="H45" s="501">
        <v>0.25</v>
      </c>
      <c r="I45" s="501">
        <v>10</v>
      </c>
      <c r="J45" s="501">
        <v>0.25</v>
      </c>
      <c r="K45" s="503">
        <v>0</v>
      </c>
      <c r="L45" s="501"/>
      <c r="M45" s="501"/>
    </row>
    <row r="46" spans="2:13">
      <c r="B46" s="506"/>
      <c r="C46" s="507"/>
      <c r="D46" s="507"/>
      <c r="E46" s="507"/>
      <c r="F46" s="507"/>
      <c r="G46" s="507"/>
      <c r="H46" s="506"/>
      <c r="I46" s="506"/>
      <c r="J46" s="506"/>
      <c r="K46" s="508"/>
      <c r="L46" s="501"/>
      <c r="M46" s="501"/>
    </row>
    <row r="47" spans="2:13">
      <c r="B47" s="512" t="s">
        <v>129</v>
      </c>
      <c r="C47" s="502">
        <v>1</v>
      </c>
      <c r="D47" s="502">
        <v>0.6</v>
      </c>
      <c r="E47" s="502">
        <v>0.1</v>
      </c>
      <c r="F47" s="502">
        <v>0.05</v>
      </c>
      <c r="G47" s="502">
        <v>10</v>
      </c>
      <c r="H47" s="501">
        <v>0.25</v>
      </c>
      <c r="I47" s="501">
        <v>10</v>
      </c>
      <c r="J47" s="501">
        <v>0.25</v>
      </c>
      <c r="K47" s="503">
        <v>3</v>
      </c>
      <c r="L47" s="501"/>
      <c r="M47" s="501"/>
    </row>
    <row r="48" spans="2:13">
      <c r="B48" s="513"/>
      <c r="C48" s="507"/>
      <c r="D48" s="507"/>
      <c r="E48" s="507"/>
      <c r="F48" s="507"/>
      <c r="G48" s="507"/>
      <c r="H48" s="506"/>
      <c r="I48" s="506"/>
      <c r="J48" s="506"/>
      <c r="K48" s="508"/>
      <c r="L48" s="501"/>
      <c r="M48" s="501"/>
    </row>
    <row r="49" spans="2:13">
      <c r="B49" s="506"/>
      <c r="C49" s="507"/>
      <c r="D49" s="507"/>
      <c r="E49" s="507"/>
      <c r="F49" s="507"/>
      <c r="G49" s="507"/>
      <c r="H49" s="506"/>
      <c r="I49" s="506"/>
      <c r="J49" s="506"/>
      <c r="K49" s="508"/>
      <c r="L49" s="501"/>
      <c r="M49" s="501"/>
    </row>
    <row r="50" spans="2:13">
      <c r="B50" s="512" t="s">
        <v>130</v>
      </c>
      <c r="C50" s="502">
        <v>1</v>
      </c>
      <c r="D50" s="502">
        <v>0.8</v>
      </c>
      <c r="E50" s="502">
        <v>0.125</v>
      </c>
      <c r="F50" s="502">
        <v>0.05</v>
      </c>
      <c r="G50" s="502">
        <v>10</v>
      </c>
      <c r="H50" s="501">
        <v>0.25</v>
      </c>
      <c r="I50" s="501">
        <v>10</v>
      </c>
      <c r="J50" s="501">
        <v>0.25</v>
      </c>
      <c r="K50" s="503">
        <v>3</v>
      </c>
      <c r="L50" s="501"/>
      <c r="M50" s="501"/>
    </row>
    <row r="51" spans="2:13">
      <c r="B51" s="513"/>
      <c r="C51" s="507"/>
      <c r="D51" s="507"/>
      <c r="E51" s="507"/>
      <c r="F51" s="507"/>
      <c r="G51" s="507"/>
      <c r="H51" s="506"/>
      <c r="I51" s="506"/>
      <c r="J51" s="506"/>
      <c r="K51" s="508"/>
      <c r="L51" s="501"/>
      <c r="M51" s="501"/>
    </row>
    <row r="52" spans="2:13">
      <c r="B52" s="506"/>
      <c r="C52" s="507"/>
      <c r="D52" s="507"/>
      <c r="E52" s="507"/>
      <c r="F52" s="507"/>
      <c r="G52" s="507"/>
      <c r="H52" s="506"/>
      <c r="I52" s="506"/>
      <c r="J52" s="506"/>
      <c r="K52" s="508"/>
      <c r="L52" s="501"/>
      <c r="M52" s="501"/>
    </row>
    <row r="53" spans="2:13">
      <c r="B53" s="512" t="s">
        <v>131</v>
      </c>
      <c r="C53" s="502">
        <v>1</v>
      </c>
      <c r="D53" s="502">
        <v>1</v>
      </c>
      <c r="E53" s="502">
        <v>0.125</v>
      </c>
      <c r="F53" s="502">
        <v>0.05</v>
      </c>
      <c r="G53" s="502">
        <v>10</v>
      </c>
      <c r="H53" s="501">
        <v>0.25</v>
      </c>
      <c r="I53" s="501">
        <v>10</v>
      </c>
      <c r="J53" s="501">
        <v>0.25</v>
      </c>
      <c r="K53" s="503">
        <v>3</v>
      </c>
      <c r="L53" s="501"/>
      <c r="M53" s="501"/>
    </row>
    <row r="54" spans="2:13">
      <c r="B54" s="513"/>
      <c r="C54" s="507"/>
      <c r="D54" s="507"/>
      <c r="E54" s="507"/>
      <c r="F54" s="507"/>
      <c r="G54" s="507"/>
      <c r="H54" s="506"/>
      <c r="I54" s="506"/>
      <c r="J54" s="506"/>
      <c r="K54" s="508"/>
      <c r="L54" s="501"/>
      <c r="M54" s="501"/>
    </row>
    <row r="55" spans="2:13">
      <c r="B55" s="506"/>
      <c r="C55" s="507"/>
      <c r="D55" s="507"/>
      <c r="E55" s="507"/>
      <c r="F55" s="507"/>
      <c r="G55" s="507"/>
      <c r="H55" s="506"/>
      <c r="I55" s="506"/>
      <c r="J55" s="506"/>
      <c r="K55" s="508"/>
      <c r="L55" s="501"/>
      <c r="M55" s="501"/>
    </row>
    <row r="56" spans="2:13">
      <c r="B56" s="512" t="s">
        <v>132</v>
      </c>
      <c r="C56" s="502">
        <v>1</v>
      </c>
      <c r="D56" s="502">
        <v>1</v>
      </c>
      <c r="E56" s="502">
        <v>0.125</v>
      </c>
      <c r="F56" s="502">
        <v>0.05</v>
      </c>
      <c r="G56" s="502">
        <v>10</v>
      </c>
      <c r="H56" s="501">
        <v>0.25</v>
      </c>
      <c r="I56" s="501">
        <v>10</v>
      </c>
      <c r="J56" s="501">
        <v>0.25</v>
      </c>
      <c r="K56" s="503">
        <v>3</v>
      </c>
      <c r="L56" s="501"/>
      <c r="M56" s="501"/>
    </row>
    <row r="57" spans="2:13">
      <c r="B57" s="513"/>
      <c r="C57" s="507"/>
      <c r="D57" s="507"/>
      <c r="E57" s="507"/>
      <c r="F57" s="507"/>
      <c r="G57" s="507"/>
      <c r="H57" s="506"/>
      <c r="I57" s="506"/>
      <c r="J57" s="506"/>
      <c r="K57" s="508"/>
      <c r="L57" s="501"/>
      <c r="M57" s="501"/>
    </row>
    <row r="58" spans="2:13">
      <c r="B58" s="513"/>
      <c r="C58" s="507"/>
      <c r="D58" s="507"/>
      <c r="E58" s="507"/>
      <c r="F58" s="507"/>
      <c r="G58" s="507"/>
      <c r="H58" s="506"/>
      <c r="I58" s="506"/>
      <c r="J58" s="506"/>
      <c r="K58" s="508"/>
      <c r="L58" s="501"/>
      <c r="M58" s="501"/>
    </row>
    <row r="59" spans="2:13">
      <c r="B59" s="514" t="s">
        <v>133</v>
      </c>
      <c r="C59" s="502">
        <v>0.45</v>
      </c>
      <c r="D59" s="502">
        <v>0.45</v>
      </c>
      <c r="E59" s="502">
        <v>0.1</v>
      </c>
      <c r="F59" s="502">
        <v>0.05</v>
      </c>
      <c r="G59" s="502">
        <v>10</v>
      </c>
      <c r="H59" s="501">
        <v>0.25</v>
      </c>
      <c r="I59" s="501">
        <v>10</v>
      </c>
      <c r="J59" s="501">
        <v>0.25</v>
      </c>
      <c r="K59" s="503"/>
      <c r="L59" s="501">
        <v>0.27500000000000002</v>
      </c>
      <c r="M59" s="501">
        <v>0.27500000000000002</v>
      </c>
    </row>
    <row r="60" spans="2:13">
      <c r="B60" s="515"/>
      <c r="C60" s="507"/>
      <c r="D60" s="507"/>
      <c r="E60" s="507"/>
      <c r="F60" s="507"/>
      <c r="G60" s="507"/>
      <c r="H60" s="506"/>
      <c r="I60" s="506"/>
      <c r="J60" s="506"/>
      <c r="K60" s="508"/>
      <c r="L60" s="501"/>
      <c r="M60" s="501"/>
    </row>
    <row r="61" spans="2:13">
      <c r="B61" s="515"/>
      <c r="C61" s="507"/>
      <c r="D61" s="507"/>
      <c r="E61" s="507"/>
      <c r="F61" s="507"/>
      <c r="G61" s="507"/>
      <c r="H61" s="506"/>
      <c r="I61" s="506"/>
      <c r="J61" s="506"/>
      <c r="K61" s="508"/>
      <c r="L61" s="501"/>
      <c r="M61" s="501"/>
    </row>
    <row r="62" spans="2:13">
      <c r="B62" s="506"/>
      <c r="C62" s="507"/>
      <c r="D62" s="507"/>
      <c r="E62" s="507"/>
      <c r="F62" s="507"/>
      <c r="G62" s="507"/>
      <c r="H62" s="506"/>
      <c r="I62" s="506"/>
      <c r="J62" s="506"/>
      <c r="K62" s="508"/>
      <c r="L62" s="501"/>
      <c r="M62" s="501"/>
    </row>
    <row r="63" spans="2:13">
      <c r="B63" s="514" t="s">
        <v>134</v>
      </c>
      <c r="C63" s="502">
        <v>0.45</v>
      </c>
      <c r="D63" s="502">
        <v>0.6</v>
      </c>
      <c r="E63" s="502">
        <v>0.1</v>
      </c>
      <c r="F63" s="502">
        <v>0.05</v>
      </c>
      <c r="G63" s="502">
        <v>10</v>
      </c>
      <c r="H63" s="501">
        <v>0.25</v>
      </c>
      <c r="I63" s="501">
        <v>10</v>
      </c>
      <c r="J63" s="501">
        <v>0.25</v>
      </c>
      <c r="K63" s="503"/>
      <c r="L63" s="501">
        <v>0.27500000000000002</v>
      </c>
      <c r="M63" s="501">
        <v>0.27500000000000002</v>
      </c>
    </row>
    <row r="64" spans="2:13">
      <c r="B64" s="515"/>
      <c r="C64" s="507"/>
      <c r="D64" s="507"/>
      <c r="E64" s="507"/>
      <c r="F64" s="507"/>
      <c r="G64" s="507"/>
      <c r="H64" s="506"/>
      <c r="I64" s="506"/>
      <c r="J64" s="506"/>
      <c r="K64" s="508"/>
      <c r="L64" s="501"/>
      <c r="M64" s="501"/>
    </row>
    <row r="65" spans="2:13">
      <c r="B65" s="515"/>
      <c r="C65" s="507"/>
      <c r="D65" s="507"/>
      <c r="E65" s="507"/>
      <c r="F65" s="507"/>
      <c r="G65" s="507"/>
      <c r="H65" s="506"/>
      <c r="I65" s="506"/>
      <c r="J65" s="506"/>
      <c r="K65" s="508"/>
      <c r="L65" s="501"/>
      <c r="M65" s="501"/>
    </row>
    <row r="66" spans="2:13">
      <c r="B66" s="513"/>
      <c r="C66" s="507"/>
      <c r="D66" s="507"/>
      <c r="E66" s="507"/>
      <c r="F66" s="507"/>
      <c r="G66" s="507"/>
      <c r="H66" s="506"/>
      <c r="I66" s="506"/>
      <c r="J66" s="506"/>
      <c r="K66" s="508"/>
      <c r="L66" s="501"/>
      <c r="M66" s="501"/>
    </row>
    <row r="67" spans="2:13">
      <c r="B67" s="514" t="s">
        <v>135</v>
      </c>
      <c r="C67" s="502">
        <v>0.6</v>
      </c>
      <c r="D67" s="502">
        <v>0.6</v>
      </c>
      <c r="E67" s="502">
        <v>0.1</v>
      </c>
      <c r="F67" s="502">
        <v>0.05</v>
      </c>
      <c r="G67" s="502">
        <v>10</v>
      </c>
      <c r="H67" s="501">
        <v>0.25</v>
      </c>
      <c r="I67" s="501">
        <v>10</v>
      </c>
      <c r="J67" s="501">
        <v>0.25</v>
      </c>
      <c r="K67" s="503"/>
      <c r="L67" s="501">
        <v>0.27500000000000002</v>
      </c>
      <c r="M67" s="501">
        <v>0.27500000000000002</v>
      </c>
    </row>
    <row r="68" spans="2:13">
      <c r="B68" s="515"/>
      <c r="C68" s="507"/>
      <c r="D68" s="507"/>
      <c r="E68" s="507"/>
      <c r="F68" s="507"/>
      <c r="G68" s="507"/>
      <c r="H68" s="506"/>
      <c r="I68" s="506"/>
      <c r="J68" s="506"/>
      <c r="K68" s="508"/>
      <c r="L68" s="501"/>
      <c r="M68" s="501"/>
    </row>
    <row r="69" spans="2:13">
      <c r="B69" s="515"/>
      <c r="C69" s="507"/>
      <c r="D69" s="507"/>
      <c r="E69" s="507"/>
      <c r="F69" s="507"/>
      <c r="G69" s="507"/>
      <c r="H69" s="506"/>
      <c r="I69" s="506"/>
      <c r="J69" s="506"/>
      <c r="K69" s="508"/>
      <c r="L69" s="501"/>
      <c r="M69" s="501"/>
    </row>
    <row r="70" spans="2:13">
      <c r="B70" s="515"/>
      <c r="C70" s="507"/>
      <c r="D70" s="507"/>
      <c r="E70" s="507"/>
      <c r="F70" s="507"/>
      <c r="G70" s="507"/>
      <c r="H70" s="506"/>
      <c r="I70" s="506"/>
      <c r="J70" s="506"/>
      <c r="K70" s="508"/>
      <c r="L70" s="501"/>
      <c r="M70" s="501"/>
    </row>
    <row r="71" spans="2:13">
      <c r="B71" s="514" t="s">
        <v>136</v>
      </c>
      <c r="C71" s="502">
        <v>0.8</v>
      </c>
      <c r="D71" s="502">
        <v>0.8</v>
      </c>
      <c r="E71" s="502">
        <v>0.1</v>
      </c>
      <c r="F71" s="502">
        <v>0.05</v>
      </c>
      <c r="G71" s="502">
        <v>10</v>
      </c>
      <c r="H71" s="501">
        <v>0.25</v>
      </c>
      <c r="I71" s="501">
        <v>10</v>
      </c>
      <c r="J71" s="501">
        <v>0.25</v>
      </c>
      <c r="K71" s="503"/>
      <c r="L71" s="501">
        <v>0.27500000000000002</v>
      </c>
      <c r="M71" s="501">
        <v>0.27500000000000002</v>
      </c>
    </row>
    <row r="72" spans="2:13">
      <c r="B72" s="515"/>
      <c r="C72" s="507"/>
      <c r="D72" s="507"/>
      <c r="E72" s="507"/>
      <c r="F72" s="507"/>
      <c r="G72" s="507"/>
      <c r="H72" s="506"/>
      <c r="I72" s="506"/>
      <c r="J72" s="506"/>
      <c r="K72" s="508"/>
      <c r="L72" s="501"/>
      <c r="M72" s="501"/>
    </row>
    <row r="73" spans="2:13">
      <c r="B73" s="515"/>
      <c r="C73" s="507"/>
      <c r="D73" s="507"/>
      <c r="E73" s="507"/>
      <c r="F73" s="507"/>
      <c r="G73" s="507"/>
      <c r="H73" s="506"/>
      <c r="I73" s="506"/>
      <c r="J73" s="506"/>
      <c r="K73" s="508"/>
      <c r="L73" s="501"/>
      <c r="M73" s="501"/>
    </row>
    <row r="74" spans="2:13">
      <c r="B74" s="515"/>
      <c r="C74" s="507"/>
      <c r="D74" s="507"/>
      <c r="E74" s="507"/>
      <c r="F74" s="507"/>
      <c r="G74" s="507"/>
      <c r="H74" s="506"/>
      <c r="I74" s="506"/>
      <c r="J74" s="506"/>
      <c r="K74" s="508"/>
      <c r="L74" s="501"/>
      <c r="M74" s="501"/>
    </row>
    <row r="75" spans="2:13">
      <c r="B75" s="514" t="s">
        <v>137</v>
      </c>
      <c r="C75" s="502">
        <v>1</v>
      </c>
      <c r="D75" s="502">
        <v>1</v>
      </c>
      <c r="E75" s="502">
        <v>0.125</v>
      </c>
      <c r="F75" s="502">
        <v>0.05</v>
      </c>
      <c r="G75" s="502">
        <v>10</v>
      </c>
      <c r="H75" s="501">
        <v>0.25</v>
      </c>
      <c r="I75" s="501">
        <v>10</v>
      </c>
      <c r="J75" s="501">
        <v>0.25</v>
      </c>
      <c r="K75" s="503"/>
      <c r="L75" s="501">
        <v>0.27500000000000002</v>
      </c>
      <c r="M75" s="501">
        <v>0.27500000000000002</v>
      </c>
    </row>
    <row r="76" spans="2:13">
      <c r="B76" s="515"/>
      <c r="C76" s="507"/>
      <c r="D76" s="507"/>
      <c r="E76" s="507"/>
      <c r="F76" s="507"/>
      <c r="G76" s="507"/>
      <c r="H76" s="506"/>
      <c r="I76" s="506"/>
      <c r="J76" s="506"/>
      <c r="K76" s="508"/>
      <c r="L76" s="501"/>
      <c r="M76" s="501"/>
    </row>
    <row r="77" spans="2:13">
      <c r="B77" s="515"/>
      <c r="C77" s="507"/>
      <c r="D77" s="507"/>
      <c r="E77" s="507"/>
      <c r="F77" s="507"/>
      <c r="G77" s="507"/>
      <c r="H77" s="506"/>
      <c r="I77" s="506"/>
      <c r="J77" s="506"/>
      <c r="K77" s="508"/>
      <c r="L77" s="501"/>
      <c r="M77" s="501"/>
    </row>
    <row r="78" spans="2:13">
      <c r="B78" s="515"/>
      <c r="C78" s="507"/>
      <c r="D78" s="507"/>
      <c r="E78" s="507"/>
      <c r="F78" s="507"/>
      <c r="G78" s="507"/>
      <c r="H78" s="506"/>
      <c r="I78" s="506"/>
      <c r="J78" s="506"/>
      <c r="K78" s="508"/>
      <c r="L78" s="501"/>
      <c r="M78" s="501"/>
    </row>
    <row r="79" spans="2:13">
      <c r="B79" s="516" t="s">
        <v>138</v>
      </c>
      <c r="C79" s="502">
        <v>0.45</v>
      </c>
      <c r="D79" s="502">
        <v>0.45</v>
      </c>
      <c r="E79" s="502">
        <v>0.1</v>
      </c>
      <c r="F79" s="502">
        <v>0.05</v>
      </c>
      <c r="G79" s="502">
        <v>10</v>
      </c>
      <c r="H79" s="501">
        <v>0.25</v>
      </c>
      <c r="I79" s="501">
        <v>10</v>
      </c>
      <c r="J79" s="501">
        <v>0.25</v>
      </c>
      <c r="K79" s="503"/>
      <c r="L79" s="501">
        <v>0.9</v>
      </c>
      <c r="M79" s="501">
        <v>0.45</v>
      </c>
    </row>
    <row r="80" spans="2:13">
      <c r="B80" s="517"/>
      <c r="C80" s="507"/>
      <c r="D80" s="507"/>
      <c r="E80" s="507"/>
      <c r="F80" s="507"/>
      <c r="G80" s="507"/>
      <c r="H80" s="506"/>
      <c r="I80" s="506"/>
      <c r="J80" s="506"/>
      <c r="K80" s="508"/>
      <c r="L80" s="501"/>
      <c r="M80" s="501"/>
    </row>
    <row r="81" spans="2:13">
      <c r="B81" s="517"/>
      <c r="C81" s="507"/>
      <c r="D81" s="507"/>
      <c r="E81" s="507"/>
      <c r="F81" s="507"/>
      <c r="G81" s="507"/>
      <c r="H81" s="506"/>
      <c r="I81" s="506"/>
      <c r="J81" s="506"/>
      <c r="K81" s="508"/>
      <c r="L81" s="501"/>
      <c r="M81" s="501"/>
    </row>
    <row r="82" spans="2:13">
      <c r="B82" s="517"/>
      <c r="C82" s="507"/>
      <c r="D82" s="507"/>
      <c r="E82" s="507"/>
      <c r="F82" s="507"/>
      <c r="G82" s="507"/>
      <c r="H82" s="506"/>
      <c r="I82" s="506"/>
      <c r="J82" s="506"/>
      <c r="K82" s="508"/>
      <c r="L82" s="501"/>
      <c r="M82" s="501"/>
    </row>
    <row r="83" spans="2:13">
      <c r="B83" s="516" t="s">
        <v>139</v>
      </c>
      <c r="C83" s="502">
        <v>0.45</v>
      </c>
      <c r="D83" s="502">
        <v>0.6</v>
      </c>
      <c r="E83" s="502">
        <v>0.1</v>
      </c>
      <c r="F83" s="502">
        <v>0.05</v>
      </c>
      <c r="G83" s="502">
        <v>10</v>
      </c>
      <c r="H83" s="501">
        <v>0.25</v>
      </c>
      <c r="I83" s="501">
        <v>10</v>
      </c>
      <c r="J83" s="501">
        <v>0.25</v>
      </c>
      <c r="K83" s="503"/>
      <c r="L83" s="501">
        <v>0.9</v>
      </c>
      <c r="M83" s="501">
        <v>0.45</v>
      </c>
    </row>
    <row r="84" spans="2:13">
      <c r="B84" s="517"/>
      <c r="C84" s="507"/>
      <c r="D84" s="507"/>
      <c r="E84" s="507"/>
      <c r="F84" s="507"/>
      <c r="G84" s="507"/>
      <c r="H84" s="506"/>
      <c r="I84" s="506"/>
      <c r="J84" s="506"/>
      <c r="K84" s="508"/>
      <c r="L84" s="501"/>
      <c r="M84" s="501"/>
    </row>
    <row r="85" spans="2:13">
      <c r="B85" s="517"/>
      <c r="C85" s="507"/>
      <c r="D85" s="507"/>
      <c r="E85" s="507"/>
      <c r="F85" s="507"/>
      <c r="G85" s="507"/>
      <c r="H85" s="506"/>
      <c r="I85" s="506"/>
      <c r="J85" s="506"/>
      <c r="K85" s="508"/>
      <c r="L85" s="501"/>
      <c r="M85" s="501"/>
    </row>
    <row r="86" spans="2:13">
      <c r="B86" s="517"/>
      <c r="C86" s="507"/>
      <c r="D86" s="507"/>
      <c r="E86" s="507"/>
      <c r="F86" s="507"/>
      <c r="G86" s="507"/>
      <c r="H86" s="506"/>
      <c r="I86" s="506"/>
      <c r="J86" s="506"/>
      <c r="K86" s="508"/>
      <c r="L86" s="501"/>
      <c r="M86" s="501"/>
    </row>
    <row r="87" spans="2:13">
      <c r="B87" s="516" t="s">
        <v>140</v>
      </c>
      <c r="C87" s="502">
        <v>0.6</v>
      </c>
      <c r="D87" s="502">
        <v>0.6</v>
      </c>
      <c r="E87" s="502">
        <v>0.1</v>
      </c>
      <c r="F87" s="502">
        <v>0.05</v>
      </c>
      <c r="G87" s="502">
        <v>10</v>
      </c>
      <c r="H87" s="501">
        <v>0.25</v>
      </c>
      <c r="I87" s="501">
        <v>10</v>
      </c>
      <c r="J87" s="501">
        <v>0.25</v>
      </c>
      <c r="K87" s="503"/>
      <c r="L87" s="501">
        <v>0.9</v>
      </c>
      <c r="M87" s="501">
        <v>0.45</v>
      </c>
    </row>
    <row r="88" spans="2:13">
      <c r="B88" s="517"/>
      <c r="C88" s="507"/>
      <c r="D88" s="507"/>
      <c r="E88" s="507"/>
      <c r="F88" s="507"/>
      <c r="G88" s="507"/>
      <c r="H88" s="506"/>
      <c r="I88" s="506"/>
      <c r="J88" s="506"/>
      <c r="K88" s="508"/>
      <c r="L88" s="501"/>
      <c r="M88" s="501"/>
    </row>
    <row r="89" spans="2:13">
      <c r="B89" s="517"/>
      <c r="C89" s="507"/>
      <c r="D89" s="507"/>
      <c r="E89" s="507"/>
      <c r="F89" s="507"/>
      <c r="G89" s="507"/>
      <c r="H89" s="506"/>
      <c r="I89" s="506"/>
      <c r="J89" s="506"/>
      <c r="K89" s="508"/>
      <c r="L89" s="501"/>
      <c r="M89" s="501"/>
    </row>
    <row r="90" spans="2:13">
      <c r="B90" s="517"/>
      <c r="C90" s="507"/>
      <c r="D90" s="507"/>
      <c r="E90" s="507"/>
      <c r="F90" s="507"/>
      <c r="G90" s="507"/>
      <c r="H90" s="506"/>
      <c r="I90" s="506"/>
      <c r="J90" s="506"/>
      <c r="K90" s="508"/>
      <c r="L90" s="501"/>
      <c r="M90" s="501"/>
    </row>
    <row r="91" spans="2:13">
      <c r="B91" s="516" t="s">
        <v>141</v>
      </c>
      <c r="C91" s="502">
        <v>0.8</v>
      </c>
      <c r="D91" s="502">
        <v>0.8</v>
      </c>
      <c r="E91" s="502">
        <v>0.1</v>
      </c>
      <c r="F91" s="502">
        <v>0.05</v>
      </c>
      <c r="G91" s="502">
        <v>10</v>
      </c>
      <c r="H91" s="501">
        <v>0.25</v>
      </c>
      <c r="I91" s="501">
        <v>10</v>
      </c>
      <c r="J91" s="501">
        <v>0.25</v>
      </c>
      <c r="K91" s="503"/>
      <c r="L91" s="501">
        <v>0.9</v>
      </c>
      <c r="M91" s="501">
        <v>0.45</v>
      </c>
    </row>
    <row r="92" spans="2:13">
      <c r="B92" s="517"/>
      <c r="C92" s="507"/>
      <c r="D92" s="507"/>
      <c r="E92" s="507"/>
      <c r="F92" s="507"/>
      <c r="G92" s="507"/>
      <c r="H92" s="506"/>
      <c r="I92" s="506"/>
      <c r="J92" s="506"/>
      <c r="K92" s="508"/>
      <c r="L92" s="501"/>
      <c r="M92" s="501"/>
    </row>
    <row r="93" spans="2:13">
      <c r="B93" s="517"/>
      <c r="C93" s="507"/>
      <c r="D93" s="507"/>
      <c r="E93" s="507"/>
      <c r="F93" s="507"/>
      <c r="G93" s="507"/>
      <c r="H93" s="506"/>
      <c r="I93" s="506"/>
      <c r="J93" s="506"/>
      <c r="K93" s="508"/>
      <c r="L93" s="501"/>
      <c r="M93" s="501"/>
    </row>
    <row r="94" spans="2:13">
      <c r="B94" s="517"/>
      <c r="C94" s="507"/>
      <c r="D94" s="507"/>
      <c r="E94" s="507"/>
      <c r="F94" s="507"/>
      <c r="G94" s="507"/>
      <c r="H94" s="506"/>
      <c r="I94" s="506"/>
      <c r="J94" s="506"/>
      <c r="K94" s="508"/>
      <c r="L94" s="501"/>
      <c r="M94" s="501"/>
    </row>
    <row r="95" spans="2:13">
      <c r="B95" s="516" t="s">
        <v>142</v>
      </c>
      <c r="C95" s="502">
        <v>1</v>
      </c>
      <c r="D95" s="502">
        <v>1</v>
      </c>
      <c r="E95" s="502">
        <v>0.125</v>
      </c>
      <c r="F95" s="502">
        <v>0.05</v>
      </c>
      <c r="G95" s="502">
        <v>10</v>
      </c>
      <c r="H95" s="501">
        <v>0.25</v>
      </c>
      <c r="I95" s="501">
        <v>10</v>
      </c>
      <c r="J95" s="501">
        <v>0.25</v>
      </c>
      <c r="K95" s="503"/>
      <c r="L95" s="501">
        <v>0.9</v>
      </c>
      <c r="M95" s="501">
        <v>0.45</v>
      </c>
    </row>
    <row r="96" spans="2:13">
      <c r="B96" s="517"/>
      <c r="C96" s="507"/>
      <c r="D96" s="507"/>
      <c r="E96" s="507"/>
      <c r="F96" s="507"/>
      <c r="G96" s="507"/>
      <c r="H96" s="506"/>
      <c r="I96" s="506"/>
      <c r="J96" s="506"/>
      <c r="K96" s="508"/>
      <c r="L96" s="501"/>
      <c r="M96" s="501"/>
    </row>
    <row r="97" spans="2:20">
      <c r="B97" s="517"/>
      <c r="C97" s="507"/>
      <c r="D97" s="507"/>
      <c r="E97" s="507"/>
      <c r="F97" s="507"/>
      <c r="G97" s="507"/>
      <c r="H97" s="506"/>
      <c r="I97" s="506"/>
      <c r="J97" s="506"/>
      <c r="K97" s="508"/>
      <c r="L97" s="501"/>
      <c r="M97" s="501"/>
    </row>
    <row r="98" spans="2:20">
      <c r="B98" s="517"/>
      <c r="C98" s="507"/>
      <c r="D98" s="507"/>
      <c r="E98" s="507"/>
      <c r="F98" s="507"/>
      <c r="G98" s="507"/>
      <c r="H98" s="506"/>
      <c r="I98" s="506"/>
      <c r="J98" s="506"/>
      <c r="K98" s="508"/>
      <c r="L98" s="501"/>
      <c r="M98" s="501"/>
    </row>
    <row r="99" spans="2:20">
      <c r="B99" s="506"/>
      <c r="C99" s="507"/>
      <c r="D99" s="507"/>
      <c r="E99" s="507"/>
      <c r="F99" s="507"/>
      <c r="G99" s="507"/>
      <c r="H99" s="506"/>
      <c r="I99" s="506"/>
      <c r="J99" s="506"/>
      <c r="K99" s="508"/>
      <c r="L99" s="501"/>
      <c r="M99" s="501"/>
    </row>
    <row r="100" spans="2:20">
      <c r="B100" s="518"/>
      <c r="C100" s="518"/>
      <c r="D100" s="518"/>
      <c r="E100" s="518"/>
      <c r="F100" s="518"/>
      <c r="G100" s="518"/>
      <c r="H100" s="518"/>
      <c r="I100" s="518"/>
      <c r="J100" s="518"/>
      <c r="K100" s="519"/>
      <c r="L100" s="518"/>
      <c r="M100" s="518"/>
    </row>
    <row r="103" spans="2:20">
      <c r="K103" s="520" t="s">
        <v>143</v>
      </c>
      <c r="L103" s="931" t="s">
        <v>144</v>
      </c>
      <c r="M103" s="932"/>
      <c r="N103" s="932"/>
      <c r="O103" s="932"/>
      <c r="P103" s="932"/>
      <c r="Q103" s="932"/>
      <c r="R103" s="932"/>
      <c r="S103" s="933"/>
    </row>
    <row r="104" spans="2:20">
      <c r="B104" s="520" t="s">
        <v>145</v>
      </c>
      <c r="K104" s="521">
        <v>1</v>
      </c>
      <c r="L104" s="926" t="s">
        <v>7</v>
      </c>
      <c r="M104" s="934"/>
      <c r="N104" s="927"/>
      <c r="O104" s="926" t="s">
        <v>6</v>
      </c>
      <c r="P104" s="934"/>
      <c r="Q104" s="927"/>
      <c r="R104" s="926" t="s">
        <v>146</v>
      </c>
      <c r="S104" s="927"/>
    </row>
    <row r="105" spans="2:20">
      <c r="D105" s="522" t="s">
        <v>147</v>
      </c>
      <c r="E105" s="523" t="s">
        <v>1</v>
      </c>
      <c r="G105" s="524" t="s">
        <v>148</v>
      </c>
      <c r="H105" s="524" t="s">
        <v>149</v>
      </c>
      <c r="I105" s="524" t="s">
        <v>150</v>
      </c>
      <c r="J105" s="524" t="s">
        <v>151</v>
      </c>
      <c r="K105" s="524" t="s">
        <v>152</v>
      </c>
      <c r="L105" s="926" t="s">
        <v>153</v>
      </c>
      <c r="M105" s="927"/>
      <c r="N105" s="183" t="s">
        <v>1</v>
      </c>
      <c r="O105" s="926" t="s">
        <v>153</v>
      </c>
      <c r="P105" s="927"/>
      <c r="Q105" s="183" t="s">
        <v>1</v>
      </c>
      <c r="R105" s="183" t="s">
        <v>1</v>
      </c>
      <c r="S105" s="183" t="s">
        <v>80</v>
      </c>
    </row>
    <row r="106" spans="2:20">
      <c r="B106" t="s">
        <v>154</v>
      </c>
      <c r="C106" s="520" t="s">
        <v>155</v>
      </c>
      <c r="E106" s="1">
        <f>171*1.1</f>
        <v>188.10000000000002</v>
      </c>
      <c r="G106" s="196">
        <f>+E106*(C6+E6*2+1.5)</f>
        <v>376.20000000000005</v>
      </c>
      <c r="H106" s="196">
        <f>+E106*(C6+E6*2)*(D6+E6+F6)</f>
        <v>42.322500000000005</v>
      </c>
      <c r="I106" s="525">
        <f>+(C6+E6*2)*E106*F6</f>
        <v>4.7025000000000006</v>
      </c>
      <c r="J106" s="525">
        <f>+E106*((C6+E6*2)*E6+(D6*E6*2))</f>
        <v>20.691000000000003</v>
      </c>
      <c r="K106" s="525">
        <f>+(D6+$K$104*(D6+E6))*E106*2</f>
        <v>263.34000000000003</v>
      </c>
      <c r="L106" s="187">
        <f>+(E106)/H6+ IF(E106&gt;0,1,0)</f>
        <v>941.50000000000011</v>
      </c>
      <c r="M106" s="198">
        <f>+ROUNDUP(L106,0)</f>
        <v>942</v>
      </c>
      <c r="N106" s="189">
        <f>+(D6+E6-0.08)*2+(C6+E6*2-0.08)</f>
        <v>1.06</v>
      </c>
      <c r="O106" s="187">
        <f>+N106/J6+1</f>
        <v>5.24</v>
      </c>
      <c r="P106" s="198">
        <f>+ROUNDUP(O106,0)</f>
        <v>6</v>
      </c>
      <c r="Q106" s="188">
        <f>+E106+E106/6*50*(G6/1000)</f>
        <v>203.77500000000003</v>
      </c>
      <c r="R106" s="428">
        <f>+N106*M106+P106*Q106</f>
        <v>2221.17</v>
      </c>
      <c r="S106" s="525">
        <f>((I6*I6)/162)*R106</f>
        <v>1371.0925925925926</v>
      </c>
      <c r="T106" t="s">
        <v>156</v>
      </c>
    </row>
    <row r="107" spans="2:20">
      <c r="C107" t="s">
        <v>101</v>
      </c>
      <c r="D107" s="526">
        <f>ROUNDUP(+E106/K6,0)</f>
        <v>63</v>
      </c>
      <c r="E107" s="1"/>
      <c r="G107" s="527"/>
      <c r="H107" s="527"/>
      <c r="I107" s="528"/>
      <c r="J107" s="528">
        <f>0.5*(0.075+0.05)*0.075*C6*D107</f>
        <v>8.8593749999999999E-2</v>
      </c>
      <c r="K107" s="528">
        <f>+(0.075+0.08)*C6*D107</f>
        <v>2.9295</v>
      </c>
      <c r="L107" s="529">
        <f>+D107</f>
        <v>63</v>
      </c>
      <c r="M107" s="198">
        <f>+ROUNDUP(L107,0)</f>
        <v>63</v>
      </c>
      <c r="N107" s="194">
        <f>+(C6-0.08)+((0.075+0.05-0.04)*2)</f>
        <v>0.38999999999999996</v>
      </c>
      <c r="O107" s="529"/>
      <c r="P107" s="201"/>
      <c r="Q107" s="195"/>
      <c r="R107" s="428">
        <f>+N107*M107+P107*Q107</f>
        <v>24.569999999999997</v>
      </c>
      <c r="S107" s="525">
        <f>((I6*I6)/162)*R107</f>
        <v>15.166666666666664</v>
      </c>
      <c r="T107" t="s">
        <v>156</v>
      </c>
    </row>
    <row r="108" spans="2:20">
      <c r="E108" s="1"/>
      <c r="M108" s="530"/>
    </row>
    <row r="109" spans="2:20">
      <c r="B109" t="s">
        <v>154</v>
      </c>
      <c r="C109" s="520" t="s">
        <v>157</v>
      </c>
      <c r="E109" s="1">
        <f>73*1.1</f>
        <v>80.300000000000011</v>
      </c>
      <c r="G109" s="196">
        <f>+E109*(C9+E9*2+1.5)</f>
        <v>172.64500000000001</v>
      </c>
      <c r="H109" s="196">
        <f>+E109*(C9+E9*2)*(D9+E9+F9)</f>
        <v>31.317000000000011</v>
      </c>
      <c r="I109" s="525">
        <f>+(C9+E9*2)*E109*F9</f>
        <v>2.6097500000000005</v>
      </c>
      <c r="J109" s="525">
        <f>+E109*((C9+E9*2)*E9+(D9*E9*2))</f>
        <v>12.446500000000004</v>
      </c>
      <c r="K109" s="525">
        <f>+(D9+$K$104*(D9+E9))*E109*2</f>
        <v>160.60000000000002</v>
      </c>
      <c r="L109" s="187">
        <f>+(E109)/H9+ IF(E109&gt;0,1,0)</f>
        <v>402.50000000000006</v>
      </c>
      <c r="M109" s="198">
        <f>+ROUNDUP(L109,0)</f>
        <v>403</v>
      </c>
      <c r="N109" s="189">
        <f>+(D9+E9-0.08)*2+(C9+E9*2-0.08)</f>
        <v>1.5100000000000002</v>
      </c>
      <c r="O109" s="187">
        <f>+N109/J9+1</f>
        <v>7.0400000000000009</v>
      </c>
      <c r="P109" s="198">
        <f>+ROUNDUP(O109,0)</f>
        <v>8</v>
      </c>
      <c r="Q109" s="188">
        <f>+E109+E109/6*50*(G9/1000)</f>
        <v>86.991666666666674</v>
      </c>
      <c r="R109" s="428">
        <f>+N109*M109+P109*Q109</f>
        <v>1304.4633333333336</v>
      </c>
      <c r="S109" s="525">
        <f>((I9*I9)/162)*R109</f>
        <v>805.22427983539103</v>
      </c>
      <c r="T109" t="s">
        <v>156</v>
      </c>
    </row>
    <row r="110" spans="2:20">
      <c r="C110" t="s">
        <v>101</v>
      </c>
      <c r="D110" s="526">
        <f>ROUNDUP(+E109/K9,0)</f>
        <v>27</v>
      </c>
      <c r="E110" s="1"/>
      <c r="G110" s="527"/>
      <c r="H110" s="527"/>
      <c r="I110" s="528"/>
      <c r="J110" s="528">
        <f>0.5*(0.075+0.05)*0.075*C9*D110</f>
        <v>5.6953125000000007E-2</v>
      </c>
      <c r="K110" s="528">
        <f>+(0.075+0.08)*C9*D110</f>
        <v>1.8832500000000001</v>
      </c>
      <c r="L110" s="529">
        <f>+D110</f>
        <v>27</v>
      </c>
      <c r="M110" s="198">
        <f>+ROUNDUP(L110,0)</f>
        <v>27</v>
      </c>
      <c r="N110" s="194">
        <f>+(C9-0.08)+((0.075+0.05-0.04)*2)</f>
        <v>0.54</v>
      </c>
      <c r="O110" s="529"/>
      <c r="P110" s="201"/>
      <c r="Q110" s="195"/>
      <c r="R110" s="428">
        <f>+N110*M110+P110*Q110</f>
        <v>14.580000000000002</v>
      </c>
      <c r="S110" s="525">
        <f>((I9*I9)/162)*R110</f>
        <v>9</v>
      </c>
      <c r="T110" t="s">
        <v>156</v>
      </c>
    </row>
    <row r="111" spans="2:20">
      <c r="E111" s="1"/>
      <c r="M111" s="530"/>
    </row>
    <row r="113" spans="2:20">
      <c r="B113" s="531" t="s">
        <v>187</v>
      </c>
      <c r="C113" s="520" t="s">
        <v>183</v>
      </c>
      <c r="E113" s="532">
        <f>12*1.1</f>
        <v>13.200000000000001</v>
      </c>
      <c r="G113" s="196">
        <f>+E113*(C83+E83*2+1)</f>
        <v>21.78</v>
      </c>
      <c r="H113" s="196">
        <f>0.5*L83*M83*D114</f>
        <v>2.835</v>
      </c>
      <c r="I113" s="525">
        <f>+(L83*(C83+2*E83)*D114*E83)</f>
        <v>0.81900000000000017</v>
      </c>
      <c r="J113" s="525">
        <f>+D114*(L83+M83)*E83*(C83+2*E83)+D114*((L83+M83)*E83*D83)*2</f>
        <v>3.4965000000000006</v>
      </c>
      <c r="K113" s="525">
        <f>+(D83+(D83+E83))*E113*2</f>
        <v>34.32</v>
      </c>
      <c r="L113" s="187">
        <f>+(D114*(L83+M83))/H83+ IF(E113&gt;0,1,0)</f>
        <v>76.600000000000009</v>
      </c>
      <c r="M113" s="198">
        <f>+ROUNDUP(L113,0)</f>
        <v>77</v>
      </c>
      <c r="N113" s="189">
        <f>+(D83+E83-0.08)*2+(C83+E83*2-0.08)</f>
        <v>1.81</v>
      </c>
      <c r="O113" s="187">
        <f>+N113/J83+1</f>
        <v>8.24</v>
      </c>
      <c r="P113" s="198">
        <f>+ROUNDUP(O113,0)</f>
        <v>9</v>
      </c>
      <c r="Q113" s="188">
        <f>+(L83+M83-2*0.04)*D114+(((L83+M83-2*0.04)*D114)/6*50*(I83/1000))</f>
        <v>19.261666666666667</v>
      </c>
      <c r="R113" s="428">
        <f>+N113*M113+P113*Q113</f>
        <v>312.72500000000002</v>
      </c>
      <c r="S113" s="525">
        <f>((I83*I83)/162)*R113</f>
        <v>193.04012345679013</v>
      </c>
      <c r="T113" t="s">
        <v>156</v>
      </c>
    </row>
    <row r="114" spans="2:20">
      <c r="C114" t="s">
        <v>181</v>
      </c>
      <c r="D114" s="526">
        <f>ROUNDUP(+(E113/SQRT(L83^2+M83^2)),0)</f>
        <v>14</v>
      </c>
      <c r="E114" s="1"/>
      <c r="G114" s="527"/>
      <c r="H114" s="527"/>
      <c r="I114" s="528"/>
      <c r="J114" s="528"/>
      <c r="K114" s="528"/>
      <c r="L114" s="529"/>
      <c r="M114" s="198"/>
      <c r="N114" s="194"/>
      <c r="O114" s="529"/>
      <c r="P114" s="201"/>
      <c r="Q114" s="195"/>
      <c r="R114" s="428"/>
      <c r="S114" s="525"/>
    </row>
    <row r="115" spans="2:20">
      <c r="C115" t="s">
        <v>182</v>
      </c>
      <c r="D115">
        <f>ROUNDUP(+E113/1,0)</f>
        <v>14</v>
      </c>
    </row>
    <row r="116" spans="2:20">
      <c r="G116" s="533">
        <f>+SUM(G106:G113)</f>
        <v>570.625</v>
      </c>
      <c r="H116" s="533">
        <f t="shared" ref="H116:K116" si="0">+SUM(H106:H113)</f>
        <v>76.474500000000006</v>
      </c>
      <c r="I116" s="533">
        <f t="shared" si="0"/>
        <v>8.1312500000000014</v>
      </c>
      <c r="J116" s="533">
        <f t="shared" si="0"/>
        <v>36.779546875000001</v>
      </c>
      <c r="K116" s="533">
        <f t="shared" si="0"/>
        <v>463.07275000000004</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B2B5D-3A2E-4F40-AAB9-0E39EF81B448}">
  <sheetPr>
    <tabColor rgb="FFFF9933"/>
  </sheetPr>
  <dimension ref="A1:L11"/>
  <sheetViews>
    <sheetView view="pageBreakPreview" zoomScaleNormal="100" zoomScaleSheetLayoutView="100" workbookViewId="0">
      <selection activeCell="H1" sqref="H1:M1048576"/>
    </sheetView>
  </sheetViews>
  <sheetFormatPr defaultColWidth="9.109375" defaultRowHeight="13.2"/>
  <cols>
    <col min="1" max="1" width="7.6640625" style="31" customWidth="1"/>
    <col min="2" max="2" width="9.6640625" style="31" customWidth="1"/>
    <col min="3" max="3" width="50.6640625" style="31" customWidth="1"/>
    <col min="4" max="4" width="7.6640625" style="31" customWidth="1"/>
    <col min="5" max="5" width="8.6640625" style="31" customWidth="1"/>
    <col min="6" max="6" width="14.33203125" style="31" customWidth="1"/>
    <col min="7" max="7" width="21" style="31" customWidth="1"/>
    <col min="8" max="13" width="0" style="31" hidden="1" customWidth="1"/>
    <col min="14" max="16384" width="9.109375" style="31"/>
  </cols>
  <sheetData>
    <row r="1" spans="1:12" s="27" customFormat="1" ht="60" customHeight="1" thickBot="1">
      <c r="A1" s="892" t="s">
        <v>230</v>
      </c>
      <c r="B1" s="893"/>
      <c r="C1" s="893"/>
      <c r="D1" s="894" t="s">
        <v>1485</v>
      </c>
      <c r="E1" s="894"/>
      <c r="F1" s="894"/>
      <c r="G1" s="895"/>
    </row>
    <row r="2" spans="1:12" ht="26.4">
      <c r="A2" s="754" t="s">
        <v>11</v>
      </c>
      <c r="B2" s="28" t="s">
        <v>12</v>
      </c>
      <c r="C2" s="29" t="s">
        <v>8</v>
      </c>
      <c r="D2" s="28" t="s">
        <v>13</v>
      </c>
      <c r="E2" s="28" t="s">
        <v>14</v>
      </c>
      <c r="F2" s="30" t="s">
        <v>15</v>
      </c>
      <c r="G2" s="755" t="s">
        <v>16</v>
      </c>
    </row>
    <row r="3" spans="1:12" ht="30" customHeight="1">
      <c r="A3" s="756" t="s">
        <v>231</v>
      </c>
      <c r="B3" s="32"/>
      <c r="C3" s="219" t="s">
        <v>17</v>
      </c>
      <c r="D3" s="32"/>
      <c r="E3" s="32"/>
      <c r="F3" s="32"/>
      <c r="G3" s="757"/>
      <c r="I3" s="220" t="s">
        <v>0</v>
      </c>
      <c r="J3" s="220" t="s">
        <v>214</v>
      </c>
    </row>
    <row r="4" spans="1:12" ht="31.8" customHeight="1">
      <c r="A4" s="758" t="s">
        <v>232</v>
      </c>
      <c r="B4" s="33" t="s">
        <v>18</v>
      </c>
      <c r="C4" s="34" t="s">
        <v>19</v>
      </c>
      <c r="D4" s="33" t="s">
        <v>20</v>
      </c>
      <c r="E4" s="240">
        <v>1525</v>
      </c>
      <c r="F4" s="35"/>
      <c r="G4" s="759"/>
      <c r="I4" s="44">
        <f>Drains78!G110+Drains78!G113+Drains78!G169+Drains78!G173</f>
        <v>1079.9569999999999</v>
      </c>
      <c r="J4" s="44">
        <f>'QTY78'!J9</f>
        <v>445.70504000000005</v>
      </c>
      <c r="L4" s="44">
        <f>SUM(I4:K4)</f>
        <v>1525.6620399999999</v>
      </c>
    </row>
    <row r="5" spans="1:12" s="27" customFormat="1" ht="30" customHeight="1">
      <c r="A5" s="758" t="s">
        <v>233</v>
      </c>
      <c r="B5" s="36" t="s">
        <v>21</v>
      </c>
      <c r="C5" s="37" t="s">
        <v>22</v>
      </c>
      <c r="D5" s="36" t="s">
        <v>23</v>
      </c>
      <c r="E5" s="239">
        <v>40</v>
      </c>
      <c r="F5" s="38"/>
      <c r="G5" s="39"/>
      <c r="H5" s="40"/>
    </row>
    <row r="6" spans="1:12" s="27" customFormat="1" ht="30" customHeight="1">
      <c r="A6" s="758" t="s">
        <v>234</v>
      </c>
      <c r="B6" s="36" t="s">
        <v>24</v>
      </c>
      <c r="C6" s="37" t="s">
        <v>25</v>
      </c>
      <c r="D6" s="36" t="s">
        <v>23</v>
      </c>
      <c r="E6" s="239">
        <v>35</v>
      </c>
      <c r="F6" s="38"/>
      <c r="G6" s="39"/>
      <c r="H6" s="40"/>
    </row>
    <row r="7" spans="1:12" s="27" customFormat="1" ht="30" customHeight="1">
      <c r="A7" s="222" t="s">
        <v>235</v>
      </c>
      <c r="B7" s="56" t="s">
        <v>200</v>
      </c>
      <c r="C7" s="223" t="s">
        <v>201</v>
      </c>
      <c r="D7" s="36" t="s">
        <v>23</v>
      </c>
      <c r="E7" s="239">
        <v>10</v>
      </c>
      <c r="F7" s="57"/>
      <c r="G7" s="39"/>
      <c r="H7" s="40"/>
      <c r="I7" s="40"/>
    </row>
    <row r="8" spans="1:12" s="27" customFormat="1" ht="30" customHeight="1">
      <c r="A8" s="222" t="s">
        <v>236</v>
      </c>
      <c r="B8" s="56" t="s">
        <v>202</v>
      </c>
      <c r="C8" s="223" t="s">
        <v>203</v>
      </c>
      <c r="D8" s="36" t="s">
        <v>23</v>
      </c>
      <c r="E8" s="239">
        <v>10</v>
      </c>
      <c r="F8" s="57"/>
      <c r="G8" s="39"/>
      <c r="H8" s="40"/>
      <c r="I8" s="40"/>
    </row>
    <row r="9" spans="1:12" s="27" customFormat="1" ht="30" customHeight="1">
      <c r="A9" s="222" t="s">
        <v>237</v>
      </c>
      <c r="B9" s="56" t="s">
        <v>26</v>
      </c>
      <c r="C9" s="223" t="s">
        <v>204</v>
      </c>
      <c r="D9" s="36" t="s">
        <v>23</v>
      </c>
      <c r="E9" s="239">
        <v>15</v>
      </c>
      <c r="F9" s="57"/>
      <c r="G9" s="39"/>
      <c r="H9" s="40"/>
      <c r="I9" s="40"/>
    </row>
    <row r="10" spans="1:12" s="27" customFormat="1" ht="30" customHeight="1">
      <c r="A10" s="222" t="s">
        <v>238</v>
      </c>
      <c r="B10" s="56" t="s">
        <v>205</v>
      </c>
      <c r="C10" s="223" t="s">
        <v>206</v>
      </c>
      <c r="D10" s="36" t="s">
        <v>23</v>
      </c>
      <c r="E10" s="239">
        <v>10</v>
      </c>
      <c r="F10" s="57"/>
      <c r="G10" s="39"/>
      <c r="H10" s="40"/>
      <c r="I10" s="40"/>
      <c r="L10" s="27">
        <v>0</v>
      </c>
    </row>
    <row r="11" spans="1:12" ht="22.5" customHeight="1" thickBot="1">
      <c r="A11" s="760"/>
      <c r="B11" s="896" t="s">
        <v>239</v>
      </c>
      <c r="C11" s="897"/>
      <c r="D11" s="897"/>
      <c r="E11" s="897"/>
      <c r="F11" s="898"/>
      <c r="G11" s="761"/>
    </row>
  </sheetData>
  <mergeCells count="3">
    <mergeCell ref="A1:C1"/>
    <mergeCell ref="D1:G1"/>
    <mergeCell ref="B11:F11"/>
  </mergeCells>
  <printOptions horizontalCentered="1"/>
  <pageMargins left="0.75" right="0.4" top="0.75" bottom="0.5" header="0" footer="0"/>
  <pageSetup paperSize="9" scale="70"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B97C9-9E11-4F87-B705-A7332C4F2CC2}">
  <dimension ref="A2:Y23"/>
  <sheetViews>
    <sheetView topLeftCell="B1" zoomScale="80" zoomScaleNormal="80" workbookViewId="0">
      <selection activeCell="F9" sqref="F9"/>
    </sheetView>
  </sheetViews>
  <sheetFormatPr defaultRowHeight="14.4"/>
  <cols>
    <col min="1" max="1" width="10.5546875" customWidth="1"/>
    <col min="6" max="6" width="10.44140625" customWidth="1"/>
    <col min="7" max="7" width="13" customWidth="1"/>
    <col min="11" max="11" width="11.33203125" customWidth="1"/>
    <col min="12" max="12" width="10.109375" customWidth="1"/>
    <col min="13" max="13" width="12.5546875" customWidth="1"/>
    <col min="22" max="22" width="10.109375" bestFit="1" customWidth="1"/>
    <col min="23" max="24" width="11.109375" customWidth="1"/>
  </cols>
  <sheetData>
    <row r="2" spans="1:25">
      <c r="A2" t="s">
        <v>990</v>
      </c>
      <c r="B2" t="s">
        <v>6</v>
      </c>
      <c r="C2" t="s">
        <v>991</v>
      </c>
      <c r="D2" t="s">
        <v>992</v>
      </c>
      <c r="E2" t="s">
        <v>993</v>
      </c>
      <c r="F2" t="s">
        <v>994</v>
      </c>
      <c r="G2" t="s">
        <v>995</v>
      </c>
      <c r="H2" t="s">
        <v>996</v>
      </c>
      <c r="I2" t="s">
        <v>997</v>
      </c>
      <c r="J2" t="s">
        <v>998</v>
      </c>
      <c r="K2" t="s">
        <v>997</v>
      </c>
    </row>
    <row r="4" spans="1:25">
      <c r="A4" t="s">
        <v>999</v>
      </c>
      <c r="B4" s="1">
        <v>2</v>
      </c>
      <c r="C4" s="1">
        <v>0.25</v>
      </c>
      <c r="D4" s="1">
        <v>0.25</v>
      </c>
      <c r="E4" s="1">
        <v>0.25</v>
      </c>
      <c r="F4" s="1">
        <v>1.2</v>
      </c>
      <c r="G4">
        <f>125/1000</f>
        <v>0.125</v>
      </c>
      <c r="H4" s="1">
        <v>10</v>
      </c>
      <c r="I4" s="1">
        <v>0.15</v>
      </c>
      <c r="J4" s="1">
        <v>10</v>
      </c>
      <c r="K4" s="1">
        <v>0.2</v>
      </c>
    </row>
    <row r="5" spans="1:25">
      <c r="B5" s="1"/>
      <c r="C5" s="1"/>
      <c r="D5" s="1"/>
      <c r="E5" s="1"/>
      <c r="F5" s="1"/>
      <c r="H5" s="1"/>
      <c r="I5" s="1"/>
      <c r="J5" s="1"/>
      <c r="K5" s="1"/>
    </row>
    <row r="6" spans="1:25">
      <c r="A6" t="s">
        <v>1000</v>
      </c>
      <c r="B6" s="1">
        <v>3</v>
      </c>
      <c r="C6" s="1">
        <v>0.25</v>
      </c>
      <c r="D6" s="1">
        <v>0.35</v>
      </c>
      <c r="E6" s="1">
        <v>0.35</v>
      </c>
      <c r="F6" s="1">
        <v>1.7</v>
      </c>
      <c r="G6">
        <f>75/1000</f>
        <v>7.4999999999999997E-2</v>
      </c>
      <c r="H6" s="1">
        <v>12</v>
      </c>
      <c r="I6" s="1">
        <v>0.15</v>
      </c>
      <c r="J6" s="1">
        <v>10</v>
      </c>
      <c r="K6" s="1">
        <v>0.15</v>
      </c>
    </row>
    <row r="7" spans="1:25">
      <c r="B7" s="1"/>
      <c r="C7" s="1"/>
      <c r="D7" s="1"/>
      <c r="E7" s="1"/>
      <c r="F7" s="1"/>
      <c r="H7" s="1"/>
      <c r="I7" s="1"/>
      <c r="J7" s="1"/>
      <c r="K7" s="1"/>
    </row>
    <row r="8" spans="1:25">
      <c r="A8" t="s">
        <v>1001</v>
      </c>
      <c r="B8" s="1">
        <v>4</v>
      </c>
      <c r="C8" s="1">
        <v>0.25</v>
      </c>
      <c r="D8" s="1">
        <v>0.4</v>
      </c>
      <c r="E8" s="1">
        <v>0.4</v>
      </c>
      <c r="F8" s="1">
        <v>2.2000000000000002</v>
      </c>
      <c r="G8">
        <f>75/1000</f>
        <v>7.4999999999999997E-2</v>
      </c>
      <c r="H8" s="1">
        <v>16</v>
      </c>
      <c r="I8" s="1">
        <v>0.15</v>
      </c>
      <c r="J8" s="1">
        <v>10</v>
      </c>
      <c r="K8" s="1">
        <v>0.15</v>
      </c>
    </row>
    <row r="9" spans="1:25">
      <c r="B9" s="1"/>
      <c r="C9" s="1"/>
      <c r="D9" s="1"/>
      <c r="E9" s="1"/>
      <c r="F9" s="1"/>
      <c r="G9" s="1"/>
      <c r="H9" s="1"/>
      <c r="I9" s="1"/>
      <c r="J9" s="1"/>
    </row>
    <row r="11" spans="1:25" ht="45" customHeight="1">
      <c r="A11" t="s">
        <v>1002</v>
      </c>
      <c r="C11" t="s">
        <v>1003</v>
      </c>
      <c r="D11" t="s">
        <v>59</v>
      </c>
      <c r="E11" t="s">
        <v>148</v>
      </c>
      <c r="F11" t="s">
        <v>1004</v>
      </c>
      <c r="G11" t="s">
        <v>1005</v>
      </c>
      <c r="H11" t="s">
        <v>152</v>
      </c>
      <c r="I11" t="s">
        <v>1006</v>
      </c>
      <c r="J11" t="s">
        <v>1007</v>
      </c>
      <c r="K11" t="s">
        <v>1008</v>
      </c>
      <c r="L11" t="s">
        <v>1009</v>
      </c>
      <c r="M11" s="531" t="s">
        <v>1010</v>
      </c>
      <c r="N11" s="926" t="s">
        <v>7</v>
      </c>
      <c r="O11" s="934"/>
      <c r="P11" s="934"/>
      <c r="Q11" s="927"/>
      <c r="R11" s="926" t="s">
        <v>6</v>
      </c>
      <c r="S11" s="934"/>
      <c r="T11" s="934"/>
      <c r="U11" s="927"/>
      <c r="V11" s="926" t="s">
        <v>146</v>
      </c>
      <c r="W11" s="934"/>
      <c r="X11" s="183"/>
    </row>
    <row r="12" spans="1:25">
      <c r="N12" s="266" t="s">
        <v>153</v>
      </c>
      <c r="O12" s="267"/>
      <c r="P12" s="183" t="s">
        <v>1</v>
      </c>
      <c r="Q12" s="266" t="s">
        <v>1011</v>
      </c>
      <c r="R12" s="266" t="s">
        <v>153</v>
      </c>
      <c r="S12" s="267"/>
      <c r="T12" s="183" t="s">
        <v>1</v>
      </c>
      <c r="U12" s="266" t="s">
        <v>1011</v>
      </c>
      <c r="V12" s="183" t="s">
        <v>1012</v>
      </c>
      <c r="W12" s="266" t="s">
        <v>1013</v>
      </c>
      <c r="X12" s="183" t="s">
        <v>80</v>
      </c>
    </row>
    <row r="13" spans="1:25">
      <c r="A13" t="s">
        <v>999</v>
      </c>
      <c r="C13" s="534">
        <v>101</v>
      </c>
      <c r="D13" s="532">
        <f>+C13*1.1</f>
        <v>111.10000000000001</v>
      </c>
      <c r="E13" s="1">
        <f>+(F4+1.5+D4+1.5)*D13</f>
        <v>494.39500000000004</v>
      </c>
      <c r="F13" s="1">
        <f>+(D4+F4)*G4*D13</f>
        <v>20.136875</v>
      </c>
      <c r="G13" s="1">
        <f>+(((D4+F4)*E4)+(AVERAGE(C4,D4)*B4))*D13</f>
        <v>95.823750000000018</v>
      </c>
      <c r="H13" s="1">
        <f>+((B4+E4+B4+E4)*D13)+((AVERAGE(C4,D4)*(B4+E4))+(F4*E4))*2</f>
        <v>501.67500000000007</v>
      </c>
      <c r="I13" s="1">
        <f>+(B4*75%+0.3)*D13</f>
        <v>199.98000000000002</v>
      </c>
      <c r="J13" s="1">
        <f>+(B4*75%*0.3)*D13</f>
        <v>49.994999999999997</v>
      </c>
      <c r="K13" s="1">
        <f>+AVERAGE(C4,D4)*(((D13/1.5)*2)+(D13/1.5))</f>
        <v>55.550000000000011</v>
      </c>
      <c r="L13" s="1">
        <f>0.3*D13</f>
        <v>33.33</v>
      </c>
      <c r="M13" s="1">
        <f>+(((F4+D4)/0.6)+1)*((D13/1)+1)</f>
        <v>383.00833333333333</v>
      </c>
      <c r="N13" s="187">
        <f>+(D13/I4)+IF(D13&gt;0,1,0)</f>
        <v>741.66666666666674</v>
      </c>
      <c r="O13" s="198">
        <f>+ROUNDUP(N13,0)</f>
        <v>742</v>
      </c>
      <c r="P13" s="189">
        <f>+(F4+D4+2*E4-0.08*2)+(E4+F4+D4+E4+B4+C4+B4+E4+0.3-0.08*5)</f>
        <v>8.14</v>
      </c>
      <c r="Q13" s="189">
        <f>+P13+P13/6*38*(H4/1000)</f>
        <v>8.6555333333333344</v>
      </c>
      <c r="R13" s="187">
        <f>+((D4+F4+B4)/K4+1)*2</f>
        <v>36.5</v>
      </c>
      <c r="S13" s="198">
        <f>+ROUNDUP(R13,0)</f>
        <v>37</v>
      </c>
      <c r="T13" s="188">
        <f>+D13</f>
        <v>111.10000000000001</v>
      </c>
      <c r="U13" s="188">
        <f>+T13+T13/6*52*(J4/1000)</f>
        <v>120.72866666666667</v>
      </c>
      <c r="V13" s="428">
        <f>+O13*Q13</f>
        <v>6422.405733333334</v>
      </c>
      <c r="W13" s="535">
        <f>+S13*U13</f>
        <v>4466.9606666666668</v>
      </c>
      <c r="X13" s="525">
        <f>+(H4*H4/162)*V13+(J4*J4/162)*W13</f>
        <v>6721.8311111111107</v>
      </c>
      <c r="Y13" t="s">
        <v>156</v>
      </c>
    </row>
    <row r="14" spans="1:25">
      <c r="C14" s="1"/>
      <c r="D14" s="532"/>
      <c r="E14" s="1"/>
      <c r="F14" s="1"/>
      <c r="G14" s="1"/>
      <c r="H14" s="1"/>
      <c r="I14" s="1"/>
      <c r="J14" s="1"/>
      <c r="K14" s="1"/>
      <c r="L14" s="1"/>
      <c r="M14" s="1"/>
      <c r="X14" s="536"/>
    </row>
    <row r="15" spans="1:25">
      <c r="A15" t="s">
        <v>1014</v>
      </c>
      <c r="C15" s="534">
        <v>23</v>
      </c>
      <c r="D15" s="532">
        <f>+C15*1.1</f>
        <v>25.3</v>
      </c>
      <c r="E15" s="1">
        <f>+(F6+1.5+D6+1.5)*D15</f>
        <v>127.76500000000001</v>
      </c>
      <c r="F15" s="1">
        <f>+(D6+F6)*G6*D15</f>
        <v>3.8898749999999995</v>
      </c>
      <c r="G15" s="1">
        <f>+(((D6+F6)*E6)+(AVERAGE(C6,D6)*B6))*D15</f>
        <v>40.922749999999994</v>
      </c>
      <c r="H15" s="1">
        <f>+((B6+E6+B6+E6)*D15)+((AVERAGE(C6,D6)*(B6+E6))+(F6*E6))*2</f>
        <v>172.70999999999998</v>
      </c>
      <c r="I15" s="1">
        <f>+(B6*75%+0.3)*D15</f>
        <v>64.515000000000001</v>
      </c>
      <c r="J15" s="1">
        <f>+(B6*75%*0.3)*D15</f>
        <v>17.077500000000001</v>
      </c>
      <c r="K15" s="1">
        <f>+AVERAGE(C6,D6)*(((D15/1.5)*2)+(D15/1.5))</f>
        <v>15.18</v>
      </c>
      <c r="L15" s="1">
        <f>0.3*D15</f>
        <v>7.59</v>
      </c>
      <c r="M15" s="1">
        <f>+(((F6+D6)/0.6)+1)*((D15/1)+1)</f>
        <v>116.15833333333332</v>
      </c>
      <c r="N15" s="187">
        <f>+(D15/I6)+IF(D15&gt;0,1,0)</f>
        <v>169.66666666666669</v>
      </c>
      <c r="O15" s="198">
        <f>+ROUNDUP(N15,0)</f>
        <v>170</v>
      </c>
      <c r="P15" s="189">
        <f>+(F6+D6+2*E6-0.08*2)+(E6+F6+D6+E6+B6+C6+B6+E6+0.3-0.08*5)</f>
        <v>11.84</v>
      </c>
      <c r="Q15" s="189">
        <f>+P15+P15/6*38*(H6/1000)</f>
        <v>12.739839999999999</v>
      </c>
      <c r="R15" s="187">
        <f>+((D6+F6+B6)/K6+1)*2</f>
        <v>69.333333333333329</v>
      </c>
      <c r="S15" s="198">
        <f>+ROUNDUP(R15,0)</f>
        <v>70</v>
      </c>
      <c r="T15" s="188">
        <f>+D15</f>
        <v>25.3</v>
      </c>
      <c r="U15" s="188">
        <f>+T15+T15/6*52*(J6/1000)</f>
        <v>27.492666666666668</v>
      </c>
      <c r="V15" s="428">
        <f>+O15*Q15</f>
        <v>2165.7727999999997</v>
      </c>
      <c r="W15" s="535">
        <f>+S15*U15</f>
        <v>1924.4866666666667</v>
      </c>
      <c r="X15" s="525">
        <f>+(H6*H6/162)*V15+(J6*J6/162)*W15</f>
        <v>3113.0861102880654</v>
      </c>
      <c r="Y15" t="s">
        <v>1015</v>
      </c>
    </row>
    <row r="16" spans="1:25">
      <c r="C16" s="1"/>
      <c r="D16" s="532"/>
      <c r="E16" s="1"/>
      <c r="F16" s="1"/>
      <c r="G16" s="1"/>
      <c r="H16" s="1"/>
      <c r="I16" s="1"/>
      <c r="J16" s="1"/>
      <c r="K16" s="1"/>
      <c r="L16" s="1"/>
      <c r="M16" s="1"/>
    </row>
    <row r="17" spans="3:24">
      <c r="C17" s="1"/>
      <c r="D17" s="1"/>
      <c r="E17" s="537">
        <f t="shared" ref="E17:M17" si="0">+SUM(E13:E16)</f>
        <v>622.16000000000008</v>
      </c>
      <c r="F17" s="537">
        <f t="shared" si="0"/>
        <v>24.02675</v>
      </c>
      <c r="G17" s="537">
        <f t="shared" si="0"/>
        <v>136.74650000000003</v>
      </c>
      <c r="H17" s="537">
        <f t="shared" si="0"/>
        <v>674.38499999999999</v>
      </c>
      <c r="I17" s="537">
        <f t="shared" si="0"/>
        <v>264.495</v>
      </c>
      <c r="J17" s="537">
        <f t="shared" si="0"/>
        <v>67.072499999999991</v>
      </c>
      <c r="K17" s="537">
        <f t="shared" si="0"/>
        <v>70.730000000000018</v>
      </c>
      <c r="L17" s="537">
        <f t="shared" si="0"/>
        <v>40.92</v>
      </c>
      <c r="M17" s="537">
        <f t="shared" si="0"/>
        <v>499.16666666666663</v>
      </c>
      <c r="X17" s="537">
        <f>+SUM(X13:X16)</f>
        <v>9834.9172213991769</v>
      </c>
    </row>
    <row r="18" spans="3:24">
      <c r="C18" s="1"/>
      <c r="D18" s="1"/>
      <c r="E18" s="1"/>
      <c r="F18" s="1"/>
      <c r="G18" s="1"/>
      <c r="H18" s="1"/>
      <c r="I18" s="1"/>
      <c r="J18" s="1"/>
      <c r="K18" s="1"/>
      <c r="L18" s="1"/>
      <c r="M18" s="1"/>
      <c r="P18" s="526"/>
    </row>
    <row r="19" spans="3:24">
      <c r="C19" s="1"/>
      <c r="D19" s="1"/>
      <c r="E19" s="1"/>
      <c r="F19" s="1"/>
      <c r="G19" s="1"/>
      <c r="H19" s="1"/>
      <c r="I19" s="1"/>
      <c r="J19" s="1"/>
      <c r="K19" s="1"/>
      <c r="L19" s="1"/>
      <c r="M19" s="1"/>
      <c r="P19" s="526"/>
    </row>
    <row r="20" spans="3:24">
      <c r="N20" s="526"/>
      <c r="P20" s="526"/>
      <c r="S20" s="526"/>
    </row>
    <row r="21" spans="3:24">
      <c r="P21" s="526"/>
    </row>
    <row r="22" spans="3:24">
      <c r="P22" s="526"/>
      <c r="S22" s="526"/>
    </row>
    <row r="23" spans="3:24">
      <c r="P23" s="526"/>
    </row>
  </sheetData>
  <mergeCells count="3">
    <mergeCell ref="N11:Q11"/>
    <mergeCell ref="R11:U11"/>
    <mergeCell ref="V11:W11"/>
  </mergeCell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B4D3E-0AD7-4BB4-8609-27948172F67E}">
  <sheetPr>
    <tabColor rgb="FF002060"/>
  </sheetPr>
  <dimension ref="A1:M37"/>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3"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t="str">
        <f>'Bill No.6'!A1:F1</f>
        <v>LOT -06 - BILLS OF QUANTITIES</v>
      </c>
      <c r="B1" s="870"/>
      <c r="C1" s="870"/>
      <c r="D1" s="870"/>
      <c r="E1" s="870"/>
      <c r="F1" s="871"/>
    </row>
    <row r="2" spans="1:13" customFormat="1" ht="55.2" customHeight="1">
      <c r="A2" s="872" t="s">
        <v>1505</v>
      </c>
      <c r="B2" s="873"/>
      <c r="C2" s="873"/>
      <c r="D2" s="873"/>
      <c r="E2" s="873"/>
      <c r="F2" s="874"/>
    </row>
    <row r="3" spans="1:13" customFormat="1" ht="0.6" customHeight="1" thickBot="1">
      <c r="A3" s="748"/>
      <c r="B3" s="749"/>
      <c r="C3" s="749"/>
      <c r="D3" s="749"/>
      <c r="E3" s="750"/>
      <c r="F3" s="751"/>
    </row>
    <row r="4" spans="1:13" customFormat="1" ht="15" thickBot="1">
      <c r="A4" s="752"/>
      <c r="B4" s="6" t="s">
        <v>8</v>
      </c>
      <c r="C4" s="6"/>
      <c r="D4" s="7"/>
      <c r="E4" s="8"/>
      <c r="F4" s="753" t="s">
        <v>9</v>
      </c>
    </row>
    <row r="5" spans="1:13" s="11" customFormat="1" ht="36" customHeight="1">
      <c r="A5" s="9"/>
      <c r="B5" s="875" t="str">
        <f>'Bill 7.1'!$A$1</f>
        <v>BILL No. 7.1 - SITE CLEARING</v>
      </c>
      <c r="C5" s="875"/>
      <c r="D5" s="875"/>
      <c r="E5" s="876"/>
      <c r="F5" s="10"/>
      <c r="H5" s="12"/>
      <c r="I5" s="13"/>
      <c r="J5" s="12"/>
      <c r="L5" s="14"/>
    </row>
    <row r="6" spans="1:13" s="11" customFormat="1" ht="36" customHeight="1">
      <c r="A6" s="9"/>
      <c r="B6" s="890" t="str">
        <f>'Bill 7.2'!$A$1</f>
        <v>BILL No. 7.2 - EARTHWORKS</v>
      </c>
      <c r="C6" s="890"/>
      <c r="D6" s="890"/>
      <c r="E6" s="891"/>
      <c r="F6" s="10"/>
      <c r="H6" s="12"/>
      <c r="I6" s="13"/>
      <c r="J6" s="12"/>
      <c r="L6" s="14"/>
    </row>
    <row r="7" spans="1:13" s="11" customFormat="1" ht="36" customHeight="1">
      <c r="A7" s="9"/>
      <c r="B7" s="890" t="str">
        <f>'Bill 7.3'!$A$1</f>
        <v>BILL No. 7.3 - STRUCTURE CONSTRUCTION</v>
      </c>
      <c r="C7" s="890"/>
      <c r="D7" s="890"/>
      <c r="E7" s="891"/>
      <c r="F7" s="10"/>
      <c r="H7" s="12"/>
      <c r="I7" s="13"/>
      <c r="J7" s="12"/>
      <c r="L7" s="14"/>
    </row>
    <row r="8" spans="1:13" s="11" customFormat="1" ht="36" customHeight="1" thickBot="1">
      <c r="A8" s="9"/>
      <c r="B8" s="890" t="str">
        <f>'Bill 7.4'!$A$1</f>
        <v>BILL No. 7.4 - HORIZONTAL DRAINS AND  VEGETATION</v>
      </c>
      <c r="C8" s="890"/>
      <c r="D8" s="890"/>
      <c r="E8" s="891"/>
      <c r="F8" s="10"/>
      <c r="H8" s="12"/>
      <c r="I8" s="13"/>
      <c r="J8" s="12"/>
      <c r="L8" s="14"/>
    </row>
    <row r="9" spans="1:13" s="11" customFormat="1" ht="24.9" customHeight="1" thickBot="1">
      <c r="A9" s="15"/>
      <c r="B9" s="877" t="s">
        <v>10</v>
      </c>
      <c r="C9" s="877"/>
      <c r="D9" s="877"/>
      <c r="E9" s="878"/>
      <c r="F9" s="16"/>
      <c r="H9" s="12"/>
      <c r="I9" s="17"/>
      <c r="J9" s="12"/>
      <c r="K9" s="14"/>
      <c r="M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row r="35" spans="1:10" s="11" customFormat="1">
      <c r="A35" s="18"/>
      <c r="C35" s="18"/>
      <c r="D35" s="19"/>
      <c r="E35" s="20"/>
      <c r="F35" s="20"/>
      <c r="H35" s="12"/>
      <c r="I35" s="13"/>
      <c r="J35" s="12"/>
    </row>
    <row r="36" spans="1:10" s="11" customFormat="1">
      <c r="A36" s="18"/>
      <c r="C36" s="18"/>
      <c r="D36" s="19"/>
      <c r="E36" s="20"/>
      <c r="F36" s="20"/>
      <c r="H36" s="12"/>
      <c r="I36" s="13"/>
      <c r="J36" s="12"/>
    </row>
    <row r="37" spans="1:10" s="11" customFormat="1">
      <c r="A37" s="18"/>
      <c r="C37" s="18"/>
      <c r="D37" s="19"/>
      <c r="E37" s="20"/>
      <c r="F37" s="20"/>
      <c r="H37" s="12"/>
      <c r="I37" s="13"/>
      <c r="J37" s="12"/>
    </row>
  </sheetData>
  <mergeCells count="7">
    <mergeCell ref="B9:E9"/>
    <mergeCell ref="A1:F1"/>
    <mergeCell ref="A2:F2"/>
    <mergeCell ref="B5:E5"/>
    <mergeCell ref="B6:E6"/>
    <mergeCell ref="B7:E7"/>
    <mergeCell ref="B8:E8"/>
  </mergeCells>
  <printOptions horizontalCentered="1"/>
  <pageMargins left="0.75" right="0.4" top="0.75" bottom="0.5" header="0" footer="0"/>
  <pageSetup paperSize="9" scale="70"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11B22-CDC3-41FB-BEF1-FF4664967567}">
  <sheetPr>
    <tabColor rgb="FFFF9933"/>
  </sheetPr>
  <dimension ref="A1:J14"/>
  <sheetViews>
    <sheetView view="pageBreakPreview" zoomScaleNormal="100" zoomScaleSheetLayoutView="100" workbookViewId="0">
      <selection activeCell="H1" sqref="H1:L1048576"/>
    </sheetView>
  </sheetViews>
  <sheetFormatPr defaultColWidth="9.109375" defaultRowHeight="13.2"/>
  <cols>
    <col min="1" max="1" width="7.6640625" style="31" customWidth="1"/>
    <col min="2" max="2" width="9.6640625" style="31" customWidth="1"/>
    <col min="3" max="3" width="50.6640625" style="31" customWidth="1"/>
    <col min="4" max="4" width="7.6640625" style="31" customWidth="1"/>
    <col min="5" max="5" width="8.6640625" style="689" customWidth="1"/>
    <col min="6" max="6" width="14" style="31" customWidth="1"/>
    <col min="7" max="7" width="19.77734375" style="31" customWidth="1"/>
    <col min="8" max="12" width="0" style="31" hidden="1" customWidth="1"/>
    <col min="13" max="16384" width="9.109375" style="31"/>
  </cols>
  <sheetData>
    <row r="1" spans="1:10" s="27" customFormat="1" ht="76.2" customHeight="1" thickBot="1">
      <c r="A1" s="892" t="s">
        <v>1016</v>
      </c>
      <c r="B1" s="893"/>
      <c r="C1" s="893"/>
      <c r="D1" s="894" t="str">
        <f>'Bill No. 7'!$A$2</f>
        <v>BILL NO. 07 - REDUCTION OF LANDSLIDE VULNERABILITY BY MITIGATION MEASURES 
AT RUBBER RESEARCH INSTITUTE DARTONFIELD ESTATE - AGALAWATTA(SITE NO. 112)</v>
      </c>
      <c r="E1" s="894"/>
      <c r="F1" s="894"/>
      <c r="G1" s="895"/>
    </row>
    <row r="2" spans="1:10" ht="26.4">
      <c r="A2" s="754" t="s">
        <v>11</v>
      </c>
      <c r="B2" s="28" t="s">
        <v>12</v>
      </c>
      <c r="C2" s="29" t="s">
        <v>8</v>
      </c>
      <c r="D2" s="28" t="s">
        <v>13</v>
      </c>
      <c r="E2" s="686" t="s">
        <v>14</v>
      </c>
      <c r="F2" s="30" t="s">
        <v>15</v>
      </c>
      <c r="G2" s="755" t="s">
        <v>16</v>
      </c>
    </row>
    <row r="3" spans="1:10" customFormat="1" ht="30" customHeight="1">
      <c r="A3" s="434" t="s">
        <v>1017</v>
      </c>
      <c r="B3" s="723"/>
      <c r="C3" s="435" t="s">
        <v>838</v>
      </c>
      <c r="D3" s="723"/>
      <c r="E3" s="695"/>
      <c r="F3" s="436"/>
      <c r="G3" s="437"/>
    </row>
    <row r="4" spans="1:10" s="27" customFormat="1" ht="39.6">
      <c r="A4" s="222" t="s">
        <v>1018</v>
      </c>
      <c r="B4" s="46" t="s">
        <v>18</v>
      </c>
      <c r="C4" s="47" t="s">
        <v>505</v>
      </c>
      <c r="D4" s="46" t="s">
        <v>312</v>
      </c>
      <c r="E4" s="696">
        <v>1850</v>
      </c>
      <c r="F4" s="439"/>
      <c r="G4" s="440"/>
      <c r="H4" s="785">
        <f>+'QTY112'!J25</f>
        <v>1845.5400000000004</v>
      </c>
    </row>
    <row r="5" spans="1:10" s="27" customFormat="1" ht="30" customHeight="1">
      <c r="A5" s="222" t="s">
        <v>1019</v>
      </c>
      <c r="B5" s="56" t="s">
        <v>21</v>
      </c>
      <c r="C5" s="223" t="s">
        <v>22</v>
      </c>
      <c r="D5" s="46" t="s">
        <v>23</v>
      </c>
      <c r="E5" s="238">
        <v>20</v>
      </c>
      <c r="F5" s="57"/>
      <c r="G5" s="440"/>
      <c r="H5" s="40"/>
    </row>
    <row r="6" spans="1:10" s="27" customFormat="1" ht="30" customHeight="1">
      <c r="A6" s="222" t="s">
        <v>1020</v>
      </c>
      <c r="B6" s="56" t="s">
        <v>24</v>
      </c>
      <c r="C6" s="223" t="s">
        <v>843</v>
      </c>
      <c r="D6" s="36" t="s">
        <v>23</v>
      </c>
      <c r="E6" s="239">
        <v>20</v>
      </c>
      <c r="F6" s="57"/>
      <c r="G6" s="440"/>
      <c r="H6" s="785"/>
    </row>
    <row r="7" spans="1:10" s="27" customFormat="1" ht="30" customHeight="1">
      <c r="A7" s="222" t="s">
        <v>1021</v>
      </c>
      <c r="B7" s="56" t="s">
        <v>200</v>
      </c>
      <c r="C7" s="223" t="s">
        <v>201</v>
      </c>
      <c r="D7" s="36" t="s">
        <v>23</v>
      </c>
      <c r="E7" s="239">
        <v>15</v>
      </c>
      <c r="F7" s="57"/>
      <c r="G7" s="440"/>
      <c r="H7" s="40"/>
    </row>
    <row r="8" spans="1:10" s="27" customFormat="1" ht="30" customHeight="1">
      <c r="A8" s="222" t="s">
        <v>1022</v>
      </c>
      <c r="B8" s="56" t="s">
        <v>202</v>
      </c>
      <c r="C8" s="223" t="s">
        <v>203</v>
      </c>
      <c r="D8" s="36" t="s">
        <v>23</v>
      </c>
      <c r="E8" s="239">
        <v>15</v>
      </c>
      <c r="F8" s="57"/>
      <c r="G8" s="440"/>
      <c r="H8" s="40"/>
    </row>
    <row r="9" spans="1:10" s="27" customFormat="1" ht="30" customHeight="1">
      <c r="A9" s="222" t="s">
        <v>1023</v>
      </c>
      <c r="B9" s="56" t="s">
        <v>26</v>
      </c>
      <c r="C9" s="223" t="s">
        <v>204</v>
      </c>
      <c r="D9" s="36" t="s">
        <v>23</v>
      </c>
      <c r="E9" s="239">
        <v>5</v>
      </c>
      <c r="F9" s="57"/>
      <c r="G9" s="440"/>
      <c r="H9" s="40"/>
    </row>
    <row r="10" spans="1:10" s="27" customFormat="1" ht="30" customHeight="1">
      <c r="A10" s="222" t="s">
        <v>1024</v>
      </c>
      <c r="B10" s="56" t="s">
        <v>205</v>
      </c>
      <c r="C10" s="223" t="s">
        <v>206</v>
      </c>
      <c r="D10" s="36" t="s">
        <v>23</v>
      </c>
      <c r="E10" s="239">
        <v>5</v>
      </c>
      <c r="F10" s="57"/>
      <c r="G10" s="440"/>
      <c r="H10" s="40"/>
      <c r="J10" s="27">
        <v>0</v>
      </c>
    </row>
    <row r="11" spans="1:10" customFormat="1" ht="30" customHeight="1">
      <c r="A11" s="770" t="s">
        <v>1025</v>
      </c>
      <c r="B11" s="350"/>
      <c r="C11" s="351" t="s">
        <v>399</v>
      </c>
      <c r="D11" s="350"/>
      <c r="E11" s="693"/>
      <c r="F11" s="57"/>
      <c r="G11" s="440"/>
    </row>
    <row r="12" spans="1:10" customFormat="1" ht="30" customHeight="1">
      <c r="A12" s="222" t="s">
        <v>1026</v>
      </c>
      <c r="B12" s="350" t="s">
        <v>401</v>
      </c>
      <c r="C12" s="353" t="s">
        <v>402</v>
      </c>
      <c r="D12" s="350" t="s">
        <v>28</v>
      </c>
      <c r="E12" s="693">
        <v>10</v>
      </c>
      <c r="F12" s="57"/>
      <c r="G12" s="440"/>
    </row>
    <row r="13" spans="1:10" customFormat="1" ht="30" customHeight="1">
      <c r="A13" s="222" t="s">
        <v>1027</v>
      </c>
      <c r="B13" s="350" t="s">
        <v>404</v>
      </c>
      <c r="C13" s="355" t="s">
        <v>405</v>
      </c>
      <c r="D13" s="354" t="s">
        <v>28</v>
      </c>
      <c r="E13" s="694">
        <v>10</v>
      </c>
      <c r="F13" s="357"/>
      <c r="G13" s="440"/>
    </row>
    <row r="14" spans="1:10" ht="28.5" customHeight="1" thickBot="1">
      <c r="A14" s="760"/>
      <c r="B14" s="896" t="s">
        <v>1028</v>
      </c>
      <c r="C14" s="897"/>
      <c r="D14" s="897"/>
      <c r="E14" s="897"/>
      <c r="F14" s="898"/>
      <c r="G14" s="761"/>
    </row>
  </sheetData>
  <mergeCells count="3">
    <mergeCell ref="A1:C1"/>
    <mergeCell ref="D1:G1"/>
    <mergeCell ref="B14:F14"/>
  </mergeCells>
  <printOptions horizontalCentered="1"/>
  <pageMargins left="0.75" right="0.4" top="0.75" bottom="0.5" header="0" footer="0"/>
  <pageSetup paperSize="9" scale="70"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AC6A-0050-470C-BB16-C2959B2B8154}">
  <sheetPr>
    <tabColor rgb="FFFF9933"/>
  </sheetPr>
  <dimension ref="A1:L17"/>
  <sheetViews>
    <sheetView view="pageBreakPreview" topLeftCell="A7" zoomScaleNormal="100" zoomScaleSheetLayoutView="100" workbookViewId="0">
      <selection activeCell="H7" sqref="H1:J1048576"/>
    </sheetView>
  </sheetViews>
  <sheetFormatPr defaultColWidth="9.109375" defaultRowHeight="15"/>
  <cols>
    <col min="1" max="1" width="7.6640625" style="31" customWidth="1"/>
    <col min="2" max="2" width="9.6640625" style="31" customWidth="1"/>
    <col min="3" max="3" width="54" style="31" customWidth="1"/>
    <col min="4" max="4" width="7.6640625" style="31" customWidth="1"/>
    <col min="5" max="5" width="8.6640625" style="31" customWidth="1"/>
    <col min="6" max="6" width="13.88671875" style="31" customWidth="1"/>
    <col min="7" max="7" width="19.6640625" style="31" customWidth="1"/>
    <col min="8" max="8" width="11.5546875" style="451" hidden="1" customWidth="1"/>
    <col min="9" max="10" width="0" style="31" hidden="1" customWidth="1"/>
    <col min="11" max="11" width="11.5546875" style="31" bestFit="1" customWidth="1"/>
    <col min="12" max="16384" width="9.109375" style="31"/>
  </cols>
  <sheetData>
    <row r="1" spans="1:12" s="27" customFormat="1" ht="75" customHeight="1" thickBot="1">
      <c r="A1" s="892" t="s">
        <v>1029</v>
      </c>
      <c r="B1" s="893"/>
      <c r="C1" s="893"/>
      <c r="D1" s="894" t="str">
        <f>+'Bill 7.1'!D1:G1</f>
        <v>BILL NO. 07 - REDUCTION OF LANDSLIDE VULNERABILITY BY MITIGATION MEASURES 
AT RUBBER RESEARCH INSTITUTE DARTONFIELD ESTATE - AGALAWATTA(SITE NO. 112)</v>
      </c>
      <c r="E1" s="894"/>
      <c r="F1" s="894"/>
      <c r="G1" s="895"/>
      <c r="H1" s="448"/>
    </row>
    <row r="2" spans="1:12" ht="30.75" customHeight="1">
      <c r="A2" s="754" t="s">
        <v>11</v>
      </c>
      <c r="B2" s="28" t="s">
        <v>12</v>
      </c>
      <c r="C2" s="29" t="s">
        <v>8</v>
      </c>
      <c r="D2" s="28" t="s">
        <v>13</v>
      </c>
      <c r="E2" s="28" t="s">
        <v>14</v>
      </c>
      <c r="F2" s="30" t="s">
        <v>15</v>
      </c>
      <c r="G2" s="755" t="s">
        <v>16</v>
      </c>
      <c r="H2" s="449"/>
      <c r="I2" s="220" t="s">
        <v>621</v>
      </c>
    </row>
    <row r="3" spans="1:12" ht="24.75" customHeight="1">
      <c r="A3" s="762" t="s">
        <v>1030</v>
      </c>
      <c r="B3" s="41"/>
      <c r="C3" s="42" t="s">
        <v>229</v>
      </c>
      <c r="D3" s="41"/>
      <c r="E3" s="43"/>
      <c r="F3" s="41"/>
      <c r="G3" s="765"/>
      <c r="H3" s="31"/>
    </row>
    <row r="4" spans="1:12" ht="36" customHeight="1">
      <c r="A4" s="758" t="s">
        <v>1031</v>
      </c>
      <c r="B4" s="33" t="s">
        <v>222</v>
      </c>
      <c r="C4" s="248" t="s">
        <v>223</v>
      </c>
      <c r="D4" s="33" t="s">
        <v>27</v>
      </c>
      <c r="E4" s="406">
        <v>685</v>
      </c>
      <c r="F4" s="35"/>
      <c r="G4" s="764"/>
      <c r="H4" s="538">
        <f>+'QTY112'!J43</f>
        <v>684.26</v>
      </c>
      <c r="I4" s="450" t="e">
        <f>'QTY112'!#REF!</f>
        <v>#REF!</v>
      </c>
      <c r="J4" s="450"/>
      <c r="K4" s="450" t="e">
        <f>SUM(H4:J4)</f>
        <v>#REF!</v>
      </c>
      <c r="L4" s="450"/>
    </row>
    <row r="5" spans="1:12" ht="32.25" customHeight="1">
      <c r="A5" s="758" t="s">
        <v>1032</v>
      </c>
      <c r="B5" s="33" t="s">
        <v>224</v>
      </c>
      <c r="C5" s="248" t="s">
        <v>225</v>
      </c>
      <c r="D5" s="33" t="s">
        <v>27</v>
      </c>
      <c r="E5" s="358">
        <v>60</v>
      </c>
      <c r="F5" s="35"/>
      <c r="G5" s="764"/>
      <c r="H5" s="451">
        <f>+H4*0.1</f>
        <v>68.426000000000002</v>
      </c>
    </row>
    <row r="6" spans="1:12" ht="32.25" customHeight="1">
      <c r="A6" s="758" t="s">
        <v>1033</v>
      </c>
      <c r="B6" s="46" t="s">
        <v>226</v>
      </c>
      <c r="C6" s="248" t="s">
        <v>227</v>
      </c>
      <c r="D6" s="46" t="s">
        <v>28</v>
      </c>
      <c r="E6" s="359">
        <v>60</v>
      </c>
      <c r="F6" s="35"/>
      <c r="G6" s="764"/>
    </row>
    <row r="7" spans="1:12" ht="32.25" customHeight="1">
      <c r="A7" s="758" t="s">
        <v>1034</v>
      </c>
      <c r="B7" s="48" t="s">
        <v>228</v>
      </c>
      <c r="C7" s="249" t="s">
        <v>35</v>
      </c>
      <c r="D7" s="50" t="s">
        <v>27</v>
      </c>
      <c r="E7" s="359">
        <v>685</v>
      </c>
      <c r="F7" s="35"/>
      <c r="G7" s="764"/>
      <c r="H7" s="450">
        <f>+'QTY112'!J45</f>
        <v>684.26</v>
      </c>
    </row>
    <row r="8" spans="1:12" ht="26.25" customHeight="1">
      <c r="A8" s="762" t="s">
        <v>1035</v>
      </c>
      <c r="B8" s="41"/>
      <c r="C8" s="42" t="s">
        <v>29</v>
      </c>
      <c r="D8" s="51"/>
      <c r="E8" s="43"/>
      <c r="F8" s="41"/>
      <c r="G8" s="764"/>
    </row>
    <row r="9" spans="1:12" ht="48" customHeight="1">
      <c r="A9" s="758" t="s">
        <v>1036</v>
      </c>
      <c r="B9" s="452" t="s">
        <v>30</v>
      </c>
      <c r="C9" s="453" t="s">
        <v>31</v>
      </c>
      <c r="D9" s="452" t="s">
        <v>28</v>
      </c>
      <c r="E9" s="406">
        <v>770</v>
      </c>
      <c r="F9" s="35"/>
      <c r="G9" s="764"/>
      <c r="H9" s="454">
        <f>+Drains112!H125+'QTY112'!J62</f>
        <v>766.62862500000006</v>
      </c>
    </row>
    <row r="10" spans="1:12" ht="51" customHeight="1">
      <c r="A10" s="758" t="s">
        <v>1037</v>
      </c>
      <c r="B10" s="452" t="s">
        <v>30</v>
      </c>
      <c r="C10" s="453" t="s">
        <v>1038</v>
      </c>
      <c r="D10" s="452" t="s">
        <v>28</v>
      </c>
      <c r="E10" s="406">
        <v>170</v>
      </c>
      <c r="F10" s="35"/>
      <c r="G10" s="764"/>
      <c r="H10" s="455">
        <f>+'QTY112'!J58</f>
        <v>167.52120000000002</v>
      </c>
    </row>
    <row r="11" spans="1:12" ht="35.25" customHeight="1">
      <c r="A11" s="758" t="s">
        <v>1039</v>
      </c>
      <c r="B11" s="452" t="s">
        <v>418</v>
      </c>
      <c r="C11" s="453" t="s">
        <v>1040</v>
      </c>
      <c r="D11" s="452" t="s">
        <v>28</v>
      </c>
      <c r="E11" s="406">
        <v>55</v>
      </c>
      <c r="F11" s="35"/>
      <c r="G11" s="764"/>
      <c r="H11" s="455">
        <f>+'QTY112'!J68</f>
        <v>51.784700000000008</v>
      </c>
    </row>
    <row r="12" spans="1:12" ht="35.25" customHeight="1">
      <c r="A12" s="758" t="s">
        <v>1041</v>
      </c>
      <c r="B12" s="46" t="s">
        <v>32</v>
      </c>
      <c r="C12" s="248" t="s">
        <v>225</v>
      </c>
      <c r="D12" s="46" t="s">
        <v>28</v>
      </c>
      <c r="E12" s="359">
        <v>20</v>
      </c>
      <c r="F12" s="35"/>
      <c r="G12" s="764"/>
    </row>
    <row r="13" spans="1:12" ht="35.25" customHeight="1">
      <c r="A13" s="758" t="s">
        <v>1042</v>
      </c>
      <c r="B13" s="46" t="s">
        <v>33</v>
      </c>
      <c r="C13" s="248" t="s">
        <v>227</v>
      </c>
      <c r="D13" s="46" t="s">
        <v>28</v>
      </c>
      <c r="E13" s="359">
        <v>20</v>
      </c>
      <c r="F13" s="35"/>
      <c r="G13" s="764"/>
    </row>
    <row r="14" spans="1:12" ht="35.25" customHeight="1">
      <c r="A14" s="758" t="s">
        <v>1043</v>
      </c>
      <c r="B14" s="48" t="s">
        <v>34</v>
      </c>
      <c r="C14" s="49" t="s">
        <v>35</v>
      </c>
      <c r="D14" s="50" t="s">
        <v>27</v>
      </c>
      <c r="E14" s="359">
        <v>885</v>
      </c>
      <c r="F14" s="35"/>
      <c r="G14" s="764"/>
      <c r="H14" s="455">
        <f>+E9+E10-E11</f>
        <v>885</v>
      </c>
    </row>
    <row r="15" spans="1:12" s="541" customFormat="1" ht="25.5" customHeight="1">
      <c r="A15" s="762" t="s">
        <v>1044</v>
      </c>
      <c r="B15" s="350"/>
      <c r="C15" s="55" t="s">
        <v>1045</v>
      </c>
      <c r="D15" s="56"/>
      <c r="E15" s="539"/>
      <c r="F15" s="57"/>
      <c r="G15" s="764"/>
      <c r="H15" s="540"/>
    </row>
    <row r="16" spans="1:12" s="541" customFormat="1" ht="28.5" customHeight="1">
      <c r="A16" s="758" t="s">
        <v>1046</v>
      </c>
      <c r="B16" s="350" t="s">
        <v>1047</v>
      </c>
      <c r="C16" s="58" t="s">
        <v>1048</v>
      </c>
      <c r="D16" s="350" t="s">
        <v>28</v>
      </c>
      <c r="E16" s="406">
        <v>60</v>
      </c>
      <c r="F16" s="57"/>
      <c r="G16" s="764"/>
      <c r="H16" s="542">
        <f>+'QTY112'!J111</f>
        <v>60.012</v>
      </c>
    </row>
    <row r="17" spans="1:7" ht="28.5" customHeight="1" thickBot="1">
      <c r="A17" s="760"/>
      <c r="B17" s="896" t="s">
        <v>1049</v>
      </c>
      <c r="C17" s="897"/>
      <c r="D17" s="897"/>
      <c r="E17" s="897"/>
      <c r="F17" s="898"/>
      <c r="G17" s="761"/>
    </row>
  </sheetData>
  <mergeCells count="3">
    <mergeCell ref="A1:C1"/>
    <mergeCell ref="D1:G1"/>
    <mergeCell ref="B17:F17"/>
  </mergeCells>
  <printOptions horizontalCentered="1"/>
  <pageMargins left="0.75" right="0.4" top="0.75" bottom="0.5" header="0" footer="0"/>
  <pageSetup paperSize="9" scale="70" fitToHeight="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E0C57-52A7-48A4-9540-D3CEDDD9585A}">
  <sheetPr>
    <tabColor rgb="FFFF9933"/>
  </sheetPr>
  <dimension ref="A1:H44"/>
  <sheetViews>
    <sheetView view="pageBreakPreview" zoomScaleNormal="110" zoomScaleSheetLayoutView="100" workbookViewId="0">
      <pane ySplit="2" topLeftCell="A3" activePane="bottomLeft" state="frozen"/>
      <selection activeCell="E36" sqref="E36"/>
      <selection pane="bottomLeft" activeCell="H1" sqref="H1:K1048576"/>
    </sheetView>
  </sheetViews>
  <sheetFormatPr defaultColWidth="9.109375" defaultRowHeight="15"/>
  <cols>
    <col min="1" max="1" width="7.6640625" style="31" customWidth="1"/>
    <col min="2" max="2" width="9.5546875" style="31" customWidth="1"/>
    <col min="3" max="3" width="54" style="31" customWidth="1"/>
    <col min="4" max="4" width="7.6640625" style="31" customWidth="1"/>
    <col min="5" max="5" width="8.6640625" style="31" customWidth="1"/>
    <col min="6" max="6" width="14.33203125" style="31" customWidth="1"/>
    <col min="7" max="7" width="19.77734375" style="31" customWidth="1"/>
    <col min="8" max="8" width="11.5546875" style="457" hidden="1" customWidth="1"/>
    <col min="9" max="11" width="0" style="31" hidden="1" customWidth="1"/>
    <col min="12" max="16384" width="9.109375" style="31"/>
  </cols>
  <sheetData>
    <row r="1" spans="1:8" s="27" customFormat="1" ht="69.599999999999994" customHeight="1" thickBot="1">
      <c r="A1" s="892" t="s">
        <v>1050</v>
      </c>
      <c r="B1" s="893"/>
      <c r="C1" s="893"/>
      <c r="D1" s="894" t="str">
        <f>+'Bill 7.2'!D1:G1</f>
        <v>BILL NO. 07 - REDUCTION OF LANDSLIDE VULNERABILITY BY MITIGATION MEASURES 
AT RUBBER RESEARCH INSTITUTE DARTONFIELD ESTATE - AGALAWATTA(SITE NO. 112)</v>
      </c>
      <c r="E1" s="894"/>
      <c r="F1" s="894"/>
      <c r="G1" s="895"/>
      <c r="H1" s="456"/>
    </row>
    <row r="2" spans="1:8" ht="26.4">
      <c r="A2" s="754" t="s">
        <v>11</v>
      </c>
      <c r="B2" s="28" t="s">
        <v>12</v>
      </c>
      <c r="C2" s="29" t="s">
        <v>8</v>
      </c>
      <c r="D2" s="28" t="s">
        <v>13</v>
      </c>
      <c r="E2" s="28" t="s">
        <v>14</v>
      </c>
      <c r="F2" s="30" t="s">
        <v>15</v>
      </c>
      <c r="G2" s="755" t="s">
        <v>16</v>
      </c>
    </row>
    <row r="3" spans="1:8" ht="29.4" customHeight="1">
      <c r="A3" s="766" t="s">
        <v>1051</v>
      </c>
      <c r="B3" s="60"/>
      <c r="C3" s="553" t="s">
        <v>210</v>
      </c>
      <c r="D3" s="61"/>
      <c r="E3" s="61"/>
      <c r="F3" s="61"/>
      <c r="G3" s="767"/>
    </row>
    <row r="4" spans="1:8" ht="29.4" customHeight="1">
      <c r="A4" s="758" t="s">
        <v>1052</v>
      </c>
      <c r="B4" s="62" t="s">
        <v>37</v>
      </c>
      <c r="C4" s="554" t="s">
        <v>38</v>
      </c>
      <c r="D4" s="33" t="s">
        <v>27</v>
      </c>
      <c r="E4" s="406">
        <v>1</v>
      </c>
      <c r="F4" s="35"/>
      <c r="G4" s="764"/>
      <c r="H4" s="458">
        <f>+Drains112!I106</f>
        <v>0.60500000000000009</v>
      </c>
    </row>
    <row r="5" spans="1:8" ht="29.4" customHeight="1">
      <c r="A5" s="758" t="s">
        <v>1053</v>
      </c>
      <c r="B5" s="62" t="s">
        <v>39</v>
      </c>
      <c r="C5" s="554" t="s">
        <v>40</v>
      </c>
      <c r="D5" s="33" t="s">
        <v>27</v>
      </c>
      <c r="E5" s="406">
        <v>3</v>
      </c>
      <c r="F5" s="35"/>
      <c r="G5" s="764"/>
      <c r="H5" s="458">
        <f>+Drains112!J106+Drains112!J107</f>
        <v>2.6746562500000004</v>
      </c>
    </row>
    <row r="6" spans="1:8" ht="29.4" customHeight="1">
      <c r="A6" s="758" t="s">
        <v>1054</v>
      </c>
      <c r="B6" s="62" t="s">
        <v>41</v>
      </c>
      <c r="C6" s="554" t="s">
        <v>42</v>
      </c>
      <c r="D6" s="33" t="s">
        <v>43</v>
      </c>
      <c r="E6" s="406">
        <v>180</v>
      </c>
      <c r="F6" s="35"/>
      <c r="G6" s="764"/>
      <c r="H6" s="458">
        <f>+Drains112!S106+Drains112!S107</f>
        <v>179.09259259259258</v>
      </c>
    </row>
    <row r="7" spans="1:8" ht="29.4" customHeight="1">
      <c r="A7" s="758" t="s">
        <v>1055</v>
      </c>
      <c r="B7" s="62" t="s">
        <v>44</v>
      </c>
      <c r="C7" s="554" t="s">
        <v>45</v>
      </c>
      <c r="D7" s="33" t="s">
        <v>20</v>
      </c>
      <c r="E7" s="406">
        <v>35</v>
      </c>
      <c r="F7" s="35"/>
      <c r="G7" s="764"/>
      <c r="H7" s="458">
        <f>+Drains112!K106+Drains112!K107</f>
        <v>34.298500000000004</v>
      </c>
    </row>
    <row r="8" spans="1:8" ht="29.4" customHeight="1">
      <c r="A8" s="766" t="s">
        <v>1056</v>
      </c>
      <c r="B8" s="60"/>
      <c r="C8" s="553" t="s">
        <v>36</v>
      </c>
      <c r="D8" s="61"/>
      <c r="E8" s="61"/>
      <c r="F8" s="61"/>
      <c r="G8" s="767"/>
    </row>
    <row r="9" spans="1:8" ht="29.4" customHeight="1">
      <c r="A9" s="758" t="s">
        <v>1057</v>
      </c>
      <c r="B9" s="62" t="s">
        <v>37</v>
      </c>
      <c r="C9" s="554" t="s">
        <v>38</v>
      </c>
      <c r="D9" s="33" t="s">
        <v>27</v>
      </c>
      <c r="E9" s="406">
        <v>15</v>
      </c>
      <c r="F9" s="35"/>
      <c r="G9" s="764"/>
      <c r="H9" s="458">
        <f>+Drains112!I109</f>
        <v>15.015000000000004</v>
      </c>
    </row>
    <row r="10" spans="1:8" ht="29.4" customHeight="1">
      <c r="A10" s="758" t="s">
        <v>1058</v>
      </c>
      <c r="B10" s="62" t="s">
        <v>39</v>
      </c>
      <c r="C10" s="554" t="s">
        <v>40</v>
      </c>
      <c r="D10" s="33" t="s">
        <v>27</v>
      </c>
      <c r="E10" s="406">
        <v>75</v>
      </c>
      <c r="F10" s="35"/>
      <c r="G10" s="764"/>
      <c r="H10" s="458">
        <f>+Drains112!J109+Drains112!J110</f>
        <v>71.934843750000027</v>
      </c>
    </row>
    <row r="11" spans="1:8" ht="29.4" customHeight="1">
      <c r="A11" s="758" t="s">
        <v>1059</v>
      </c>
      <c r="B11" s="62" t="s">
        <v>41</v>
      </c>
      <c r="C11" s="554" t="s">
        <v>42</v>
      </c>
      <c r="D11" s="33" t="s">
        <v>43</v>
      </c>
      <c r="E11" s="406">
        <v>4680</v>
      </c>
      <c r="F11" s="35"/>
      <c r="G11" s="764"/>
      <c r="H11" s="458">
        <f>+Drains112!S109+Drains112!S110</f>
        <v>4677.0185185185182</v>
      </c>
    </row>
    <row r="12" spans="1:8" ht="29.4" customHeight="1">
      <c r="A12" s="758" t="s">
        <v>1060</v>
      </c>
      <c r="B12" s="62" t="s">
        <v>44</v>
      </c>
      <c r="C12" s="554" t="s">
        <v>45</v>
      </c>
      <c r="D12" s="33" t="s">
        <v>20</v>
      </c>
      <c r="E12" s="406">
        <v>935</v>
      </c>
      <c r="F12" s="35"/>
      <c r="G12" s="764"/>
      <c r="H12" s="458">
        <f>+Drains112!K109+Drains112!K110</f>
        <v>934.74150000000009</v>
      </c>
    </row>
    <row r="13" spans="1:8" ht="29.4" customHeight="1">
      <c r="A13" s="766" t="s">
        <v>1061</v>
      </c>
      <c r="B13" s="60"/>
      <c r="C13" s="553" t="s">
        <v>1062</v>
      </c>
      <c r="D13" s="67"/>
      <c r="E13" s="543"/>
      <c r="F13" s="544"/>
      <c r="G13" s="790"/>
      <c r="H13" s="458"/>
    </row>
    <row r="14" spans="1:8" ht="29.4" customHeight="1">
      <c r="A14" s="768" t="s">
        <v>1063</v>
      </c>
      <c r="B14" s="46" t="s">
        <v>39</v>
      </c>
      <c r="C14" s="47" t="s">
        <v>1064</v>
      </c>
      <c r="D14" s="46" t="s">
        <v>28</v>
      </c>
      <c r="E14" s="543">
        <v>45</v>
      </c>
      <c r="F14" s="544"/>
      <c r="G14" s="790"/>
      <c r="H14" s="458">
        <f>+'QTY112'!J91</f>
        <v>44.5214</v>
      </c>
    </row>
    <row r="15" spans="1:8" ht="29.4" customHeight="1">
      <c r="A15" s="768" t="s">
        <v>1065</v>
      </c>
      <c r="B15" s="46" t="s">
        <v>44</v>
      </c>
      <c r="C15" s="47" t="s">
        <v>45</v>
      </c>
      <c r="D15" s="46" t="s">
        <v>312</v>
      </c>
      <c r="E15" s="543">
        <v>35</v>
      </c>
      <c r="F15" s="544"/>
      <c r="G15" s="790"/>
      <c r="H15" s="458">
        <f>+'QTY112'!J92</f>
        <v>32.340000000000003</v>
      </c>
    </row>
    <row r="16" spans="1:8" ht="29.4" customHeight="1">
      <c r="A16" s="766" t="s">
        <v>1066</v>
      </c>
      <c r="B16" s="60"/>
      <c r="C16" s="553" t="s">
        <v>46</v>
      </c>
      <c r="D16" s="61"/>
      <c r="E16" s="61"/>
      <c r="F16" s="61"/>
      <c r="G16" s="767"/>
    </row>
    <row r="17" spans="1:8" ht="29.4" customHeight="1">
      <c r="A17" s="758" t="s">
        <v>1067</v>
      </c>
      <c r="B17" s="62" t="s">
        <v>37</v>
      </c>
      <c r="C17" s="554" t="s">
        <v>38</v>
      </c>
      <c r="D17" s="33" t="s">
        <v>27</v>
      </c>
      <c r="E17" s="406">
        <v>24</v>
      </c>
      <c r="F17" s="35"/>
      <c r="G17" s="764"/>
      <c r="H17" s="458">
        <f>+Drains112!I112</f>
        <v>24.068000000000005</v>
      </c>
    </row>
    <row r="18" spans="1:8" ht="29.4" customHeight="1">
      <c r="A18" s="758" t="s">
        <v>1068</v>
      </c>
      <c r="B18" s="62" t="s">
        <v>39</v>
      </c>
      <c r="C18" s="554" t="s">
        <v>40</v>
      </c>
      <c r="D18" s="33" t="s">
        <v>27</v>
      </c>
      <c r="E18" s="406">
        <v>125</v>
      </c>
      <c r="F18" s="35"/>
      <c r="G18" s="764"/>
      <c r="H18" s="458">
        <f>+Drains112!J112+Drains112!J113</f>
        <v>120.90531250000002</v>
      </c>
    </row>
    <row r="19" spans="1:8" ht="29.4" customHeight="1">
      <c r="A19" s="758" t="s">
        <v>1069</v>
      </c>
      <c r="B19" s="62" t="s">
        <v>41</v>
      </c>
      <c r="C19" s="554" t="s">
        <v>42</v>
      </c>
      <c r="D19" s="33" t="s">
        <v>43</v>
      </c>
      <c r="E19" s="406">
        <v>7350</v>
      </c>
      <c r="F19" s="35"/>
      <c r="G19" s="764"/>
      <c r="H19" s="458">
        <f>+Drains112!S112+Drains112!S113</f>
        <v>7348.6820987654319</v>
      </c>
    </row>
    <row r="20" spans="1:8" ht="29.4" customHeight="1">
      <c r="A20" s="758" t="s">
        <v>1070</v>
      </c>
      <c r="B20" s="62" t="s">
        <v>44</v>
      </c>
      <c r="C20" s="554" t="s">
        <v>45</v>
      </c>
      <c r="D20" s="33" t="s">
        <v>20</v>
      </c>
      <c r="E20" s="406">
        <v>1585</v>
      </c>
      <c r="F20" s="35"/>
      <c r="G20" s="764"/>
      <c r="H20" s="458">
        <f>+Drains112!K112+Drains112!K113</f>
        <v>1583.1129999999998</v>
      </c>
    </row>
    <row r="21" spans="1:8" ht="29.4" customHeight="1">
      <c r="A21" s="766" t="s">
        <v>1071</v>
      </c>
      <c r="B21" s="60"/>
      <c r="C21" s="553" t="s">
        <v>671</v>
      </c>
      <c r="D21" s="61"/>
      <c r="E21" s="61"/>
      <c r="F21" s="61"/>
      <c r="G21" s="767"/>
    </row>
    <row r="22" spans="1:8" ht="29.4" customHeight="1">
      <c r="A22" s="758" t="s">
        <v>1072</v>
      </c>
      <c r="B22" s="62" t="s">
        <v>37</v>
      </c>
      <c r="C22" s="45" t="s">
        <v>38</v>
      </c>
      <c r="D22" s="33" t="s">
        <v>27</v>
      </c>
      <c r="E22" s="406">
        <v>4</v>
      </c>
      <c r="F22" s="35"/>
      <c r="G22" s="764"/>
      <c r="H22" s="458">
        <f>+Drains112!I115</f>
        <v>3.3825000000000003</v>
      </c>
    </row>
    <row r="23" spans="1:8" ht="29.4" customHeight="1">
      <c r="A23" s="758" t="s">
        <v>1073</v>
      </c>
      <c r="B23" s="62" t="s">
        <v>39</v>
      </c>
      <c r="C23" s="45" t="s">
        <v>40</v>
      </c>
      <c r="D23" s="33" t="s">
        <v>27</v>
      </c>
      <c r="E23" s="406">
        <v>22</v>
      </c>
      <c r="F23" s="35"/>
      <c r="G23" s="764"/>
      <c r="H23" s="458">
        <f>+Drains112!J115+Drains112!J116</f>
        <v>21.221484374999999</v>
      </c>
    </row>
    <row r="24" spans="1:8" ht="29.4" customHeight="1">
      <c r="A24" s="758" t="s">
        <v>1074</v>
      </c>
      <c r="B24" s="62" t="s">
        <v>41</v>
      </c>
      <c r="C24" s="45" t="s">
        <v>42</v>
      </c>
      <c r="D24" s="33" t="s">
        <v>43</v>
      </c>
      <c r="E24" s="406">
        <v>1085</v>
      </c>
      <c r="F24" s="35"/>
      <c r="G24" s="764"/>
      <c r="H24" s="458">
        <f>+Drains112!S115+Drains112!S116</f>
        <v>1081.5864197530864</v>
      </c>
    </row>
    <row r="25" spans="1:8" ht="29.4" customHeight="1">
      <c r="A25" s="758" t="s">
        <v>1075</v>
      </c>
      <c r="B25" s="62" t="s">
        <v>44</v>
      </c>
      <c r="C25" s="45" t="s">
        <v>45</v>
      </c>
      <c r="D25" s="33" t="s">
        <v>20</v>
      </c>
      <c r="E25" s="406">
        <v>225</v>
      </c>
      <c r="F25" s="35"/>
      <c r="G25" s="764"/>
      <c r="H25" s="458">
        <f>+Drains112!K115+Drains112!K116</f>
        <v>222.53625000000002</v>
      </c>
    </row>
    <row r="26" spans="1:8" ht="29.4" customHeight="1">
      <c r="A26" s="766" t="s">
        <v>1076</v>
      </c>
      <c r="B26" s="51"/>
      <c r="C26" s="555" t="s">
        <v>1077</v>
      </c>
      <c r="D26" s="41"/>
      <c r="E26" s="41"/>
      <c r="F26" s="41"/>
      <c r="G26" s="765"/>
    </row>
    <row r="27" spans="1:8" ht="29.4" customHeight="1">
      <c r="A27" s="758" t="s">
        <v>1078</v>
      </c>
      <c r="B27" s="62" t="s">
        <v>37</v>
      </c>
      <c r="C27" s="554" t="s">
        <v>38</v>
      </c>
      <c r="D27" s="33" t="s">
        <v>27</v>
      </c>
      <c r="E27" s="406">
        <v>4</v>
      </c>
      <c r="F27" s="35"/>
      <c r="G27" s="764"/>
      <c r="H27" s="458">
        <f>+Drains112!I118</f>
        <v>3.8160000000000007</v>
      </c>
    </row>
    <row r="28" spans="1:8" ht="29.4" customHeight="1">
      <c r="A28" s="758" t="s">
        <v>1079</v>
      </c>
      <c r="B28" s="62" t="s">
        <v>39</v>
      </c>
      <c r="C28" s="554" t="s">
        <v>40</v>
      </c>
      <c r="D28" s="33" t="s">
        <v>27</v>
      </c>
      <c r="E28" s="406">
        <v>15</v>
      </c>
      <c r="F28" s="35"/>
      <c r="G28" s="764"/>
      <c r="H28" s="458">
        <f>+Drains112!J118</f>
        <v>14.310000000000002</v>
      </c>
    </row>
    <row r="29" spans="1:8" ht="29.4" customHeight="1">
      <c r="A29" s="758" t="s">
        <v>1080</v>
      </c>
      <c r="B29" s="62" t="s">
        <v>41</v>
      </c>
      <c r="C29" s="554" t="s">
        <v>42</v>
      </c>
      <c r="D29" s="33" t="s">
        <v>43</v>
      </c>
      <c r="E29" s="406">
        <v>755</v>
      </c>
      <c r="F29" s="35"/>
      <c r="G29" s="764"/>
      <c r="H29" s="458">
        <f>+Drains112!S118</f>
        <v>753.55092592592587</v>
      </c>
    </row>
    <row r="30" spans="1:8" ht="29.4" customHeight="1">
      <c r="A30" s="818" t="s">
        <v>1081</v>
      </c>
      <c r="B30" s="824" t="s">
        <v>44</v>
      </c>
      <c r="C30" s="830" t="s">
        <v>45</v>
      </c>
      <c r="D30" s="826" t="s">
        <v>20</v>
      </c>
      <c r="E30" s="827">
        <v>140</v>
      </c>
      <c r="F30" s="828"/>
      <c r="G30" s="829"/>
      <c r="H30" s="458">
        <f>+Drains112!K118</f>
        <v>137.28</v>
      </c>
    </row>
    <row r="31" spans="1:8" ht="29.4" customHeight="1">
      <c r="A31" s="766" t="s">
        <v>1082</v>
      </c>
      <c r="B31" s="60"/>
      <c r="C31" s="823" t="s">
        <v>1083</v>
      </c>
      <c r="D31" s="61"/>
      <c r="E31" s="61"/>
      <c r="F31" s="61"/>
      <c r="G31" s="767"/>
    </row>
    <row r="32" spans="1:8" ht="29.4" customHeight="1">
      <c r="A32" s="758" t="s">
        <v>1084</v>
      </c>
      <c r="B32" s="62" t="s">
        <v>37</v>
      </c>
      <c r="C32" s="45" t="s">
        <v>38</v>
      </c>
      <c r="D32" s="33" t="s">
        <v>27</v>
      </c>
      <c r="E32" s="406">
        <v>12</v>
      </c>
      <c r="F32" s="35"/>
      <c r="G32" s="764"/>
      <c r="H32" s="458">
        <f>+Drains112!I122</f>
        <v>11.103750000000002</v>
      </c>
    </row>
    <row r="33" spans="1:8" ht="29.4" customHeight="1">
      <c r="A33" s="758" t="s">
        <v>1085</v>
      </c>
      <c r="B33" s="62" t="s">
        <v>39</v>
      </c>
      <c r="C33" s="45" t="s">
        <v>40</v>
      </c>
      <c r="D33" s="33" t="s">
        <v>27</v>
      </c>
      <c r="E33" s="406">
        <v>42</v>
      </c>
      <c r="F33" s="35"/>
      <c r="G33" s="764"/>
      <c r="H33" s="458">
        <f>+Drains112!J122</f>
        <v>42.035625000000003</v>
      </c>
    </row>
    <row r="34" spans="1:8" ht="29.4" customHeight="1">
      <c r="A34" s="758" t="s">
        <v>1069</v>
      </c>
      <c r="B34" s="62" t="s">
        <v>41</v>
      </c>
      <c r="C34" s="45" t="s">
        <v>42</v>
      </c>
      <c r="D34" s="33" t="s">
        <v>43</v>
      </c>
      <c r="E34" s="406">
        <v>1795</v>
      </c>
      <c r="F34" s="35"/>
      <c r="G34" s="764"/>
      <c r="H34" s="458">
        <f>+Drains112!S122</f>
        <v>1793.7530864197531</v>
      </c>
    </row>
    <row r="35" spans="1:8" ht="29.4" customHeight="1">
      <c r="A35" s="758" t="s">
        <v>1086</v>
      </c>
      <c r="B35" s="62" t="s">
        <v>44</v>
      </c>
      <c r="C35" s="45" t="s">
        <v>45</v>
      </c>
      <c r="D35" s="33" t="s">
        <v>20</v>
      </c>
      <c r="E35" s="406">
        <v>325</v>
      </c>
      <c r="F35" s="35"/>
      <c r="G35" s="764"/>
      <c r="H35" s="458">
        <f>+Drains112!K122</f>
        <v>324.47250000000008</v>
      </c>
    </row>
    <row r="36" spans="1:8" ht="29.4" customHeight="1">
      <c r="A36" s="766" t="s">
        <v>1087</v>
      </c>
      <c r="B36" s="51"/>
      <c r="C36" s="555" t="s">
        <v>1088</v>
      </c>
      <c r="D36" s="41"/>
      <c r="E36" s="41"/>
      <c r="F36" s="41"/>
      <c r="G36" s="765"/>
    </row>
    <row r="37" spans="1:8" ht="29.4" customHeight="1">
      <c r="A37" s="758" t="s">
        <v>1089</v>
      </c>
      <c r="B37" s="56" t="s">
        <v>452</v>
      </c>
      <c r="C37" s="556" t="s">
        <v>1090</v>
      </c>
      <c r="D37" s="33" t="s">
        <v>27</v>
      </c>
      <c r="E37" s="406">
        <v>210</v>
      </c>
      <c r="F37" s="35"/>
      <c r="G37" s="764"/>
      <c r="H37" s="458">
        <f>+'QTY112'!J86</f>
        <v>205.755</v>
      </c>
    </row>
    <row r="38" spans="1:8" s="65" customFormat="1" ht="27.75" customHeight="1">
      <c r="A38" s="766" t="s">
        <v>1091</v>
      </c>
      <c r="B38" s="46"/>
      <c r="C38" s="557" t="s">
        <v>48</v>
      </c>
      <c r="D38" s="46"/>
      <c r="E38" s="359"/>
      <c r="F38" s="57"/>
      <c r="G38" s="367"/>
      <c r="H38" s="462"/>
    </row>
    <row r="39" spans="1:8" s="65" customFormat="1" ht="31.95" customHeight="1">
      <c r="A39" s="768" t="s">
        <v>1092</v>
      </c>
      <c r="B39" s="46" t="s">
        <v>49</v>
      </c>
      <c r="C39" s="558" t="s">
        <v>448</v>
      </c>
      <c r="D39" s="46" t="s">
        <v>5</v>
      </c>
      <c r="E39" s="359">
        <v>150</v>
      </c>
      <c r="F39" s="57"/>
      <c r="G39" s="367"/>
      <c r="H39" s="463">
        <f>(+Drains112!D120+Drains112!D124)*1</f>
        <v>148</v>
      </c>
    </row>
    <row r="40" spans="1:8" ht="30" customHeight="1">
      <c r="A40" s="766" t="s">
        <v>1093</v>
      </c>
      <c r="B40" s="51"/>
      <c r="C40" s="555" t="s">
        <v>1094</v>
      </c>
      <c r="D40" s="41"/>
      <c r="E40" s="41"/>
      <c r="F40" s="41"/>
      <c r="G40" s="765"/>
    </row>
    <row r="41" spans="1:8" ht="30" customHeight="1">
      <c r="A41" s="786" t="s">
        <v>1095</v>
      </c>
      <c r="B41" s="33" t="s">
        <v>581</v>
      </c>
      <c r="C41" s="559" t="s">
        <v>927</v>
      </c>
      <c r="D41" s="33" t="s">
        <v>27</v>
      </c>
      <c r="E41" s="33">
        <v>85</v>
      </c>
      <c r="F41" s="57"/>
      <c r="G41" s="791"/>
      <c r="H41" s="458">
        <f>+'QTY112'!J79</f>
        <v>82.790400000000005</v>
      </c>
    </row>
    <row r="42" spans="1:8" ht="30" customHeight="1">
      <c r="A42" s="786" t="s">
        <v>1096</v>
      </c>
      <c r="B42" s="459" t="s">
        <v>813</v>
      </c>
      <c r="C42" s="460" t="s">
        <v>814</v>
      </c>
      <c r="D42" s="461" t="s">
        <v>312</v>
      </c>
      <c r="E42" s="33">
        <v>250</v>
      </c>
      <c r="F42" s="57"/>
      <c r="G42" s="791"/>
      <c r="H42" s="458">
        <f>+'QTY112'!J81</f>
        <v>248.69460000000001</v>
      </c>
    </row>
    <row r="43" spans="1:8" ht="30" customHeight="1">
      <c r="A43" s="786" t="s">
        <v>1097</v>
      </c>
      <c r="B43" s="459" t="s">
        <v>569</v>
      </c>
      <c r="C43" s="460" t="s">
        <v>1098</v>
      </c>
      <c r="D43" s="459" t="s">
        <v>5</v>
      </c>
      <c r="E43" s="33">
        <v>260</v>
      </c>
      <c r="F43" s="57"/>
      <c r="G43" s="791"/>
      <c r="H43" s="458">
        <f>+'QTY112'!J82</f>
        <v>258.72000000000003</v>
      </c>
    </row>
    <row r="44" spans="1:8" ht="30" customHeight="1" thickBot="1">
      <c r="A44" s="760"/>
      <c r="B44" s="896" t="s">
        <v>1099</v>
      </c>
      <c r="C44" s="897"/>
      <c r="D44" s="897"/>
      <c r="E44" s="897"/>
      <c r="F44" s="898"/>
      <c r="G44" s="761"/>
    </row>
  </sheetData>
  <mergeCells count="3">
    <mergeCell ref="A1:C1"/>
    <mergeCell ref="D1:G1"/>
    <mergeCell ref="B44:F44"/>
  </mergeCells>
  <printOptions horizontalCentered="1"/>
  <pageMargins left="0.75" right="0.4" top="0.75" bottom="0.5" header="0" footer="0"/>
  <pageSetup paperSize="9" scale="70" fitToHeight="0" orientation="portrait" r:id="rId1"/>
  <rowBreaks count="1" manualBreakCount="1">
    <brk id="30" max="6"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8B9B-1376-4055-A07B-80292C72F080}">
  <sheetPr>
    <tabColor rgb="FFFF9933"/>
  </sheetPr>
  <dimension ref="A1:H7"/>
  <sheetViews>
    <sheetView view="pageBreakPreview" zoomScaleNormal="110" zoomScaleSheetLayoutView="100" workbookViewId="0">
      <selection activeCell="H1" sqref="H1:J1048576"/>
    </sheetView>
  </sheetViews>
  <sheetFormatPr defaultColWidth="9.109375" defaultRowHeight="15"/>
  <cols>
    <col min="1" max="1" width="7.6640625" style="31" customWidth="1"/>
    <col min="2" max="2" width="9.6640625" style="369" customWidth="1"/>
    <col min="3" max="3" width="54" style="31" customWidth="1"/>
    <col min="4" max="4" width="7.6640625" style="370" customWidth="1"/>
    <col min="5" max="5" width="8.6640625" style="31" customWidth="1"/>
    <col min="6" max="6" width="15" style="31" customWidth="1"/>
    <col min="7" max="7" width="17.6640625" style="31" customWidth="1"/>
    <col min="8" max="8" width="11.5546875" style="457" hidden="1" customWidth="1"/>
    <col min="9" max="10" width="0" style="31" hidden="1" customWidth="1"/>
    <col min="11" max="16384" width="9.109375" style="31"/>
  </cols>
  <sheetData>
    <row r="1" spans="1:8" s="27" customFormat="1" ht="70.8" customHeight="1" thickBot="1">
      <c r="A1" s="892" t="s">
        <v>1100</v>
      </c>
      <c r="B1" s="893"/>
      <c r="C1" s="893"/>
      <c r="D1" s="894" t="str">
        <f>+'Bill 7.3'!D1:G1</f>
        <v>BILL NO. 07 - REDUCTION OF LANDSLIDE VULNERABILITY BY MITIGATION MEASURES 
AT RUBBER RESEARCH INSTITUTE DARTONFIELD ESTATE - AGALAWATTA(SITE NO. 112)</v>
      </c>
      <c r="E1" s="894"/>
      <c r="F1" s="894"/>
      <c r="G1" s="895"/>
      <c r="H1" s="456"/>
    </row>
    <row r="2" spans="1:8" ht="26.4">
      <c r="A2" s="754" t="s">
        <v>11</v>
      </c>
      <c r="B2" s="28" t="s">
        <v>12</v>
      </c>
      <c r="C2" s="29" t="s">
        <v>8</v>
      </c>
      <c r="D2" s="28" t="s">
        <v>13</v>
      </c>
      <c r="E2" s="28" t="s">
        <v>14</v>
      </c>
      <c r="F2" s="30" t="s">
        <v>15</v>
      </c>
      <c r="G2" s="755" t="s">
        <v>16</v>
      </c>
    </row>
    <row r="3" spans="1:8" ht="30" customHeight="1">
      <c r="A3" s="770" t="s">
        <v>1101</v>
      </c>
      <c r="B3" s="350"/>
      <c r="C3" s="351" t="s">
        <v>465</v>
      </c>
      <c r="D3" s="350"/>
      <c r="E3" s="41"/>
      <c r="F3" s="41"/>
      <c r="G3" s="765"/>
    </row>
    <row r="4" spans="1:8" ht="58.5" customHeight="1">
      <c r="A4" s="758" t="s">
        <v>1102</v>
      </c>
      <c r="B4" s="33" t="s">
        <v>467</v>
      </c>
      <c r="C4" s="368" t="s">
        <v>468</v>
      </c>
      <c r="D4" s="33" t="s">
        <v>5</v>
      </c>
      <c r="E4" s="406">
        <v>560</v>
      </c>
      <c r="F4" s="35"/>
      <c r="G4" s="764"/>
      <c r="H4" s="458">
        <f>+'QTY112'!J106</f>
        <v>560</v>
      </c>
    </row>
    <row r="5" spans="1:8" ht="27.6" customHeight="1">
      <c r="A5" s="615" t="s">
        <v>1103</v>
      </c>
      <c r="B5" s="365"/>
      <c r="C5" s="362" t="s">
        <v>461</v>
      </c>
      <c r="D5" s="365"/>
      <c r="E5" s="359"/>
      <c r="F5" s="57"/>
      <c r="G5" s="784"/>
      <c r="H5" s="458"/>
    </row>
    <row r="6" spans="1:8" ht="31.2" customHeight="1">
      <c r="A6" s="787" t="s">
        <v>1104</v>
      </c>
      <c r="B6" s="46" t="s">
        <v>592</v>
      </c>
      <c r="C6" s="47" t="s">
        <v>463</v>
      </c>
      <c r="D6" s="365" t="s">
        <v>312</v>
      </c>
      <c r="E6" s="464">
        <v>330</v>
      </c>
      <c r="F6" s="366"/>
      <c r="G6" s="367"/>
      <c r="H6" s="458">
        <f>+'QTY112'!J99</f>
        <v>330.05</v>
      </c>
    </row>
    <row r="7" spans="1:8" ht="24.75" customHeight="1" thickBot="1">
      <c r="A7" s="760"/>
      <c r="B7" s="896" t="s">
        <v>1105</v>
      </c>
      <c r="C7" s="897"/>
      <c r="D7" s="897"/>
      <c r="E7" s="897"/>
      <c r="F7" s="898"/>
      <c r="G7" s="761"/>
    </row>
  </sheetData>
  <mergeCells count="3">
    <mergeCell ref="A1:C1"/>
    <mergeCell ref="D1:G1"/>
    <mergeCell ref="B7:F7"/>
  </mergeCells>
  <printOptions horizontalCentered="1"/>
  <pageMargins left="0.75" right="0.4" top="0.75" bottom="0.5" header="0" footer="0"/>
  <pageSetup paperSize="9" scale="70" fitToHeight="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698C5-D9E5-4409-85DC-A8F2C200C6AC}">
  <sheetPr>
    <tabColor rgb="FF00B050"/>
  </sheetPr>
  <dimension ref="A1:L113"/>
  <sheetViews>
    <sheetView view="pageBreakPreview" zoomScale="90" zoomScaleNormal="100" zoomScaleSheetLayoutView="90" workbookViewId="0">
      <pane ySplit="2" topLeftCell="A76" activePane="bottomLeft" state="frozen"/>
      <selection activeCell="A2" sqref="A2:F2"/>
      <selection pane="bottomLeft" activeCell="A2" sqref="A2:F2"/>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5" width="9.109375" style="68"/>
    <col min="16" max="16" width="11.109375" style="68" bestFit="1" customWidth="1"/>
    <col min="17" max="16384" width="9.109375" style="68"/>
  </cols>
  <sheetData>
    <row r="1" spans="1:12" ht="20.100000000000001" customHeight="1">
      <c r="A1" s="902" t="s">
        <v>948</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08" t="s">
        <v>62</v>
      </c>
      <c r="B4" s="909"/>
      <c r="C4" s="909"/>
      <c r="D4" s="909"/>
      <c r="E4" s="909"/>
      <c r="F4" s="910"/>
      <c r="G4" s="73"/>
      <c r="H4" s="74"/>
      <c r="I4" s="73"/>
      <c r="J4" s="73"/>
    </row>
    <row r="5" spans="1:12" ht="15">
      <c r="A5" s="75" t="s">
        <v>949</v>
      </c>
      <c r="B5" s="76"/>
      <c r="C5" s="77"/>
      <c r="D5" s="78"/>
      <c r="E5" s="77"/>
      <c r="F5" s="76"/>
      <c r="G5" s="77"/>
      <c r="H5" s="77"/>
      <c r="I5" s="77"/>
      <c r="J5" s="79"/>
      <c r="L5" s="80"/>
    </row>
    <row r="6" spans="1:12" ht="15">
      <c r="A6" s="84" t="s">
        <v>962</v>
      </c>
      <c r="B6" s="82">
        <v>11.54</v>
      </c>
      <c r="C6" s="82">
        <v>26</v>
      </c>
      <c r="D6" s="78"/>
      <c r="E6" s="77"/>
      <c r="F6" s="76">
        <f>B6*C6</f>
        <v>300.03999999999996</v>
      </c>
      <c r="G6" s="77"/>
      <c r="H6" s="77" t="s">
        <v>487</v>
      </c>
      <c r="I6" s="79">
        <f>F6*1.1</f>
        <v>330.04399999999998</v>
      </c>
      <c r="J6" s="128">
        <f>ROUNDUP(I6,2)</f>
        <v>330.05</v>
      </c>
      <c r="L6" s="80"/>
    </row>
    <row r="7" spans="1:12" ht="15">
      <c r="A7" s="84"/>
      <c r="B7" s="82"/>
      <c r="C7" s="76"/>
      <c r="D7" s="78"/>
      <c r="E7" s="77"/>
      <c r="F7" s="76"/>
      <c r="G7" s="77"/>
      <c r="H7" s="77"/>
      <c r="I7" s="79"/>
      <c r="J7" s="128"/>
      <c r="L7" s="80"/>
    </row>
    <row r="8" spans="1:12" ht="15">
      <c r="A8" s="84" t="s">
        <v>1106</v>
      </c>
      <c r="B8" s="82"/>
      <c r="C8" s="76"/>
      <c r="D8" s="78"/>
      <c r="E8" s="77"/>
      <c r="F8" s="76"/>
      <c r="G8" s="77"/>
      <c r="H8" s="77"/>
      <c r="I8" s="79"/>
      <c r="J8" s="128"/>
      <c r="L8" s="80"/>
    </row>
    <row r="9" spans="1:12" ht="15">
      <c r="A9" s="84" t="s">
        <v>1107</v>
      </c>
      <c r="B9" s="82">
        <v>3.4</v>
      </c>
      <c r="C9" s="76">
        <v>35</v>
      </c>
      <c r="D9" s="78"/>
      <c r="E9" s="77"/>
      <c r="F9" s="76">
        <f>B9*C9</f>
        <v>119</v>
      </c>
      <c r="G9" s="77"/>
      <c r="H9" s="77" t="s">
        <v>487</v>
      </c>
      <c r="I9" s="79">
        <f>F9*1.1</f>
        <v>130.9</v>
      </c>
      <c r="J9" s="128">
        <f>ROUNDUP(I9,2)</f>
        <v>130.9</v>
      </c>
      <c r="L9" s="80"/>
    </row>
    <row r="10" spans="1:12" ht="15">
      <c r="A10" s="84"/>
      <c r="B10" s="82">
        <v>6.2</v>
      </c>
      <c r="C10" s="76">
        <v>35</v>
      </c>
      <c r="D10" s="78"/>
      <c r="E10" s="77"/>
      <c r="F10" s="76">
        <f>B10*C10</f>
        <v>217</v>
      </c>
      <c r="G10" s="77"/>
      <c r="H10" s="77" t="s">
        <v>487</v>
      </c>
      <c r="I10" s="79">
        <f>F10*1.1</f>
        <v>238.70000000000002</v>
      </c>
      <c r="J10" s="128">
        <f>ROUNDUP(I10,2)</f>
        <v>238.7</v>
      </c>
      <c r="L10" s="80"/>
    </row>
    <row r="11" spans="1:12" ht="15">
      <c r="A11" s="84"/>
      <c r="B11" s="76"/>
      <c r="C11" s="76"/>
      <c r="D11" s="78"/>
      <c r="E11" s="77"/>
      <c r="F11" s="76"/>
      <c r="G11" s="77"/>
      <c r="H11" s="77"/>
      <c r="I11" s="79"/>
      <c r="J11" s="103"/>
      <c r="L11" s="80"/>
    </row>
    <row r="12" spans="1:12" ht="15">
      <c r="A12" s="84" t="s">
        <v>1108</v>
      </c>
      <c r="B12" s="76">
        <v>3</v>
      </c>
      <c r="C12" s="76">
        <v>32</v>
      </c>
      <c r="D12" s="78"/>
      <c r="E12" s="77"/>
      <c r="F12" s="76">
        <f>B12*C12</f>
        <v>96</v>
      </c>
      <c r="G12" s="77"/>
      <c r="H12" s="77" t="s">
        <v>487</v>
      </c>
      <c r="I12" s="79">
        <f>F12*1.1</f>
        <v>105.60000000000001</v>
      </c>
      <c r="J12" s="128">
        <f>ROUNDUP(I12,2)</f>
        <v>105.6</v>
      </c>
      <c r="L12" s="80"/>
    </row>
    <row r="13" spans="1:12" ht="15">
      <c r="A13" s="84"/>
      <c r="B13" s="76">
        <v>6.8</v>
      </c>
      <c r="C13" s="76">
        <v>32</v>
      </c>
      <c r="D13" s="78"/>
      <c r="E13" s="77"/>
      <c r="F13" s="76">
        <f>B13*C13</f>
        <v>217.6</v>
      </c>
      <c r="G13" s="77"/>
      <c r="H13" s="77" t="s">
        <v>487</v>
      </c>
      <c r="I13" s="79">
        <f>F13*1.1</f>
        <v>239.36</v>
      </c>
      <c r="J13" s="128">
        <f>ROUNDUP(I13,2)</f>
        <v>239.36</v>
      </c>
      <c r="L13" s="80"/>
    </row>
    <row r="14" spans="1:12" ht="15">
      <c r="A14" s="84"/>
      <c r="B14" s="76"/>
      <c r="C14" s="76"/>
      <c r="D14" s="78"/>
      <c r="E14" s="77"/>
      <c r="F14" s="76"/>
      <c r="G14" s="77"/>
      <c r="H14" s="77"/>
      <c r="I14" s="79"/>
      <c r="J14" s="103"/>
      <c r="L14" s="80"/>
    </row>
    <row r="15" spans="1:12" ht="15">
      <c r="A15" s="84" t="s">
        <v>1109</v>
      </c>
      <c r="B15" s="76">
        <v>3</v>
      </c>
      <c r="C15" s="76">
        <v>43</v>
      </c>
      <c r="D15" s="78"/>
      <c r="E15" s="77"/>
      <c r="F15" s="76">
        <f>B15*C15</f>
        <v>129</v>
      </c>
      <c r="G15" s="77"/>
      <c r="H15" s="77" t="s">
        <v>487</v>
      </c>
      <c r="I15" s="79">
        <f>F15*1.1</f>
        <v>141.9</v>
      </c>
      <c r="J15" s="128">
        <f>ROUNDUP(I15,2)</f>
        <v>141.9</v>
      </c>
      <c r="L15" s="467" t="s">
        <v>1110</v>
      </c>
    </row>
    <row r="16" spans="1:12" ht="15">
      <c r="A16" s="84"/>
      <c r="B16" s="76">
        <v>3</v>
      </c>
      <c r="C16" s="76">
        <v>21.5</v>
      </c>
      <c r="D16" s="78"/>
      <c r="E16" s="77"/>
      <c r="F16" s="76">
        <f>B16*C16</f>
        <v>64.5</v>
      </c>
      <c r="G16" s="77"/>
      <c r="H16" s="77" t="s">
        <v>487</v>
      </c>
      <c r="I16" s="79">
        <f>F16*1.1</f>
        <v>70.95</v>
      </c>
      <c r="J16" s="128">
        <f>ROUNDUP(I16,2)</f>
        <v>70.95</v>
      </c>
      <c r="L16" s="80"/>
    </row>
    <row r="17" spans="1:12" ht="15">
      <c r="A17" s="84"/>
      <c r="B17" s="76"/>
      <c r="C17" s="76"/>
      <c r="D17" s="78"/>
      <c r="E17" s="77"/>
      <c r="F17" s="76"/>
      <c r="G17" s="77"/>
      <c r="H17" s="77"/>
      <c r="I17" s="79"/>
      <c r="J17" s="103"/>
      <c r="L17" s="80"/>
    </row>
    <row r="18" spans="1:12" ht="15">
      <c r="A18" s="84"/>
      <c r="B18" s="76"/>
      <c r="C18" s="76"/>
      <c r="D18" s="78"/>
      <c r="E18" s="77"/>
      <c r="F18" s="76"/>
      <c r="G18" s="77"/>
      <c r="H18" s="77"/>
      <c r="I18" s="79"/>
      <c r="J18" s="79"/>
      <c r="L18" s="80"/>
    </row>
    <row r="19" spans="1:12" ht="15">
      <c r="A19" s="84" t="s">
        <v>1111</v>
      </c>
      <c r="B19" s="76">
        <v>33.340000000000003</v>
      </c>
      <c r="C19" s="76">
        <v>4</v>
      </c>
      <c r="D19" s="78"/>
      <c r="E19" s="77"/>
      <c r="F19" s="76">
        <f>B19*C19</f>
        <v>133.36000000000001</v>
      </c>
      <c r="G19" s="77"/>
      <c r="H19" s="77" t="s">
        <v>487</v>
      </c>
      <c r="I19" s="79">
        <f>F19*1.1</f>
        <v>146.69600000000003</v>
      </c>
      <c r="J19" s="128">
        <f>ROUNDUP(I19,2)</f>
        <v>146.69999999999999</v>
      </c>
      <c r="L19" s="80"/>
    </row>
    <row r="20" spans="1:12" ht="15">
      <c r="A20" s="84"/>
      <c r="B20" s="76"/>
      <c r="C20" s="76"/>
      <c r="D20" s="78"/>
      <c r="E20" s="77"/>
      <c r="F20" s="76">
        <f t="shared" ref="F20:F23" si="0">B20*C20</f>
        <v>0</v>
      </c>
      <c r="G20" s="77"/>
      <c r="H20" s="77"/>
      <c r="I20" s="79"/>
      <c r="J20" s="101"/>
    </row>
    <row r="21" spans="1:12" ht="15">
      <c r="A21" s="84" t="s">
        <v>1112</v>
      </c>
      <c r="B21" s="76"/>
      <c r="C21" s="76"/>
      <c r="D21" s="78"/>
      <c r="E21" s="77"/>
      <c r="F21" s="76">
        <f t="shared" si="0"/>
        <v>0</v>
      </c>
      <c r="G21" s="77"/>
      <c r="H21" s="77"/>
      <c r="I21" s="79"/>
      <c r="J21" s="101"/>
    </row>
    <row r="22" spans="1:12" ht="15">
      <c r="A22" s="84"/>
      <c r="B22" s="76">
        <v>2.5</v>
      </c>
      <c r="C22" s="76">
        <v>83</v>
      </c>
      <c r="D22" s="78"/>
      <c r="E22" s="77"/>
      <c r="F22" s="76">
        <f t="shared" si="0"/>
        <v>207.5</v>
      </c>
      <c r="G22" s="77"/>
      <c r="H22" s="77" t="s">
        <v>487</v>
      </c>
      <c r="I22" s="79">
        <f t="shared" ref="I22:I23" si="1">F22*1.1</f>
        <v>228.25000000000003</v>
      </c>
      <c r="J22" s="128">
        <f t="shared" ref="J22:J23" si="2">ROUNDUP(I22,2)</f>
        <v>228.25</v>
      </c>
    </row>
    <row r="23" spans="1:12" ht="15">
      <c r="A23" s="84"/>
      <c r="B23" s="76">
        <v>2.5</v>
      </c>
      <c r="C23" s="76">
        <v>77.5</v>
      </c>
      <c r="D23" s="78"/>
      <c r="E23" s="77"/>
      <c r="F23" s="76">
        <f t="shared" si="0"/>
        <v>193.75</v>
      </c>
      <c r="G23" s="77"/>
      <c r="H23" s="77" t="s">
        <v>487</v>
      </c>
      <c r="I23" s="79">
        <f t="shared" si="1"/>
        <v>213.12500000000003</v>
      </c>
      <c r="J23" s="128">
        <f t="shared" si="2"/>
        <v>213.13</v>
      </c>
    </row>
    <row r="24" spans="1:12" ht="15">
      <c r="A24" s="84"/>
      <c r="B24" s="76"/>
      <c r="C24" s="76"/>
      <c r="D24" s="78"/>
      <c r="E24" s="77"/>
      <c r="F24" s="76"/>
      <c r="G24" s="77"/>
      <c r="H24" s="77"/>
      <c r="I24" s="79"/>
      <c r="J24" s="128"/>
    </row>
    <row r="25" spans="1:12" ht="15">
      <c r="A25" s="84"/>
      <c r="B25" s="76"/>
      <c r="C25" s="76"/>
      <c r="D25" s="78"/>
      <c r="E25" s="77"/>
      <c r="F25" s="76"/>
      <c r="G25" s="77"/>
      <c r="H25" s="77"/>
      <c r="I25" s="79"/>
      <c r="J25" s="103">
        <f>+SUM(J6:J23)</f>
        <v>1845.5400000000004</v>
      </c>
    </row>
    <row r="26" spans="1:12" ht="15">
      <c r="A26" s="84"/>
      <c r="B26" s="76"/>
      <c r="C26" s="76"/>
      <c r="D26" s="78"/>
      <c r="E26" s="77"/>
      <c r="F26" s="76"/>
      <c r="G26" s="77"/>
      <c r="H26" s="77"/>
      <c r="I26" s="79"/>
      <c r="J26" s="101"/>
    </row>
    <row r="27" spans="1:12" ht="15">
      <c r="A27" s="87"/>
      <c r="B27" s="88"/>
      <c r="C27" s="89"/>
      <c r="D27" s="90"/>
      <c r="E27" s="91"/>
      <c r="F27" s="88"/>
      <c r="G27" s="91"/>
      <c r="H27" s="91"/>
      <c r="I27" s="92"/>
      <c r="J27" s="93"/>
    </row>
    <row r="28" spans="1:12" ht="15">
      <c r="A28" s="905" t="s">
        <v>64</v>
      </c>
      <c r="B28" s="906"/>
      <c r="C28" s="906"/>
      <c r="D28" s="906"/>
      <c r="E28" s="906"/>
      <c r="F28" s="906"/>
      <c r="G28" s="906"/>
      <c r="H28" s="906"/>
      <c r="I28" s="906"/>
      <c r="J28" s="907"/>
    </row>
    <row r="29" spans="1:12" ht="15">
      <c r="A29" s="911" t="s">
        <v>65</v>
      </c>
      <c r="B29" s="912"/>
      <c r="C29" s="912"/>
      <c r="D29" s="912"/>
      <c r="E29" s="912"/>
      <c r="F29" s="913"/>
      <c r="G29" s="73"/>
      <c r="H29" s="74"/>
      <c r="I29" s="74"/>
      <c r="J29" s="73"/>
      <c r="K29" s="94"/>
    </row>
    <row r="30" spans="1:12" ht="15">
      <c r="A30" s="911" t="s">
        <v>66</v>
      </c>
      <c r="B30" s="912"/>
      <c r="C30" s="912"/>
      <c r="D30" s="912"/>
      <c r="E30" s="912"/>
      <c r="F30" s="913"/>
      <c r="G30" s="73"/>
      <c r="H30" s="74"/>
      <c r="I30" s="73"/>
      <c r="J30" s="73"/>
      <c r="L30" s="80"/>
    </row>
    <row r="31" spans="1:12" ht="15">
      <c r="A31" s="911" t="s">
        <v>67</v>
      </c>
      <c r="B31" s="912"/>
      <c r="C31" s="912"/>
      <c r="D31" s="912"/>
      <c r="E31" s="912"/>
      <c r="F31" s="913"/>
      <c r="G31" s="95"/>
      <c r="H31" s="96"/>
      <c r="I31" s="95"/>
      <c r="J31" s="95"/>
      <c r="L31" s="80"/>
    </row>
    <row r="32" spans="1:12" ht="15">
      <c r="A32" s="84" t="s">
        <v>68</v>
      </c>
      <c r="B32" s="76"/>
      <c r="C32" s="76"/>
      <c r="D32" s="78"/>
      <c r="E32" s="77"/>
      <c r="F32" s="76"/>
      <c r="G32" s="77"/>
      <c r="H32" s="77"/>
      <c r="I32" s="79"/>
      <c r="J32" s="79"/>
      <c r="L32" s="80"/>
    </row>
    <row r="33" spans="1:12" ht="15">
      <c r="A33" s="84" t="s">
        <v>1113</v>
      </c>
      <c r="B33" s="76">
        <v>3.21</v>
      </c>
      <c r="C33" s="76">
        <v>35</v>
      </c>
      <c r="D33" s="78"/>
      <c r="E33" s="77"/>
      <c r="F33" s="76">
        <f>B33*C33</f>
        <v>112.35</v>
      </c>
      <c r="G33" s="77"/>
      <c r="H33" s="77" t="s">
        <v>63</v>
      </c>
      <c r="I33" s="79">
        <f>F33*1.1</f>
        <v>123.58500000000001</v>
      </c>
      <c r="J33" s="128">
        <f>ROUNDUP(I33,2)</f>
        <v>123.59</v>
      </c>
      <c r="L33" s="80"/>
    </row>
    <row r="34" spans="1:12" ht="15">
      <c r="A34" s="84"/>
      <c r="B34" s="76">
        <v>0.63</v>
      </c>
      <c r="C34" s="76">
        <v>35</v>
      </c>
      <c r="D34" s="78"/>
      <c r="E34" s="77"/>
      <c r="F34" s="76">
        <f>B34*C34</f>
        <v>22.05</v>
      </c>
      <c r="G34" s="77"/>
      <c r="H34" s="77" t="s">
        <v>63</v>
      </c>
      <c r="I34" s="79">
        <f>F34*1.1</f>
        <v>24.255000000000003</v>
      </c>
      <c r="J34" s="128">
        <f>ROUNDUP(I34,2)</f>
        <v>24.26</v>
      </c>
      <c r="L34" s="80"/>
    </row>
    <row r="35" spans="1:12" ht="15">
      <c r="A35" s="84"/>
      <c r="B35" s="76"/>
      <c r="C35" s="76"/>
      <c r="D35" s="78"/>
      <c r="E35" s="77"/>
      <c r="F35" s="76"/>
      <c r="G35" s="77"/>
      <c r="H35" s="77"/>
      <c r="I35" s="79"/>
      <c r="J35" s="128"/>
      <c r="L35" s="80"/>
    </row>
    <row r="36" spans="1:12" ht="15">
      <c r="A36" s="84" t="s">
        <v>1108</v>
      </c>
      <c r="B36" s="76">
        <v>4.0780000000000003</v>
      </c>
      <c r="C36" s="76">
        <v>32</v>
      </c>
      <c r="D36" s="78"/>
      <c r="E36" s="77"/>
      <c r="F36" s="76">
        <f>B36*C36</f>
        <v>130.49600000000001</v>
      </c>
      <c r="G36" s="77"/>
      <c r="H36" s="77" t="s">
        <v>63</v>
      </c>
      <c r="I36" s="79">
        <f>F36*1.1</f>
        <v>143.54560000000004</v>
      </c>
      <c r="J36" s="128">
        <f>ROUNDUP(I36,2)</f>
        <v>143.54999999999998</v>
      </c>
      <c r="L36" s="80"/>
    </row>
    <row r="37" spans="1:12" ht="15">
      <c r="A37" s="84"/>
      <c r="B37" s="76">
        <v>0.38200000000000001</v>
      </c>
      <c r="C37" s="76">
        <v>32</v>
      </c>
      <c r="D37" s="78"/>
      <c r="E37" s="77"/>
      <c r="F37" s="76">
        <f>B37*C37</f>
        <v>12.224</v>
      </c>
      <c r="G37" s="77"/>
      <c r="H37" s="77" t="s">
        <v>63</v>
      </c>
      <c r="I37" s="79">
        <f>F37*1.1</f>
        <v>13.446400000000001</v>
      </c>
      <c r="J37" s="128">
        <f>ROUNDUP(I37,2)</f>
        <v>13.45</v>
      </c>
      <c r="L37" s="80"/>
    </row>
    <row r="38" spans="1:12" ht="15">
      <c r="A38" s="84"/>
      <c r="B38" s="76"/>
      <c r="C38" s="76"/>
      <c r="D38" s="78"/>
      <c r="E38" s="77"/>
      <c r="F38" s="76"/>
      <c r="G38" s="77"/>
      <c r="H38" s="77"/>
      <c r="I38" s="79"/>
      <c r="J38" s="128"/>
      <c r="L38" s="80"/>
    </row>
    <row r="39" spans="1:12" ht="15">
      <c r="A39" s="84" t="s">
        <v>1114</v>
      </c>
      <c r="B39" s="76">
        <v>9.5419999999999998</v>
      </c>
      <c r="C39" s="76">
        <v>26</v>
      </c>
      <c r="D39" s="78"/>
      <c r="E39" s="77"/>
      <c r="F39" s="76">
        <f>B39*C39</f>
        <v>248.09199999999998</v>
      </c>
      <c r="G39" s="77"/>
      <c r="H39" s="77" t="s">
        <v>63</v>
      </c>
      <c r="I39" s="79">
        <f>F39*1.1</f>
        <v>272.90120000000002</v>
      </c>
      <c r="J39" s="128">
        <f>ROUNDUP(I39,2)</f>
        <v>272.90999999999997</v>
      </c>
      <c r="L39" s="80"/>
    </row>
    <row r="40" spans="1:12" ht="15">
      <c r="A40" s="84"/>
      <c r="B40" s="76"/>
      <c r="C40" s="76"/>
      <c r="D40" s="78"/>
      <c r="E40" s="77"/>
      <c r="F40" s="76"/>
      <c r="G40" s="77"/>
      <c r="H40" s="77"/>
      <c r="I40" s="79"/>
      <c r="J40" s="128"/>
      <c r="L40" s="80"/>
    </row>
    <row r="41" spans="1:12" ht="15">
      <c r="A41" s="84" t="s">
        <v>1115</v>
      </c>
      <c r="B41" s="76">
        <f>2.71+0.413</f>
        <v>3.1229999999999998</v>
      </c>
      <c r="C41" s="76">
        <v>31</v>
      </c>
      <c r="D41" s="78"/>
      <c r="E41" s="77"/>
      <c r="F41" s="76">
        <f>B41*C41</f>
        <v>96.812999999999988</v>
      </c>
      <c r="G41" s="77"/>
      <c r="H41" s="77" t="s">
        <v>63</v>
      </c>
      <c r="I41" s="79">
        <f>F41*1.1</f>
        <v>106.4943</v>
      </c>
      <c r="J41" s="128">
        <f>ROUNDUP(I41,2)</f>
        <v>106.5</v>
      </c>
      <c r="L41" s="80"/>
    </row>
    <row r="42" spans="1:12" ht="15">
      <c r="A42" s="84"/>
      <c r="B42" s="76"/>
      <c r="C42" s="76"/>
      <c r="D42" s="78"/>
      <c r="E42" s="77"/>
      <c r="F42" s="76"/>
      <c r="G42" s="77"/>
      <c r="H42" s="77"/>
      <c r="I42" s="79"/>
      <c r="J42" s="128"/>
      <c r="L42" s="80"/>
    </row>
    <row r="43" spans="1:12" ht="15">
      <c r="A43" s="84"/>
      <c r="B43" s="76"/>
      <c r="C43" s="76"/>
      <c r="D43" s="78"/>
      <c r="E43" s="77"/>
      <c r="F43" s="76"/>
      <c r="G43" s="77"/>
      <c r="H43" s="77"/>
      <c r="I43" s="79"/>
      <c r="J43" s="101">
        <f>+SUM(J33:J42)</f>
        <v>684.26</v>
      </c>
    </row>
    <row r="44" spans="1:12" ht="15">
      <c r="A44" s="84"/>
      <c r="B44" s="76"/>
      <c r="C44" s="76"/>
      <c r="D44" s="78"/>
      <c r="E44" s="77"/>
      <c r="F44" s="76"/>
      <c r="G44" s="77"/>
      <c r="H44" s="77"/>
      <c r="I44" s="79"/>
      <c r="J44" s="79"/>
    </row>
    <row r="45" spans="1:12" ht="15">
      <c r="A45" s="911" t="s">
        <v>956</v>
      </c>
      <c r="B45" s="912"/>
      <c r="C45" s="912"/>
      <c r="D45" s="912"/>
      <c r="E45" s="912"/>
      <c r="F45" s="913"/>
      <c r="G45" s="95"/>
      <c r="H45" s="96"/>
      <c r="I45" s="95"/>
      <c r="J45" s="95">
        <f>+J43</f>
        <v>684.26</v>
      </c>
      <c r="L45" s="80"/>
    </row>
    <row r="46" spans="1:12" ht="15">
      <c r="A46" s="84"/>
      <c r="B46" s="76"/>
      <c r="C46" s="76"/>
      <c r="D46" s="78"/>
      <c r="E46" s="77"/>
      <c r="F46" s="76"/>
      <c r="G46" s="77"/>
      <c r="H46" s="77"/>
      <c r="I46" s="79"/>
      <c r="J46" s="79"/>
      <c r="L46" s="80"/>
    </row>
    <row r="47" spans="1:12" ht="15">
      <c r="A47" s="911" t="s">
        <v>69</v>
      </c>
      <c r="B47" s="912"/>
      <c r="C47" s="912"/>
      <c r="D47" s="912"/>
      <c r="E47" s="912"/>
      <c r="F47" s="913"/>
      <c r="G47" s="97"/>
      <c r="H47" s="74"/>
      <c r="I47" s="73"/>
      <c r="J47" s="73"/>
      <c r="K47" s="80"/>
      <c r="L47" s="80"/>
    </row>
    <row r="48" spans="1:12" ht="15">
      <c r="A48" s="911" t="s">
        <v>70</v>
      </c>
      <c r="B48" s="912"/>
      <c r="C48" s="912"/>
      <c r="D48" s="912"/>
      <c r="E48" s="912"/>
      <c r="F48" s="913"/>
      <c r="G48" s="97"/>
      <c r="H48" s="74"/>
      <c r="I48" s="73"/>
      <c r="J48" s="73"/>
      <c r="K48" s="80"/>
      <c r="L48" s="80"/>
    </row>
    <row r="49" spans="1:12" ht="15">
      <c r="A49" s="911" t="s">
        <v>71</v>
      </c>
      <c r="B49" s="912"/>
      <c r="C49" s="912"/>
      <c r="D49" s="912"/>
      <c r="E49" s="912"/>
      <c r="F49" s="913"/>
      <c r="G49" s="95"/>
      <c r="H49" s="96"/>
      <c r="I49" s="95"/>
      <c r="J49" s="95"/>
      <c r="K49" s="80"/>
      <c r="L49" s="80"/>
    </row>
    <row r="50" spans="1:12" ht="15">
      <c r="A50" s="98" t="s">
        <v>1116</v>
      </c>
      <c r="B50" s="82"/>
      <c r="C50" s="99"/>
      <c r="D50" s="99"/>
      <c r="E50" s="100"/>
      <c r="F50" s="82"/>
      <c r="G50" s="100"/>
      <c r="H50" s="100"/>
      <c r="I50" s="79"/>
      <c r="J50" s="101"/>
      <c r="K50" s="80"/>
      <c r="L50" s="80"/>
    </row>
    <row r="51" spans="1:12" ht="15">
      <c r="A51" s="87" t="s">
        <v>1117</v>
      </c>
      <c r="B51" s="88">
        <v>1.0289999999999999</v>
      </c>
      <c r="C51" s="90">
        <v>35</v>
      </c>
      <c r="D51" s="90"/>
      <c r="E51" s="91"/>
      <c r="F51" s="88">
        <f>PRODUCT(B51:E51)</f>
        <v>36.015000000000001</v>
      </c>
      <c r="G51" s="102">
        <f>F51</f>
        <v>36.015000000000001</v>
      </c>
      <c r="H51" s="77" t="s">
        <v>63</v>
      </c>
      <c r="I51" s="79">
        <f>G51*1.1</f>
        <v>39.616500000000002</v>
      </c>
      <c r="J51" s="128">
        <f>I51</f>
        <v>39.616500000000002</v>
      </c>
      <c r="K51" s="80"/>
      <c r="L51" s="80"/>
    </row>
    <row r="52" spans="1:12" ht="15">
      <c r="A52" s="87" t="s">
        <v>959</v>
      </c>
      <c r="B52" s="88">
        <v>1.0289999999999999</v>
      </c>
      <c r="C52" s="90">
        <v>32</v>
      </c>
      <c r="D52" s="90"/>
      <c r="E52" s="91"/>
      <c r="F52" s="88">
        <f>PRODUCT(B52:E52)</f>
        <v>32.927999999999997</v>
      </c>
      <c r="G52" s="102">
        <f>F52</f>
        <v>32.927999999999997</v>
      </c>
      <c r="H52" s="77" t="s">
        <v>63</v>
      </c>
      <c r="I52" s="79">
        <f>G52*1.1</f>
        <v>36.220799999999997</v>
      </c>
      <c r="J52" s="128">
        <f>I52</f>
        <v>36.220799999999997</v>
      </c>
      <c r="K52" s="80"/>
      <c r="L52" s="80"/>
    </row>
    <row r="53" spans="1:12" ht="15">
      <c r="A53" s="394" t="s">
        <v>1118</v>
      </c>
      <c r="B53" s="88">
        <f>3.5*0.15</f>
        <v>0.52500000000000002</v>
      </c>
      <c r="C53" s="90">
        <f>+C51+C52</f>
        <v>67</v>
      </c>
      <c r="D53" s="90"/>
      <c r="E53" s="91"/>
      <c r="F53" s="88">
        <f>PRODUCT(B53:E53)</f>
        <v>35.175000000000004</v>
      </c>
      <c r="G53" s="102">
        <f>F53</f>
        <v>35.175000000000004</v>
      </c>
      <c r="H53" s="77" t="s">
        <v>63</v>
      </c>
      <c r="I53" s="79">
        <f>G53*1.1</f>
        <v>38.69250000000001</v>
      </c>
      <c r="J53" s="128">
        <f>I53</f>
        <v>38.69250000000001</v>
      </c>
      <c r="K53" s="80"/>
      <c r="L53" s="80"/>
    </row>
    <row r="54" spans="1:12" ht="15">
      <c r="A54" s="394"/>
      <c r="B54" s="88"/>
      <c r="C54" s="90"/>
      <c r="D54" s="90"/>
      <c r="E54" s="91"/>
      <c r="F54" s="88"/>
      <c r="G54" s="102"/>
      <c r="H54" s="77"/>
      <c r="I54" s="79"/>
      <c r="J54" s="103"/>
      <c r="K54" s="80"/>
      <c r="L54" s="80"/>
    </row>
    <row r="55" spans="1:12" ht="15">
      <c r="A55" s="394"/>
      <c r="B55" s="88"/>
      <c r="C55" s="90"/>
      <c r="D55" s="90"/>
      <c r="E55" s="91"/>
      <c r="F55" s="88"/>
      <c r="G55" s="102"/>
      <c r="H55" s="77"/>
      <c r="I55" s="79"/>
      <c r="J55" s="103"/>
      <c r="K55" s="80"/>
      <c r="L55" s="80"/>
    </row>
    <row r="56" spans="1:12" ht="15">
      <c r="A56" s="87" t="s">
        <v>1119</v>
      </c>
      <c r="B56" s="88">
        <v>1.0289999999999999</v>
      </c>
      <c r="C56" s="90">
        <v>31</v>
      </c>
      <c r="D56" s="90"/>
      <c r="E56" s="91"/>
      <c r="F56" s="88">
        <f>PRODUCT(B56:E56)</f>
        <v>31.898999999999997</v>
      </c>
      <c r="G56" s="102">
        <f>F56</f>
        <v>31.898999999999997</v>
      </c>
      <c r="H56" s="77" t="s">
        <v>63</v>
      </c>
      <c r="I56" s="79">
        <f>G56*1.1</f>
        <v>35.088900000000002</v>
      </c>
      <c r="J56" s="128">
        <f>I56</f>
        <v>35.088900000000002</v>
      </c>
      <c r="K56" s="80"/>
      <c r="L56" s="80"/>
    </row>
    <row r="57" spans="1:12" ht="15">
      <c r="A57" s="394" t="s">
        <v>1118</v>
      </c>
      <c r="B57" s="88">
        <f>3.5*0.15</f>
        <v>0.52500000000000002</v>
      </c>
      <c r="C57" s="90">
        <f>+C56</f>
        <v>31</v>
      </c>
      <c r="D57" s="90"/>
      <c r="E57" s="91"/>
      <c r="F57" s="88">
        <f>PRODUCT(B57:E57)</f>
        <v>16.275000000000002</v>
      </c>
      <c r="G57" s="102">
        <f>F57</f>
        <v>16.275000000000002</v>
      </c>
      <c r="H57" s="77" t="s">
        <v>63</v>
      </c>
      <c r="I57" s="79">
        <f>G57*1.1</f>
        <v>17.902500000000003</v>
      </c>
      <c r="J57" s="128">
        <f>I57</f>
        <v>17.902500000000003</v>
      </c>
      <c r="K57" s="80"/>
      <c r="L57" s="80"/>
    </row>
    <row r="58" spans="1:12" ht="15">
      <c r="A58" s="394"/>
      <c r="B58" s="88"/>
      <c r="C58" s="90"/>
      <c r="D58" s="90"/>
      <c r="E58" s="91"/>
      <c r="F58" s="88"/>
      <c r="G58" s="102"/>
      <c r="H58" s="77"/>
      <c r="I58" s="79"/>
      <c r="J58" s="103">
        <f>+SUM(J51:J57)</f>
        <v>167.52120000000002</v>
      </c>
      <c r="K58" s="80"/>
      <c r="L58" s="80"/>
    </row>
    <row r="59" spans="1:12" ht="15">
      <c r="A59" s="545" t="s">
        <v>1120</v>
      </c>
      <c r="B59" s="82"/>
      <c r="C59" s="99"/>
      <c r="D59" s="99"/>
      <c r="E59" s="100"/>
      <c r="F59" s="82"/>
      <c r="G59" s="100"/>
      <c r="H59" s="100"/>
      <c r="I59" s="79"/>
      <c r="J59" s="101"/>
      <c r="K59" s="80"/>
      <c r="L59" s="80"/>
    </row>
    <row r="60" spans="1:12" ht="15">
      <c r="A60" s="87"/>
      <c r="B60" s="88">
        <f>77.34+82.71</f>
        <v>160.05000000000001</v>
      </c>
      <c r="C60" s="90">
        <v>1</v>
      </c>
      <c r="D60" s="90">
        <v>1</v>
      </c>
      <c r="E60" s="91">
        <v>0.5</v>
      </c>
      <c r="F60" s="88">
        <f>PRODUCT(B60:E60)</f>
        <v>80.025000000000006</v>
      </c>
      <c r="G60" s="102">
        <f>F60</f>
        <v>80.025000000000006</v>
      </c>
      <c r="H60" s="77" t="s">
        <v>63</v>
      </c>
      <c r="I60" s="79">
        <f>G60*1.1</f>
        <v>88.027500000000018</v>
      </c>
      <c r="J60" s="128">
        <f>I60</f>
        <v>88.027500000000018</v>
      </c>
      <c r="K60" s="80"/>
      <c r="L60" s="80"/>
    </row>
    <row r="61" spans="1:12" ht="15">
      <c r="A61" s="87"/>
      <c r="B61" s="88">
        <f>77.34+82.71</f>
        <v>160.05000000000001</v>
      </c>
      <c r="C61" s="90">
        <v>0.3</v>
      </c>
      <c r="D61" s="90">
        <v>1.5</v>
      </c>
      <c r="E61" s="91">
        <v>0.5</v>
      </c>
      <c r="F61" s="88">
        <f>PRODUCT(B61:E61)</f>
        <v>36.011250000000004</v>
      </c>
      <c r="G61" s="102">
        <f>F61</f>
        <v>36.011250000000004</v>
      </c>
      <c r="H61" s="77" t="s">
        <v>63</v>
      </c>
      <c r="I61" s="79">
        <f>G61*1.1</f>
        <v>39.612375000000007</v>
      </c>
      <c r="J61" s="128">
        <f>I61</f>
        <v>39.612375000000007</v>
      </c>
      <c r="K61" s="80"/>
      <c r="L61" s="80"/>
    </row>
    <row r="62" spans="1:12" ht="15">
      <c r="A62" s="87"/>
      <c r="B62" s="88"/>
      <c r="C62" s="90"/>
      <c r="D62" s="90"/>
      <c r="E62" s="91"/>
      <c r="F62" s="88"/>
      <c r="G62" s="91"/>
      <c r="H62" s="91"/>
      <c r="I62" s="79"/>
      <c r="J62" s="103">
        <f>SUM(J60:J61)</f>
        <v>127.63987500000002</v>
      </c>
      <c r="K62" s="80"/>
      <c r="L62" s="80"/>
    </row>
    <row r="63" spans="1:12" ht="15">
      <c r="A63" s="914" t="s">
        <v>72</v>
      </c>
      <c r="B63" s="915"/>
      <c r="C63" s="915"/>
      <c r="D63" s="915"/>
      <c r="E63" s="915"/>
      <c r="F63" s="915"/>
      <c r="G63" s="915"/>
      <c r="H63" s="915"/>
      <c r="I63" s="915"/>
      <c r="J63" s="916"/>
      <c r="K63" s="80"/>
      <c r="L63" s="80"/>
    </row>
    <row r="64" spans="1:12" ht="15">
      <c r="A64" s="98" t="s">
        <v>1116</v>
      </c>
      <c r="B64" s="76"/>
      <c r="C64" s="78"/>
      <c r="D64" s="78"/>
      <c r="E64" s="77"/>
      <c r="F64" s="76"/>
      <c r="G64" s="77"/>
      <c r="H64" s="77"/>
      <c r="I64" s="79"/>
      <c r="J64" s="79"/>
      <c r="K64" s="80"/>
      <c r="L64" s="80"/>
    </row>
    <row r="65" spans="1:12" ht="15">
      <c r="A65" s="87" t="s">
        <v>1117</v>
      </c>
      <c r="B65" s="88">
        <v>0.63</v>
      </c>
      <c r="C65" s="78">
        <v>35</v>
      </c>
      <c r="D65" s="78"/>
      <c r="E65" s="77"/>
      <c r="F65" s="88">
        <f>PRODUCT(B65:E65)</f>
        <v>22.05</v>
      </c>
      <c r="G65" s="102">
        <f>F65</f>
        <v>22.05</v>
      </c>
      <c r="H65" s="77" t="s">
        <v>63</v>
      </c>
      <c r="I65" s="79">
        <f>G65*1.1</f>
        <v>24.255000000000003</v>
      </c>
      <c r="J65" s="128">
        <f>I65</f>
        <v>24.255000000000003</v>
      </c>
      <c r="K65" s="80"/>
      <c r="L65" s="80"/>
    </row>
    <row r="66" spans="1:12" ht="15">
      <c r="A66" s="87" t="s">
        <v>959</v>
      </c>
      <c r="B66" s="88">
        <v>0.38200000000000001</v>
      </c>
      <c r="C66" s="78">
        <v>32</v>
      </c>
      <c r="D66" s="78"/>
      <c r="E66" s="77"/>
      <c r="F66" s="88">
        <f>PRODUCT(B66:E66)</f>
        <v>12.224</v>
      </c>
      <c r="G66" s="102">
        <f>F66</f>
        <v>12.224</v>
      </c>
      <c r="H66" s="77" t="s">
        <v>63</v>
      </c>
      <c r="I66" s="79">
        <f>G66*1.1</f>
        <v>13.446400000000001</v>
      </c>
      <c r="J66" s="128">
        <f>I66</f>
        <v>13.446400000000001</v>
      </c>
      <c r="K66" s="80"/>
      <c r="L66" s="80"/>
    </row>
    <row r="67" spans="1:12" ht="15">
      <c r="A67" s="87" t="s">
        <v>1121</v>
      </c>
      <c r="B67" s="88">
        <v>0.41299999999999998</v>
      </c>
      <c r="C67" s="78">
        <v>31</v>
      </c>
      <c r="D67" s="78"/>
      <c r="E67" s="77"/>
      <c r="F67" s="88">
        <f>PRODUCT(B67:E67)</f>
        <v>12.802999999999999</v>
      </c>
      <c r="G67" s="102">
        <f>F67</f>
        <v>12.802999999999999</v>
      </c>
      <c r="H67" s="77" t="s">
        <v>63</v>
      </c>
      <c r="I67" s="79">
        <f>G67*1.1</f>
        <v>14.083299999999999</v>
      </c>
      <c r="J67" s="128">
        <f>I67</f>
        <v>14.083299999999999</v>
      </c>
      <c r="K67" s="80"/>
      <c r="L67" s="80"/>
    </row>
    <row r="68" spans="1:12" ht="15">
      <c r="A68" s="84"/>
      <c r="B68" s="76"/>
      <c r="C68" s="78"/>
      <c r="D68" s="78"/>
      <c r="E68" s="77"/>
      <c r="F68" s="88"/>
      <c r="G68" s="91"/>
      <c r="H68" s="91"/>
      <c r="I68" s="79"/>
      <c r="J68" s="103">
        <f>SUM(J65:J67)</f>
        <v>51.784700000000008</v>
      </c>
      <c r="K68" s="80"/>
      <c r="L68" s="80"/>
    </row>
    <row r="69" spans="1:12" ht="15">
      <c r="A69" s="84"/>
      <c r="B69" s="76"/>
      <c r="C69" s="78"/>
      <c r="D69" s="78"/>
      <c r="E69" s="77"/>
      <c r="F69" s="76"/>
      <c r="G69" s="77"/>
      <c r="H69" s="77"/>
      <c r="I69" s="79"/>
      <c r="J69" s="79"/>
      <c r="K69" s="80"/>
      <c r="L69" s="80"/>
    </row>
    <row r="70" spans="1:12" ht="15">
      <c r="A70" s="914" t="s">
        <v>965</v>
      </c>
      <c r="B70" s="915"/>
      <c r="C70" s="915"/>
      <c r="D70" s="915"/>
      <c r="E70" s="915"/>
      <c r="F70" s="915"/>
      <c r="G70" s="915"/>
      <c r="H70" s="915"/>
      <c r="I70" s="915"/>
      <c r="J70" s="916"/>
      <c r="K70" s="80"/>
      <c r="L70" s="80"/>
    </row>
    <row r="71" spans="1:12" ht="15">
      <c r="A71" s="84"/>
      <c r="B71" s="76"/>
      <c r="C71" s="78"/>
      <c r="D71" s="78"/>
      <c r="E71" s="77"/>
      <c r="F71" s="76"/>
      <c r="G71" s="77"/>
      <c r="H71" s="77"/>
      <c r="I71" s="79"/>
      <c r="J71" s="79">
        <f>+J54+J62+Drains112!H125-'Bill 7.2'!H11</f>
        <v>714.84392500000001</v>
      </c>
      <c r="K71" s="80"/>
      <c r="L71" s="80"/>
    </row>
    <row r="72" spans="1:12" ht="15">
      <c r="A72" s="899"/>
      <c r="B72" s="900"/>
      <c r="C72" s="900"/>
      <c r="D72" s="900"/>
      <c r="E72" s="900"/>
      <c r="F72" s="900"/>
      <c r="G72" s="900"/>
      <c r="H72" s="900"/>
      <c r="I72" s="900"/>
      <c r="J72" s="901"/>
      <c r="L72" s="80"/>
    </row>
    <row r="73" spans="1:12" ht="15">
      <c r="A73" s="917" t="s">
        <v>73</v>
      </c>
      <c r="B73" s="918"/>
      <c r="C73" s="918"/>
      <c r="D73" s="918"/>
      <c r="E73" s="918"/>
      <c r="F73" s="918"/>
      <c r="G73" s="918"/>
      <c r="H73" s="918"/>
      <c r="I73" s="918"/>
      <c r="J73" s="919"/>
      <c r="L73" s="80"/>
    </row>
    <row r="74" spans="1:12" ht="15">
      <c r="A74" s="75"/>
      <c r="B74" s="82"/>
      <c r="C74" s="99"/>
      <c r="D74" s="104"/>
      <c r="E74" s="105"/>
      <c r="F74" s="82"/>
      <c r="G74" s="106"/>
      <c r="H74" s="100"/>
      <c r="I74" s="79"/>
      <c r="J74" s="101"/>
      <c r="L74" s="107"/>
    </row>
    <row r="75" spans="1:12" s="71" customFormat="1" ht="30" customHeight="1">
      <c r="A75" s="87"/>
      <c r="B75" s="108"/>
      <c r="C75" s="109"/>
      <c r="D75" s="104"/>
      <c r="E75" s="105"/>
      <c r="F75" s="110"/>
      <c r="G75" s="111"/>
      <c r="H75" s="77"/>
      <c r="I75" s="112"/>
      <c r="J75" s="112"/>
    </row>
    <row r="76" spans="1:12" ht="15">
      <c r="A76" s="920" t="s">
        <v>75</v>
      </c>
      <c r="B76" s="921"/>
      <c r="C76" s="921"/>
      <c r="D76" s="921"/>
      <c r="E76" s="921"/>
      <c r="F76" s="922"/>
      <c r="G76" s="73"/>
      <c r="H76" s="74"/>
      <c r="I76" s="73"/>
      <c r="J76" s="73"/>
    </row>
    <row r="77" spans="1:12" ht="15">
      <c r="A77" s="917" t="s">
        <v>1122</v>
      </c>
      <c r="B77" s="918"/>
      <c r="C77" s="918"/>
      <c r="D77" s="918"/>
      <c r="E77" s="918"/>
      <c r="F77" s="918"/>
      <c r="G77" s="918"/>
      <c r="H77" s="918"/>
      <c r="I77" s="918"/>
      <c r="J77" s="919"/>
      <c r="L77" s="80"/>
    </row>
    <row r="78" spans="1:12" ht="15">
      <c r="A78" s="98"/>
      <c r="B78" s="76"/>
      <c r="C78" s="78"/>
      <c r="D78" s="78"/>
      <c r="E78" s="77"/>
      <c r="F78" s="76"/>
      <c r="G78" s="77"/>
      <c r="H78" s="77"/>
      <c r="I78" s="79"/>
      <c r="J78" s="79"/>
      <c r="L78" s="80"/>
    </row>
    <row r="79" spans="1:12" ht="15">
      <c r="A79" s="87" t="s">
        <v>1123</v>
      </c>
      <c r="B79" s="421">
        <v>0.76800000000000002</v>
      </c>
      <c r="C79" s="78">
        <f>+C51+C52+C56</f>
        <v>98</v>
      </c>
      <c r="D79" s="78"/>
      <c r="E79" s="77"/>
      <c r="F79" s="88">
        <f>PRODUCT(B79:E79)</f>
        <v>75.263999999999996</v>
      </c>
      <c r="G79" s="102">
        <f>F79</f>
        <v>75.263999999999996</v>
      </c>
      <c r="H79" s="77" t="s">
        <v>63</v>
      </c>
      <c r="I79" s="79">
        <f>G79*1.1</f>
        <v>82.790400000000005</v>
      </c>
      <c r="J79" s="103">
        <f>I79</f>
        <v>82.790400000000005</v>
      </c>
      <c r="L79" s="80"/>
    </row>
    <row r="80" spans="1:12" ht="15">
      <c r="A80" s="87" t="s">
        <v>1124</v>
      </c>
      <c r="B80" s="421">
        <v>0.20799999999999999</v>
      </c>
      <c r="C80" s="78">
        <f>+C79</f>
        <v>98</v>
      </c>
      <c r="D80" s="78"/>
      <c r="E80" s="77"/>
      <c r="F80" s="88">
        <f>PRODUCT(B80:E80)</f>
        <v>20.384</v>
      </c>
      <c r="G80" s="102">
        <f>F80</f>
        <v>20.384</v>
      </c>
      <c r="H80" s="77" t="s">
        <v>63</v>
      </c>
      <c r="I80" s="79">
        <f>G80*1.1</f>
        <v>22.422400000000003</v>
      </c>
      <c r="J80" s="103">
        <f>I80</f>
        <v>22.422400000000003</v>
      </c>
      <c r="L80" s="80"/>
    </row>
    <row r="81" spans="1:12" ht="15">
      <c r="A81" s="87" t="s">
        <v>77</v>
      </c>
      <c r="B81" s="421">
        <v>2.3069999999999999</v>
      </c>
      <c r="C81" s="78">
        <f>+C79</f>
        <v>98</v>
      </c>
      <c r="D81" s="78"/>
      <c r="E81" s="77"/>
      <c r="F81" s="88">
        <f>PRODUCT(B81:E81)</f>
        <v>226.08599999999998</v>
      </c>
      <c r="G81" s="102">
        <f>F81</f>
        <v>226.08599999999998</v>
      </c>
      <c r="H81" s="77" t="s">
        <v>63</v>
      </c>
      <c r="I81" s="79">
        <f>G81*1.1</f>
        <v>248.69460000000001</v>
      </c>
      <c r="J81" s="103">
        <f>I81</f>
        <v>248.69460000000001</v>
      </c>
      <c r="L81" s="80"/>
    </row>
    <row r="82" spans="1:12" ht="15">
      <c r="A82" s="87" t="s">
        <v>1125</v>
      </c>
      <c r="B82" s="421">
        <v>0.4</v>
      </c>
      <c r="C82" s="78"/>
      <c r="D82" s="78"/>
      <c r="E82" s="77">
        <f>+(C79/0.5)*3</f>
        <v>588</v>
      </c>
      <c r="F82" s="88">
        <f>PRODUCT(B82:E82)</f>
        <v>235.20000000000002</v>
      </c>
      <c r="G82" s="102">
        <f>F82</f>
        <v>235.20000000000002</v>
      </c>
      <c r="H82" s="77" t="s">
        <v>63</v>
      </c>
      <c r="I82" s="79">
        <f>G82*1.1</f>
        <v>258.72000000000003</v>
      </c>
      <c r="J82" s="103">
        <f>I82</f>
        <v>258.72000000000003</v>
      </c>
      <c r="L82" s="80"/>
    </row>
    <row r="83" spans="1:12" ht="15">
      <c r="A83" s="87"/>
      <c r="B83" s="421"/>
      <c r="C83" s="78"/>
      <c r="D83" s="78"/>
      <c r="E83" s="77"/>
      <c r="F83" s="421"/>
      <c r="G83" s="102"/>
      <c r="H83" s="77"/>
      <c r="I83" s="79"/>
      <c r="J83" s="79"/>
      <c r="L83" s="80"/>
    </row>
    <row r="84" spans="1:12" ht="15">
      <c r="A84" s="917" t="s">
        <v>1088</v>
      </c>
      <c r="B84" s="918"/>
      <c r="C84" s="918"/>
      <c r="D84" s="918"/>
      <c r="E84" s="918"/>
      <c r="F84" s="918"/>
      <c r="G84" s="918"/>
      <c r="H84" s="918"/>
      <c r="I84" s="918"/>
      <c r="J84" s="919"/>
      <c r="L84" s="80"/>
    </row>
    <row r="85" spans="1:12" ht="15">
      <c r="A85" s="98"/>
      <c r="B85" s="76"/>
      <c r="C85" s="78"/>
      <c r="D85" s="78"/>
      <c r="E85" s="77"/>
      <c r="F85" s="76"/>
      <c r="G85" s="77"/>
      <c r="H85" s="77"/>
      <c r="I85" s="79"/>
      <c r="J85" s="79"/>
      <c r="L85" s="80"/>
    </row>
    <row r="86" spans="1:12" ht="15">
      <c r="A86" s="87" t="s">
        <v>1126</v>
      </c>
      <c r="B86" s="421">
        <v>64.5</v>
      </c>
      <c r="C86" s="78">
        <f>2*(1*1+1.5*0.3)</f>
        <v>2.9</v>
      </c>
      <c r="D86" s="78"/>
      <c r="E86" s="77"/>
      <c r="F86" s="88">
        <f>PRODUCT(B86:E86)</f>
        <v>187.04999999999998</v>
      </c>
      <c r="G86" s="102">
        <f>F86</f>
        <v>187.04999999999998</v>
      </c>
      <c r="H86" s="77" t="s">
        <v>63</v>
      </c>
      <c r="I86" s="79">
        <f>G86*1.1</f>
        <v>205.755</v>
      </c>
      <c r="J86" s="103">
        <f>I86</f>
        <v>205.755</v>
      </c>
      <c r="L86" s="80"/>
    </row>
    <row r="87" spans="1:12" ht="15">
      <c r="A87" s="87"/>
      <c r="B87" s="421"/>
      <c r="C87" s="78"/>
      <c r="D87" s="78"/>
      <c r="E87" s="77"/>
      <c r="F87" s="421"/>
      <c r="G87" s="102"/>
      <c r="H87" s="77"/>
      <c r="I87" s="79"/>
      <c r="J87" s="79"/>
      <c r="L87" s="80"/>
    </row>
    <row r="88" spans="1:12" ht="15">
      <c r="A88" s="87"/>
      <c r="B88" s="421"/>
      <c r="C88" s="78"/>
      <c r="D88" s="78"/>
      <c r="E88" s="77"/>
      <c r="F88" s="421"/>
      <c r="G88" s="102"/>
      <c r="H88" s="77"/>
      <c r="I88" s="79"/>
      <c r="J88" s="79"/>
      <c r="L88" s="80"/>
    </row>
    <row r="89" spans="1:12" ht="15">
      <c r="A89" s="917" t="s">
        <v>1062</v>
      </c>
      <c r="B89" s="918"/>
      <c r="C89" s="918"/>
      <c r="D89" s="918"/>
      <c r="E89" s="918"/>
      <c r="F89" s="918"/>
      <c r="G89" s="918"/>
      <c r="H89" s="918"/>
      <c r="I89" s="918"/>
      <c r="J89" s="919"/>
      <c r="L89" s="80"/>
    </row>
    <row r="90" spans="1:12" ht="15">
      <c r="A90" s="98"/>
      <c r="B90" s="76"/>
      <c r="C90" s="78"/>
      <c r="D90" s="78"/>
      <c r="E90" s="77"/>
      <c r="F90" s="76"/>
      <c r="G90" s="77"/>
      <c r="H90" s="77"/>
      <c r="I90" s="79"/>
      <c r="J90" s="79"/>
      <c r="L90" s="80"/>
    </row>
    <row r="91" spans="1:12" ht="15">
      <c r="A91" s="87" t="s">
        <v>1127</v>
      </c>
      <c r="B91" s="421">
        <v>0.41299999999999998</v>
      </c>
      <c r="C91" s="78">
        <f>+C51+C52+C56</f>
        <v>98</v>
      </c>
      <c r="D91" s="78"/>
      <c r="E91" s="77"/>
      <c r="F91" s="88">
        <f>PRODUCT(B91:E91)</f>
        <v>40.473999999999997</v>
      </c>
      <c r="G91" s="102">
        <f>F91</f>
        <v>40.473999999999997</v>
      </c>
      <c r="H91" s="77" t="s">
        <v>63</v>
      </c>
      <c r="I91" s="79">
        <f>G91*1.1</f>
        <v>44.5214</v>
      </c>
      <c r="J91" s="103">
        <f>I91</f>
        <v>44.5214</v>
      </c>
      <c r="L91" s="80"/>
    </row>
    <row r="92" spans="1:12" ht="15">
      <c r="A92" s="87" t="s">
        <v>968</v>
      </c>
      <c r="B92" s="421">
        <v>0.15</v>
      </c>
      <c r="C92" s="78">
        <f>+C91</f>
        <v>98</v>
      </c>
      <c r="D92" s="78"/>
      <c r="E92" s="77">
        <v>2</v>
      </c>
      <c r="F92" s="88">
        <f>PRODUCT(B92:E92)</f>
        <v>29.4</v>
      </c>
      <c r="G92" s="102">
        <f>F92</f>
        <v>29.4</v>
      </c>
      <c r="H92" s="77" t="s">
        <v>63</v>
      </c>
      <c r="I92" s="79">
        <f>G92*1.1</f>
        <v>32.340000000000003</v>
      </c>
      <c r="J92" s="103">
        <f>I92</f>
        <v>32.340000000000003</v>
      </c>
      <c r="L92" s="80"/>
    </row>
    <row r="93" spans="1:12" ht="15">
      <c r="A93" s="87"/>
      <c r="B93" s="421"/>
      <c r="C93" s="78"/>
      <c r="D93" s="78"/>
      <c r="E93" s="77"/>
      <c r="F93" s="421"/>
      <c r="G93" s="102"/>
      <c r="H93" s="77"/>
      <c r="I93" s="79"/>
      <c r="J93" s="79"/>
      <c r="L93" s="80"/>
    </row>
    <row r="94" spans="1:12" ht="15">
      <c r="A94" s="923" t="s">
        <v>85</v>
      </c>
      <c r="B94" s="924"/>
      <c r="C94" s="924"/>
      <c r="D94" s="924"/>
      <c r="E94" s="924"/>
      <c r="F94" s="924"/>
      <c r="G94" s="924"/>
      <c r="H94" s="924"/>
      <c r="I94" s="924"/>
      <c r="J94" s="925"/>
      <c r="L94" s="80"/>
    </row>
    <row r="95" spans="1:12" ht="15">
      <c r="A95" s="371"/>
      <c r="B95" s="82"/>
      <c r="C95" s="91"/>
      <c r="D95" s="78"/>
      <c r="E95" s="77"/>
      <c r="F95" s="76"/>
      <c r="G95" s="77"/>
      <c r="H95" s="77"/>
      <c r="I95" s="79"/>
      <c r="J95" s="103"/>
      <c r="L95" s="80"/>
    </row>
    <row r="96" spans="1:12" ht="15">
      <c r="A96" s="371" t="s">
        <v>88</v>
      </c>
      <c r="B96" s="88"/>
      <c r="C96" s="91"/>
      <c r="D96" s="90"/>
      <c r="E96" s="91"/>
      <c r="F96" s="82"/>
      <c r="G96" s="91"/>
      <c r="H96" s="91"/>
      <c r="I96" s="79"/>
      <c r="J96" s="79"/>
      <c r="L96" s="80"/>
    </row>
    <row r="97" spans="1:12" ht="15">
      <c r="A97" s="84"/>
      <c r="B97" s="88"/>
      <c r="C97" s="91"/>
      <c r="D97" s="90"/>
      <c r="E97" s="91"/>
      <c r="F97" s="88"/>
      <c r="G97" s="91"/>
      <c r="H97" s="129"/>
      <c r="I97" s="79"/>
      <c r="J97" s="79"/>
      <c r="L97" s="80"/>
    </row>
    <row r="98" spans="1:12" ht="15">
      <c r="A98" s="84" t="s">
        <v>89</v>
      </c>
      <c r="B98" s="88"/>
      <c r="C98" s="91"/>
      <c r="D98" s="90"/>
      <c r="E98" s="91"/>
      <c r="F98" s="88"/>
      <c r="G98" s="91"/>
      <c r="H98" s="129"/>
      <c r="I98" s="79"/>
      <c r="J98" s="79"/>
      <c r="L98" s="80"/>
    </row>
    <row r="99" spans="1:12" ht="15">
      <c r="A99" s="84" t="s">
        <v>962</v>
      </c>
      <c r="B99" s="82">
        <v>11.54</v>
      </c>
      <c r="C99" s="82">
        <v>26</v>
      </c>
      <c r="D99" s="78"/>
      <c r="E99" s="77"/>
      <c r="F99" s="76">
        <f>B99*C99</f>
        <v>300.03999999999996</v>
      </c>
      <c r="G99" s="77"/>
      <c r="H99" s="77" t="s">
        <v>63</v>
      </c>
      <c r="I99" s="79">
        <f>F99*1.1</f>
        <v>330.04399999999998</v>
      </c>
      <c r="J99" s="128">
        <f>ROUNDUP(I99,2)</f>
        <v>330.05</v>
      </c>
      <c r="L99" s="80"/>
    </row>
    <row r="100" spans="1:12" ht="15">
      <c r="A100" s="84"/>
      <c r="B100" s="88"/>
      <c r="C100" s="91"/>
      <c r="D100" s="90"/>
      <c r="E100" s="91"/>
      <c r="F100" s="88"/>
      <c r="G100" s="91"/>
      <c r="H100" s="77"/>
      <c r="I100" s="79"/>
      <c r="J100" s="79"/>
      <c r="L100" s="80"/>
    </row>
    <row r="101" spans="1:12" ht="15">
      <c r="A101" s="84"/>
      <c r="B101" s="88"/>
      <c r="C101" s="91"/>
      <c r="D101" s="90"/>
      <c r="E101" s="91"/>
      <c r="F101" s="88"/>
      <c r="G101" s="91"/>
      <c r="H101" s="77"/>
      <c r="I101" s="79"/>
      <c r="J101" s="79"/>
      <c r="L101" s="80"/>
    </row>
    <row r="102" spans="1:12" ht="15">
      <c r="A102" s="546"/>
      <c r="B102" s="547"/>
      <c r="C102" s="548"/>
      <c r="D102" s="488"/>
      <c r="E102" s="548"/>
      <c r="F102" s="549"/>
      <c r="G102" s="129"/>
      <c r="H102" s="129"/>
      <c r="I102" s="395"/>
      <c r="J102" s="550"/>
      <c r="L102" s="80"/>
    </row>
    <row r="103" spans="1:12" ht="15">
      <c r="A103" s="920" t="s">
        <v>483</v>
      </c>
      <c r="B103" s="921"/>
      <c r="C103" s="921"/>
      <c r="D103" s="921"/>
      <c r="E103" s="921"/>
      <c r="F103" s="922"/>
      <c r="G103" s="73"/>
      <c r="H103" s="74"/>
      <c r="I103" s="73"/>
      <c r="J103" s="73"/>
      <c r="L103" s="80"/>
    </row>
    <row r="104" spans="1:12" ht="15">
      <c r="A104" s="551" t="s">
        <v>484</v>
      </c>
      <c r="B104" s="89">
        <v>20</v>
      </c>
      <c r="C104" s="90"/>
      <c r="D104" s="136"/>
      <c r="E104" s="91">
        <v>13</v>
      </c>
      <c r="F104" s="82">
        <f>B104*E104</f>
        <v>260</v>
      </c>
      <c r="G104" s="92"/>
      <c r="H104" s="100" t="s">
        <v>5</v>
      </c>
      <c r="I104" s="92"/>
      <c r="J104" s="373">
        <f>F104</f>
        <v>260</v>
      </c>
      <c r="L104" s="80"/>
    </row>
    <row r="105" spans="1:12" ht="15">
      <c r="A105" s="135"/>
      <c r="B105" s="89">
        <v>30</v>
      </c>
      <c r="C105" s="90"/>
      <c r="D105" s="136"/>
      <c r="E105" s="91">
        <v>10</v>
      </c>
      <c r="F105" s="82">
        <f>B105*E105</f>
        <v>300</v>
      </c>
      <c r="G105" s="92"/>
      <c r="H105" s="100" t="s">
        <v>5</v>
      </c>
      <c r="I105" s="92"/>
      <c r="J105" s="373">
        <f>F105</f>
        <v>300</v>
      </c>
    </row>
    <row r="106" spans="1:12" ht="15">
      <c r="A106" s="135"/>
      <c r="B106" s="89"/>
      <c r="C106" s="90"/>
      <c r="D106" s="136"/>
      <c r="E106" s="91"/>
      <c r="F106" s="88"/>
      <c r="G106" s="102"/>
      <c r="H106" s="91"/>
      <c r="I106" s="102"/>
      <c r="J106" s="138">
        <f>SUM(J104:J105)</f>
        <v>560</v>
      </c>
    </row>
    <row r="107" spans="1:12" ht="15">
      <c r="A107" s="87"/>
      <c r="B107" s="89"/>
      <c r="C107" s="90"/>
      <c r="D107" s="136"/>
      <c r="E107" s="91"/>
      <c r="F107" s="88"/>
      <c r="G107" s="102"/>
      <c r="H107" s="91"/>
      <c r="I107" s="102"/>
      <c r="J107" s="102"/>
    </row>
    <row r="109" spans="1:12" ht="15">
      <c r="A109" s="899" t="s">
        <v>1111</v>
      </c>
      <c r="B109" s="900"/>
      <c r="C109" s="900"/>
      <c r="D109" s="900"/>
      <c r="E109" s="900"/>
      <c r="F109" s="900"/>
      <c r="G109" s="900"/>
      <c r="H109" s="900"/>
      <c r="I109" s="900"/>
      <c r="J109" s="901"/>
    </row>
    <row r="110" spans="1:12" ht="15">
      <c r="A110" s="84"/>
      <c r="B110" s="88"/>
      <c r="C110" s="91"/>
      <c r="D110" s="88"/>
      <c r="E110" s="91"/>
      <c r="F110" s="88"/>
      <c r="G110" s="102"/>
      <c r="H110" s="91"/>
      <c r="I110" s="102"/>
      <c r="J110" s="150"/>
    </row>
    <row r="111" spans="1:12" ht="15">
      <c r="A111" s="84" t="s">
        <v>1128</v>
      </c>
      <c r="B111" s="88">
        <v>33.340000000000003</v>
      </c>
      <c r="C111" s="552">
        <v>1</v>
      </c>
      <c r="D111" s="552">
        <v>1.5</v>
      </c>
      <c r="E111" s="91"/>
      <c r="F111" s="88">
        <f>PRODUCT(B111:E111)</f>
        <v>50.010000000000005</v>
      </c>
      <c r="G111" s="102">
        <f>F111</f>
        <v>50.010000000000005</v>
      </c>
      <c r="H111" s="91" t="s">
        <v>63</v>
      </c>
      <c r="I111" s="102">
        <f>G111*1.2</f>
        <v>60.012</v>
      </c>
      <c r="J111" s="138">
        <f>I111</f>
        <v>60.012</v>
      </c>
    </row>
    <row r="112" spans="1:12" ht="15">
      <c r="A112" s="84"/>
      <c r="B112" s="88"/>
      <c r="C112" s="91"/>
      <c r="D112" s="88"/>
      <c r="E112" s="91"/>
      <c r="F112" s="88"/>
      <c r="G112" s="102"/>
      <c r="H112" s="91"/>
      <c r="I112" s="102"/>
      <c r="J112" s="150"/>
    </row>
    <row r="113" spans="1:10" ht="15">
      <c r="A113" s="84"/>
      <c r="B113" s="123"/>
      <c r="C113" s="121"/>
      <c r="D113" s="123"/>
      <c r="E113" s="121"/>
      <c r="F113" s="123"/>
      <c r="G113" s="124"/>
      <c r="H113" s="121"/>
      <c r="I113" s="124"/>
      <c r="J113" s="124"/>
    </row>
  </sheetData>
  <mergeCells count="22">
    <mergeCell ref="A89:J89"/>
    <mergeCell ref="A94:J94"/>
    <mergeCell ref="A103:F103"/>
    <mergeCell ref="A109:J109"/>
    <mergeCell ref="A70:J70"/>
    <mergeCell ref="A72:J72"/>
    <mergeCell ref="A73:J73"/>
    <mergeCell ref="A76:F76"/>
    <mergeCell ref="A77:J77"/>
    <mergeCell ref="A84:J84"/>
    <mergeCell ref="A63:J63"/>
    <mergeCell ref="A1:J1"/>
    <mergeCell ref="A3:J3"/>
    <mergeCell ref="A4:F4"/>
    <mergeCell ref="A28:J28"/>
    <mergeCell ref="A29:F29"/>
    <mergeCell ref="A30:F30"/>
    <mergeCell ref="A31:F31"/>
    <mergeCell ref="A45:F45"/>
    <mergeCell ref="A47:F47"/>
    <mergeCell ref="A48:F48"/>
    <mergeCell ref="A49:F49"/>
  </mergeCells>
  <pageMargins left="0.7" right="0.7" top="0.75" bottom="0.75" header="0.3" footer="0.3"/>
  <pageSetup paperSize="9" scale="63" orientation="portrait" r:id="rId1"/>
  <rowBreaks count="1" manualBreakCount="1">
    <brk id="74" max="16383" man="1"/>
  </rowBreaks>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EE15-9642-4D8B-B7F7-70D98A00E3E8}">
  <dimension ref="B3:W125"/>
  <sheetViews>
    <sheetView zoomScale="70" zoomScaleNormal="70" workbookViewId="0">
      <pane ySplit="4" topLeftCell="A106" activePane="bottomLeft" state="frozen"/>
      <selection activeCell="A2" sqref="A2:F2"/>
      <selection pane="bottomLeft" activeCell="A2" sqref="A2:F2"/>
    </sheetView>
  </sheetViews>
  <sheetFormatPr defaultRowHeight="14.4"/>
  <cols>
    <col min="1" max="1" width="3.88671875" customWidth="1"/>
    <col min="2" max="2" width="20.44140625" customWidth="1"/>
    <col min="3" max="3" width="17.109375" customWidth="1"/>
    <col min="4" max="6" width="14.44140625" customWidth="1"/>
    <col min="7" max="7" width="19.5546875" customWidth="1"/>
    <col min="8" max="10" width="14.44140625" customWidth="1"/>
    <col min="11" max="11" width="19.88671875" customWidth="1"/>
    <col min="12" max="12" width="12.109375" customWidth="1"/>
    <col min="13" max="13" width="14" customWidth="1"/>
    <col min="18" max="18" width="11.88671875" customWidth="1"/>
    <col min="19" max="19" width="15.109375" customWidth="1"/>
  </cols>
  <sheetData>
    <row r="3" spans="2:23">
      <c r="B3" s="493" t="s">
        <v>95</v>
      </c>
      <c r="C3" s="493" t="s">
        <v>96</v>
      </c>
      <c r="D3" s="493" t="s">
        <v>97</v>
      </c>
      <c r="E3" s="493" t="s">
        <v>98</v>
      </c>
      <c r="F3" s="493" t="s">
        <v>99</v>
      </c>
      <c r="G3" s="493"/>
      <c r="H3" s="973" t="s">
        <v>100</v>
      </c>
      <c r="I3" s="973"/>
      <c r="J3" s="973"/>
      <c r="K3" s="493" t="s">
        <v>101</v>
      </c>
      <c r="L3" s="494" t="s">
        <v>102</v>
      </c>
      <c r="M3" s="495"/>
    </row>
    <row r="4" spans="2:23">
      <c r="B4" s="496"/>
      <c r="C4" s="496"/>
      <c r="D4" s="496"/>
      <c r="E4" s="496"/>
      <c r="F4" s="497" t="s">
        <v>98</v>
      </c>
      <c r="G4" s="497" t="s">
        <v>103</v>
      </c>
      <c r="H4" s="497" t="s">
        <v>104</v>
      </c>
      <c r="I4" s="497" t="s">
        <v>103</v>
      </c>
      <c r="J4" s="497" t="s">
        <v>105</v>
      </c>
      <c r="K4" s="497" t="s">
        <v>106</v>
      </c>
      <c r="L4" s="498" t="s">
        <v>107</v>
      </c>
      <c r="M4" s="498" t="s">
        <v>108</v>
      </c>
    </row>
    <row r="5" spans="2:23">
      <c r="B5" s="499"/>
      <c r="C5" s="499"/>
      <c r="D5" s="499"/>
      <c r="E5" s="499"/>
      <c r="F5" s="500"/>
      <c r="G5" s="500"/>
      <c r="H5" s="500"/>
      <c r="I5" s="500"/>
      <c r="J5" s="500"/>
      <c r="K5" s="501"/>
      <c r="L5" s="501"/>
      <c r="M5" s="501"/>
    </row>
    <row r="6" spans="2:23" ht="18">
      <c r="B6" s="501" t="s">
        <v>109</v>
      </c>
      <c r="C6" s="502">
        <v>0.3</v>
      </c>
      <c r="D6" s="502">
        <v>0.3</v>
      </c>
      <c r="E6" s="502">
        <v>0.1</v>
      </c>
      <c r="F6" s="502">
        <v>0.05</v>
      </c>
      <c r="G6" s="502">
        <v>10</v>
      </c>
      <c r="H6" s="503">
        <v>0.2</v>
      </c>
      <c r="I6" s="503">
        <v>10</v>
      </c>
      <c r="J6" s="503">
        <v>0.25</v>
      </c>
      <c r="K6" s="503">
        <v>3</v>
      </c>
      <c r="L6" s="501"/>
      <c r="M6" s="501"/>
      <c r="T6" s="974" t="s">
        <v>110</v>
      </c>
      <c r="U6" s="974"/>
    </row>
    <row r="7" spans="2:23">
      <c r="B7" s="501"/>
      <c r="C7" s="502"/>
      <c r="D7" s="502"/>
      <c r="E7" s="502"/>
      <c r="F7" s="502"/>
      <c r="G7" s="502"/>
      <c r="H7" s="501"/>
      <c r="I7" s="501"/>
      <c r="J7" s="501"/>
      <c r="K7" s="502"/>
      <c r="L7" s="501"/>
      <c r="M7" s="501"/>
      <c r="S7" s="504"/>
      <c r="V7" s="504"/>
      <c r="W7" s="975" t="s">
        <v>6</v>
      </c>
    </row>
    <row r="8" spans="2:23">
      <c r="B8" s="501"/>
      <c r="C8" s="502"/>
      <c r="D8" s="502"/>
      <c r="E8" s="502"/>
      <c r="F8" s="502"/>
      <c r="G8" s="502"/>
      <c r="H8" s="501"/>
      <c r="I8" s="501"/>
      <c r="J8" s="501"/>
      <c r="K8" s="502"/>
      <c r="L8" s="501"/>
      <c r="M8" s="501"/>
      <c r="S8" s="504"/>
      <c r="V8" s="504"/>
      <c r="W8" s="975"/>
    </row>
    <row r="9" spans="2:23">
      <c r="B9" s="501" t="s">
        <v>111</v>
      </c>
      <c r="C9" s="502">
        <v>0.45</v>
      </c>
      <c r="D9" s="502">
        <v>0.45</v>
      </c>
      <c r="E9" s="502">
        <v>0.1</v>
      </c>
      <c r="F9" s="502">
        <v>0.05</v>
      </c>
      <c r="G9" s="502">
        <v>10</v>
      </c>
      <c r="H9" s="503">
        <v>0.2</v>
      </c>
      <c r="I9" s="503">
        <v>10</v>
      </c>
      <c r="J9" s="503">
        <v>0.25</v>
      </c>
      <c r="K9" s="503">
        <v>3</v>
      </c>
      <c r="L9" s="501"/>
      <c r="M9" s="501"/>
      <c r="S9" s="504"/>
      <c r="V9" s="504"/>
      <c r="W9" s="975"/>
    </row>
    <row r="10" spans="2:23">
      <c r="B10" s="501"/>
      <c r="C10" s="502"/>
      <c r="D10" s="502"/>
      <c r="E10" s="502"/>
      <c r="F10" s="502"/>
      <c r="G10" s="502"/>
      <c r="H10" s="503"/>
      <c r="I10" s="503"/>
      <c r="J10" s="503"/>
      <c r="K10" s="503"/>
      <c r="L10" s="501"/>
      <c r="M10" s="501"/>
      <c r="S10" s="504"/>
      <c r="V10" s="504"/>
      <c r="W10" s="975"/>
    </row>
    <row r="11" spans="2:23">
      <c r="B11" s="501"/>
      <c r="C11" s="502"/>
      <c r="D11" s="502"/>
      <c r="E11" s="502"/>
      <c r="F11" s="502"/>
      <c r="G11" s="502"/>
      <c r="H11" s="501"/>
      <c r="I11" s="501"/>
      <c r="J11" s="501"/>
      <c r="K11" s="502"/>
      <c r="L11" s="501"/>
      <c r="M11" s="501"/>
      <c r="S11" s="504"/>
      <c r="V11" s="504"/>
      <c r="W11" s="975"/>
    </row>
    <row r="12" spans="2:23">
      <c r="B12" s="501" t="s">
        <v>112</v>
      </c>
      <c r="C12" s="502">
        <v>0.6</v>
      </c>
      <c r="D12" s="502">
        <v>0.6</v>
      </c>
      <c r="E12" s="502">
        <v>0.1</v>
      </c>
      <c r="F12" s="502">
        <v>0.05</v>
      </c>
      <c r="G12" s="502">
        <v>10</v>
      </c>
      <c r="H12" s="501">
        <v>0.2</v>
      </c>
      <c r="I12" s="501">
        <v>10</v>
      </c>
      <c r="J12" s="501">
        <v>0.25</v>
      </c>
      <c r="K12" s="503">
        <v>3</v>
      </c>
      <c r="L12" s="501"/>
      <c r="M12" s="501"/>
      <c r="S12" s="504"/>
      <c r="V12" s="504"/>
      <c r="W12" s="975"/>
    </row>
    <row r="13" spans="2:23">
      <c r="B13" s="501"/>
      <c r="C13" s="502"/>
      <c r="D13" s="502"/>
      <c r="E13" s="502"/>
      <c r="F13" s="502"/>
      <c r="G13" s="502"/>
      <c r="H13" s="501"/>
      <c r="I13" s="501"/>
      <c r="J13" s="501"/>
      <c r="K13" s="503"/>
      <c r="L13" s="501"/>
      <c r="M13" s="501"/>
      <c r="S13" s="504"/>
      <c r="V13" s="504"/>
      <c r="W13" s="975"/>
    </row>
    <row r="14" spans="2:23">
      <c r="B14" s="501"/>
      <c r="C14" s="502"/>
      <c r="D14" s="502"/>
      <c r="E14" s="502"/>
      <c r="F14" s="502"/>
      <c r="G14" s="502"/>
      <c r="H14" s="501"/>
      <c r="I14" s="501"/>
      <c r="J14" s="501"/>
      <c r="K14" s="502"/>
      <c r="L14" s="501"/>
      <c r="M14" s="501"/>
      <c r="S14" s="504"/>
      <c r="V14" s="504"/>
      <c r="W14" s="975"/>
    </row>
    <row r="15" spans="2:23">
      <c r="B15" s="501" t="s">
        <v>113</v>
      </c>
      <c r="C15" s="502">
        <v>0.75</v>
      </c>
      <c r="D15" s="502">
        <v>0.75</v>
      </c>
      <c r="E15" s="502">
        <v>0.125</v>
      </c>
      <c r="F15" s="502">
        <v>0.05</v>
      </c>
      <c r="G15" s="502">
        <v>10</v>
      </c>
      <c r="H15" s="501">
        <v>0.2</v>
      </c>
      <c r="I15" s="501">
        <v>10</v>
      </c>
      <c r="J15" s="501">
        <v>0.25</v>
      </c>
      <c r="K15" s="503">
        <v>3</v>
      </c>
      <c r="L15" s="501"/>
      <c r="M15" s="501"/>
      <c r="S15" s="504"/>
      <c r="V15" s="504"/>
      <c r="W15" s="975"/>
    </row>
    <row r="16" spans="2:23">
      <c r="B16" s="501"/>
      <c r="C16" s="502"/>
      <c r="D16" s="502"/>
      <c r="E16" s="502"/>
      <c r="F16" s="502"/>
      <c r="G16" s="502"/>
      <c r="H16" s="501"/>
      <c r="I16" s="501"/>
      <c r="J16" s="501"/>
      <c r="K16" s="503"/>
      <c r="L16" s="501"/>
      <c r="M16" s="501"/>
      <c r="S16" s="504"/>
      <c r="V16" s="504"/>
      <c r="W16" s="975"/>
    </row>
    <row r="17" spans="2:23">
      <c r="B17" s="501"/>
      <c r="C17" s="502"/>
      <c r="D17" s="502"/>
      <c r="E17" s="502"/>
      <c r="F17" s="502"/>
      <c r="G17" s="502"/>
      <c r="H17" s="501"/>
      <c r="I17" s="501"/>
      <c r="J17" s="501"/>
      <c r="K17" s="502"/>
      <c r="L17" s="501"/>
      <c r="M17" s="501"/>
      <c r="S17" s="504"/>
      <c r="V17" s="504"/>
      <c r="W17" s="975"/>
    </row>
    <row r="18" spans="2:23">
      <c r="B18" s="501" t="s">
        <v>114</v>
      </c>
      <c r="C18" s="502">
        <v>0.9</v>
      </c>
      <c r="D18" s="502">
        <v>0.9</v>
      </c>
      <c r="E18" s="502">
        <v>0.15</v>
      </c>
      <c r="F18" s="502">
        <v>0.05</v>
      </c>
      <c r="G18" s="502">
        <v>10</v>
      </c>
      <c r="H18" s="501">
        <v>0.17499999999999999</v>
      </c>
      <c r="I18" s="501">
        <v>10</v>
      </c>
      <c r="J18" s="501">
        <v>0.25</v>
      </c>
      <c r="K18" s="503">
        <v>3</v>
      </c>
      <c r="L18" s="501"/>
      <c r="M18" s="501"/>
      <c r="S18" s="504"/>
      <c r="T18" s="504"/>
      <c r="U18" s="504"/>
      <c r="V18" s="504"/>
      <c r="W18" s="975" t="s">
        <v>115</v>
      </c>
    </row>
    <row r="19" spans="2:23">
      <c r="B19" s="501"/>
      <c r="C19" s="502"/>
      <c r="D19" s="502"/>
      <c r="E19" s="502"/>
      <c r="F19" s="502"/>
      <c r="G19" s="502"/>
      <c r="H19" s="501"/>
      <c r="I19" s="501"/>
      <c r="J19" s="501"/>
      <c r="K19" s="503"/>
      <c r="L19" s="501"/>
      <c r="M19" s="501"/>
      <c r="S19" s="504"/>
      <c r="T19" s="504"/>
      <c r="U19" s="504"/>
      <c r="V19" s="504"/>
      <c r="W19" s="975"/>
    </row>
    <row r="20" spans="2:23">
      <c r="B20" s="501"/>
      <c r="C20" s="502"/>
      <c r="D20" s="502"/>
      <c r="E20" s="502"/>
      <c r="F20" s="502"/>
      <c r="G20" s="502"/>
      <c r="H20" s="501"/>
      <c r="I20" s="501"/>
      <c r="J20" s="501"/>
      <c r="K20" s="502"/>
      <c r="L20" s="501"/>
      <c r="M20" s="501"/>
      <c r="S20" s="504"/>
      <c r="T20" s="504"/>
      <c r="U20" s="504"/>
      <c r="V20" s="504"/>
      <c r="W20" s="975"/>
    </row>
    <row r="21" spans="2:23">
      <c r="B21" s="501" t="s">
        <v>116</v>
      </c>
      <c r="C21" s="502">
        <v>1</v>
      </c>
      <c r="D21" s="502">
        <v>1</v>
      </c>
      <c r="E21" s="502">
        <v>0.15</v>
      </c>
      <c r="F21" s="502">
        <v>0.05</v>
      </c>
      <c r="G21" s="502">
        <v>10</v>
      </c>
      <c r="H21" s="501">
        <v>0.17499999999999999</v>
      </c>
      <c r="I21" s="501">
        <v>10</v>
      </c>
      <c r="J21" s="501">
        <v>0.25</v>
      </c>
      <c r="K21" s="503">
        <v>3</v>
      </c>
      <c r="L21" s="501"/>
      <c r="M21" s="501"/>
      <c r="S21" s="505"/>
      <c r="T21" s="505"/>
      <c r="U21" s="505"/>
      <c r="V21" s="505"/>
      <c r="W21" t="s">
        <v>117</v>
      </c>
    </row>
    <row r="22" spans="2:23">
      <c r="B22" s="501"/>
      <c r="C22" s="502"/>
      <c r="D22" s="502"/>
      <c r="E22" s="502"/>
      <c r="F22" s="502"/>
      <c r="G22" s="502"/>
      <c r="H22" s="501"/>
      <c r="I22" s="501"/>
      <c r="J22" s="501"/>
      <c r="K22" s="503"/>
      <c r="L22" s="501"/>
      <c r="M22" s="501"/>
      <c r="S22" s="505"/>
      <c r="T22" s="505"/>
      <c r="U22" s="505"/>
      <c r="V22" s="505"/>
    </row>
    <row r="23" spans="2:23">
      <c r="B23" s="501"/>
      <c r="C23" s="502"/>
      <c r="D23" s="502"/>
      <c r="E23" s="502"/>
      <c r="F23" s="502"/>
      <c r="G23" s="502"/>
      <c r="H23" s="501"/>
      <c r="I23" s="501"/>
      <c r="J23" s="501"/>
      <c r="K23" s="502"/>
      <c r="L23" s="501"/>
      <c r="M23" s="501"/>
    </row>
    <row r="24" spans="2:23">
      <c r="B24" s="501" t="s">
        <v>118</v>
      </c>
      <c r="C24" s="502">
        <v>0.3</v>
      </c>
      <c r="D24" s="502">
        <v>0.3</v>
      </c>
      <c r="E24" s="502">
        <v>0.1</v>
      </c>
      <c r="F24" s="502">
        <v>0.05</v>
      </c>
      <c r="G24" s="502">
        <v>10</v>
      </c>
      <c r="H24" s="501">
        <v>0.2</v>
      </c>
      <c r="I24" s="501">
        <v>10</v>
      </c>
      <c r="J24" s="501">
        <v>0.25</v>
      </c>
      <c r="K24" s="503">
        <v>3</v>
      </c>
      <c r="L24" s="501"/>
      <c r="M24" s="501"/>
    </row>
    <row r="25" spans="2:23">
      <c r="B25" s="501"/>
      <c r="C25" s="502"/>
      <c r="D25" s="502"/>
      <c r="E25" s="502"/>
      <c r="F25" s="502"/>
      <c r="G25" s="502"/>
      <c r="H25" s="501"/>
      <c r="I25" s="501"/>
      <c r="J25" s="501"/>
      <c r="K25" s="503"/>
      <c r="L25" s="501"/>
      <c r="M25" s="501"/>
    </row>
    <row r="26" spans="2:23">
      <c r="B26" s="501"/>
      <c r="C26" s="502"/>
      <c r="D26" s="502"/>
      <c r="E26" s="502"/>
      <c r="F26" s="502"/>
      <c r="G26" s="502"/>
      <c r="H26" s="501"/>
      <c r="I26" s="501"/>
      <c r="J26" s="501"/>
      <c r="K26" s="502"/>
      <c r="L26" s="501"/>
      <c r="M26" s="501"/>
    </row>
    <row r="27" spans="2:23">
      <c r="B27" s="501" t="s">
        <v>119</v>
      </c>
      <c r="C27" s="502">
        <v>0.6</v>
      </c>
      <c r="D27" s="502">
        <v>0.6</v>
      </c>
      <c r="E27" s="502">
        <v>0.1</v>
      </c>
      <c r="F27" s="502">
        <v>0.05</v>
      </c>
      <c r="G27" s="502">
        <v>10</v>
      </c>
      <c r="H27" s="501">
        <v>0.2</v>
      </c>
      <c r="I27" s="501">
        <v>10</v>
      </c>
      <c r="J27" s="501">
        <v>0.25</v>
      </c>
      <c r="K27" s="503">
        <v>3</v>
      </c>
      <c r="L27" s="501"/>
      <c r="M27" s="501"/>
    </row>
    <row r="28" spans="2:23">
      <c r="B28" s="506"/>
      <c r="C28" s="507"/>
      <c r="D28" s="507"/>
      <c r="E28" s="507"/>
      <c r="F28" s="507"/>
      <c r="G28" s="507"/>
      <c r="H28" s="506"/>
      <c r="I28" s="506"/>
      <c r="J28" s="506"/>
      <c r="K28" s="503"/>
      <c r="L28" s="501"/>
      <c r="M28" s="501"/>
    </row>
    <row r="29" spans="2:23">
      <c r="B29" s="506"/>
      <c r="C29" s="507"/>
      <c r="D29" s="507"/>
      <c r="E29" s="507"/>
      <c r="F29" s="507"/>
      <c r="G29" s="507"/>
      <c r="H29" s="506"/>
      <c r="I29" s="506"/>
      <c r="J29" s="506"/>
      <c r="K29" s="508"/>
      <c r="L29" s="501"/>
      <c r="M29" s="501"/>
    </row>
    <row r="30" spans="2:23">
      <c r="B30" s="509" t="s">
        <v>120</v>
      </c>
      <c r="C30" s="502">
        <v>0.3</v>
      </c>
      <c r="D30" s="502">
        <v>0.3</v>
      </c>
      <c r="E30" s="502">
        <v>0.1</v>
      </c>
      <c r="F30" s="502">
        <v>0.05</v>
      </c>
      <c r="G30" s="502">
        <v>10</v>
      </c>
      <c r="H30" s="501">
        <v>0.25</v>
      </c>
      <c r="I30" s="501">
        <v>10</v>
      </c>
      <c r="J30" s="501">
        <v>0.25</v>
      </c>
      <c r="K30" s="503">
        <v>0</v>
      </c>
      <c r="L30" s="501"/>
      <c r="M30" s="501"/>
    </row>
    <row r="31" spans="2:23">
      <c r="B31" s="506" t="s">
        <v>121</v>
      </c>
      <c r="C31" s="507">
        <v>1.5</v>
      </c>
      <c r="D31" s="507"/>
      <c r="E31" s="507">
        <v>0.1</v>
      </c>
      <c r="F31" s="507"/>
      <c r="G31" s="507">
        <v>10</v>
      </c>
      <c r="H31" s="506">
        <v>0.25</v>
      </c>
      <c r="I31" s="506">
        <v>10</v>
      </c>
      <c r="J31" s="506">
        <v>0.15</v>
      </c>
      <c r="K31" s="503"/>
      <c r="L31" s="501"/>
      <c r="M31" s="501"/>
    </row>
    <row r="32" spans="2:23">
      <c r="B32" s="506"/>
      <c r="C32" s="507"/>
      <c r="D32" s="507"/>
      <c r="E32" s="507"/>
      <c r="F32" s="507"/>
      <c r="G32" s="507"/>
      <c r="H32" s="506"/>
      <c r="I32" s="506"/>
      <c r="J32" s="506"/>
      <c r="K32" s="508"/>
      <c r="L32" s="501"/>
      <c r="M32" s="501"/>
    </row>
    <row r="33" spans="2:13">
      <c r="B33" s="509" t="s">
        <v>122</v>
      </c>
      <c r="C33" s="502">
        <v>0.45</v>
      </c>
      <c r="D33" s="502">
        <v>0.45</v>
      </c>
      <c r="E33" s="502">
        <v>0.1</v>
      </c>
      <c r="F33" s="502">
        <v>0.05</v>
      </c>
      <c r="G33" s="502">
        <v>10</v>
      </c>
      <c r="H33" s="501">
        <v>0.25</v>
      </c>
      <c r="I33" s="501">
        <v>10</v>
      </c>
      <c r="J33" s="501">
        <v>0.25</v>
      </c>
      <c r="K33" s="503">
        <v>0</v>
      </c>
      <c r="L33" s="501"/>
      <c r="M33" s="501"/>
    </row>
    <row r="34" spans="2:13">
      <c r="B34" s="506" t="s">
        <v>121</v>
      </c>
      <c r="C34" s="507">
        <v>1.5</v>
      </c>
      <c r="D34" s="507"/>
      <c r="E34" s="507">
        <v>0.1</v>
      </c>
      <c r="F34" s="507"/>
      <c r="G34" s="507">
        <v>10</v>
      </c>
      <c r="H34" s="506">
        <v>0.25</v>
      </c>
      <c r="I34" s="506">
        <v>10</v>
      </c>
      <c r="J34" s="506">
        <v>0.15</v>
      </c>
      <c r="K34" s="503"/>
      <c r="L34" s="501"/>
      <c r="M34" s="501"/>
    </row>
    <row r="35" spans="2:13">
      <c r="B35" s="506"/>
      <c r="C35" s="507"/>
      <c r="D35" s="507"/>
      <c r="E35" s="507"/>
      <c r="F35" s="507"/>
      <c r="G35" s="507"/>
      <c r="H35" s="506"/>
      <c r="I35" s="506"/>
      <c r="J35" s="506"/>
      <c r="K35" s="508"/>
      <c r="L35" s="501"/>
      <c r="M35" s="501"/>
    </row>
    <row r="36" spans="2:13">
      <c r="B36" s="509" t="s">
        <v>124</v>
      </c>
      <c r="C36" s="502">
        <v>1</v>
      </c>
      <c r="D36" s="502">
        <v>0.15</v>
      </c>
      <c r="E36" s="502">
        <v>0.1</v>
      </c>
      <c r="F36" s="502">
        <v>0.05</v>
      </c>
      <c r="G36" s="502">
        <v>10</v>
      </c>
      <c r="H36" s="501">
        <v>0.25</v>
      </c>
      <c r="I36" s="501">
        <v>10</v>
      </c>
      <c r="J36" s="501">
        <v>0.25</v>
      </c>
      <c r="K36" s="503">
        <v>0</v>
      </c>
      <c r="L36" s="501"/>
      <c r="M36" s="501"/>
    </row>
    <row r="37" spans="2:13">
      <c r="B37" s="506" t="s">
        <v>121</v>
      </c>
      <c r="C37" s="507">
        <v>1.5</v>
      </c>
      <c r="D37" s="507"/>
      <c r="E37" s="507">
        <v>0.1</v>
      </c>
      <c r="F37" s="507"/>
      <c r="G37" s="507">
        <v>10</v>
      </c>
      <c r="H37" s="506">
        <v>0.25</v>
      </c>
      <c r="I37" s="506">
        <v>10</v>
      </c>
      <c r="J37" s="506">
        <v>0.15</v>
      </c>
      <c r="K37" s="503"/>
      <c r="L37" s="501"/>
      <c r="M37" s="501"/>
    </row>
    <row r="38" spans="2:13">
      <c r="B38" s="506"/>
      <c r="C38" s="507"/>
      <c r="D38" s="507"/>
      <c r="E38" s="507"/>
      <c r="F38" s="507"/>
      <c r="G38" s="507"/>
      <c r="H38" s="506"/>
      <c r="I38" s="506"/>
      <c r="J38" s="506"/>
      <c r="K38" s="508"/>
      <c r="L38" s="501"/>
      <c r="M38" s="501"/>
    </row>
    <row r="39" spans="2:13">
      <c r="B39" s="510" t="s">
        <v>125</v>
      </c>
      <c r="C39" s="502">
        <v>1</v>
      </c>
      <c r="D39" s="502">
        <v>0.2</v>
      </c>
      <c r="E39" s="502">
        <v>0.1</v>
      </c>
      <c r="F39" s="502">
        <v>0.05</v>
      </c>
      <c r="G39" s="502">
        <v>10</v>
      </c>
      <c r="H39" s="501">
        <v>0.25</v>
      </c>
      <c r="I39" s="501">
        <v>10</v>
      </c>
      <c r="J39" s="501">
        <v>0.25</v>
      </c>
      <c r="K39" s="503">
        <v>0</v>
      </c>
      <c r="L39" s="501"/>
      <c r="M39" s="501"/>
    </row>
    <row r="40" spans="2:13">
      <c r="B40" s="506"/>
      <c r="C40" s="507"/>
      <c r="D40" s="507"/>
      <c r="E40" s="507"/>
      <c r="F40" s="507"/>
      <c r="G40" s="507"/>
      <c r="H40" s="506"/>
      <c r="I40" s="506"/>
      <c r="J40" s="506"/>
      <c r="K40" s="508"/>
      <c r="L40" s="501"/>
      <c r="M40" s="501"/>
    </row>
    <row r="41" spans="2:13">
      <c r="B41" s="510" t="s">
        <v>126</v>
      </c>
      <c r="C41" s="502">
        <v>1</v>
      </c>
      <c r="D41" s="502">
        <v>0.3</v>
      </c>
      <c r="E41" s="502">
        <v>0.1</v>
      </c>
      <c r="F41" s="502">
        <v>0.05</v>
      </c>
      <c r="G41" s="502">
        <v>10</v>
      </c>
      <c r="H41" s="501">
        <v>0.25</v>
      </c>
      <c r="I41" s="501">
        <v>10</v>
      </c>
      <c r="J41" s="501">
        <v>0.25</v>
      </c>
      <c r="K41" s="503">
        <v>0</v>
      </c>
      <c r="L41" s="501"/>
      <c r="M41" s="501"/>
    </row>
    <row r="42" spans="2:13">
      <c r="B42" s="506"/>
      <c r="C42" s="507"/>
      <c r="D42" s="507"/>
      <c r="E42" s="507"/>
      <c r="F42" s="507"/>
      <c r="G42" s="507"/>
      <c r="H42" s="506"/>
      <c r="I42" s="506"/>
      <c r="J42" s="506"/>
      <c r="K42" s="508"/>
      <c r="L42" s="501"/>
      <c r="M42" s="501"/>
    </row>
    <row r="43" spans="2:13">
      <c r="B43" s="511" t="s">
        <v>127</v>
      </c>
      <c r="C43" s="502">
        <v>0.6</v>
      </c>
      <c r="D43" s="502">
        <v>0.6</v>
      </c>
      <c r="E43" s="502">
        <v>0.15</v>
      </c>
      <c r="F43" s="502">
        <v>0.05</v>
      </c>
      <c r="G43" s="502">
        <v>10</v>
      </c>
      <c r="H43" s="501">
        <v>0.25</v>
      </c>
      <c r="I43" s="501">
        <v>10</v>
      </c>
      <c r="J43" s="501">
        <v>0.25</v>
      </c>
      <c r="K43" s="503">
        <v>0</v>
      </c>
      <c r="L43" s="501"/>
      <c r="M43" s="501"/>
    </row>
    <row r="44" spans="2:13">
      <c r="B44" s="506"/>
      <c r="C44" s="507"/>
      <c r="D44" s="507"/>
      <c r="E44" s="507"/>
      <c r="F44" s="507"/>
      <c r="G44" s="507"/>
      <c r="H44" s="506"/>
      <c r="I44" s="506"/>
      <c r="J44" s="506"/>
      <c r="K44" s="508"/>
      <c r="L44" s="501"/>
      <c r="M44" s="501"/>
    </row>
    <row r="45" spans="2:13">
      <c r="B45" s="511" t="s">
        <v>128</v>
      </c>
      <c r="C45" s="502">
        <v>0.8</v>
      </c>
      <c r="D45" s="502">
        <v>0.8</v>
      </c>
      <c r="E45" s="502">
        <v>0.15</v>
      </c>
      <c r="F45" s="502">
        <v>0.05</v>
      </c>
      <c r="G45" s="502">
        <v>10</v>
      </c>
      <c r="H45" s="501">
        <v>0.25</v>
      </c>
      <c r="I45" s="501">
        <v>10</v>
      </c>
      <c r="J45" s="501">
        <v>0.25</v>
      </c>
      <c r="K45" s="503">
        <v>0</v>
      </c>
      <c r="L45" s="501"/>
      <c r="M45" s="501"/>
    </row>
    <row r="46" spans="2:13">
      <c r="B46" s="506"/>
      <c r="C46" s="507"/>
      <c r="D46" s="507"/>
      <c r="E46" s="507"/>
      <c r="F46" s="507"/>
      <c r="G46" s="507"/>
      <c r="H46" s="506"/>
      <c r="I46" s="506"/>
      <c r="J46" s="506"/>
      <c r="K46" s="508"/>
      <c r="L46" s="501"/>
      <c r="M46" s="501"/>
    </row>
    <row r="47" spans="2:13">
      <c r="B47" s="512" t="s">
        <v>129</v>
      </c>
      <c r="C47" s="502">
        <v>1</v>
      </c>
      <c r="D47" s="502">
        <v>0.6</v>
      </c>
      <c r="E47" s="502">
        <v>0.1</v>
      </c>
      <c r="F47" s="502">
        <v>0.05</v>
      </c>
      <c r="G47" s="502">
        <v>10</v>
      </c>
      <c r="H47" s="501">
        <v>0.25</v>
      </c>
      <c r="I47" s="501">
        <v>10</v>
      </c>
      <c r="J47" s="501">
        <v>0.25</v>
      </c>
      <c r="K47" s="503">
        <v>3</v>
      </c>
      <c r="L47" s="501"/>
      <c r="M47" s="501"/>
    </row>
    <row r="48" spans="2:13">
      <c r="B48" s="513"/>
      <c r="C48" s="507"/>
      <c r="D48" s="507"/>
      <c r="E48" s="507"/>
      <c r="F48" s="507"/>
      <c r="G48" s="507"/>
      <c r="H48" s="506"/>
      <c r="I48" s="506"/>
      <c r="J48" s="506"/>
      <c r="K48" s="508"/>
      <c r="L48" s="501"/>
      <c r="M48" s="501"/>
    </row>
    <row r="49" spans="2:13">
      <c r="B49" s="506"/>
      <c r="C49" s="507"/>
      <c r="D49" s="507"/>
      <c r="E49" s="507"/>
      <c r="F49" s="507"/>
      <c r="G49" s="507"/>
      <c r="H49" s="506"/>
      <c r="I49" s="506"/>
      <c r="J49" s="506"/>
      <c r="K49" s="508"/>
      <c r="L49" s="501"/>
      <c r="M49" s="501"/>
    </row>
    <row r="50" spans="2:13">
      <c r="B50" s="512" t="s">
        <v>130</v>
      </c>
      <c r="C50" s="502">
        <v>1</v>
      </c>
      <c r="D50" s="502">
        <v>0.8</v>
      </c>
      <c r="E50" s="502">
        <v>0.125</v>
      </c>
      <c r="F50" s="502">
        <v>0.05</v>
      </c>
      <c r="G50" s="502">
        <v>10</v>
      </c>
      <c r="H50" s="501">
        <v>0.25</v>
      </c>
      <c r="I50" s="501">
        <v>10</v>
      </c>
      <c r="J50" s="501">
        <v>0.25</v>
      </c>
      <c r="K50" s="503">
        <v>3</v>
      </c>
      <c r="L50" s="501"/>
      <c r="M50" s="501"/>
    </row>
    <row r="51" spans="2:13">
      <c r="B51" s="513"/>
      <c r="C51" s="507"/>
      <c r="D51" s="507"/>
      <c r="E51" s="507"/>
      <c r="F51" s="507"/>
      <c r="G51" s="507"/>
      <c r="H51" s="506"/>
      <c r="I51" s="506"/>
      <c r="J51" s="506"/>
      <c r="K51" s="508"/>
      <c r="L51" s="501"/>
      <c r="M51" s="501"/>
    </row>
    <row r="52" spans="2:13">
      <c r="B52" s="506"/>
      <c r="C52" s="507"/>
      <c r="D52" s="507"/>
      <c r="E52" s="507"/>
      <c r="F52" s="507"/>
      <c r="G52" s="507"/>
      <c r="H52" s="506"/>
      <c r="I52" s="506"/>
      <c r="J52" s="506"/>
      <c r="K52" s="508"/>
      <c r="L52" s="501"/>
      <c r="M52" s="501"/>
    </row>
    <row r="53" spans="2:13">
      <c r="B53" s="512" t="s">
        <v>131</v>
      </c>
      <c r="C53" s="502">
        <v>1</v>
      </c>
      <c r="D53" s="502">
        <v>1</v>
      </c>
      <c r="E53" s="502">
        <v>0.125</v>
      </c>
      <c r="F53" s="502">
        <v>0.05</v>
      </c>
      <c r="G53" s="502">
        <v>10</v>
      </c>
      <c r="H53" s="501">
        <v>0.25</v>
      </c>
      <c r="I53" s="501">
        <v>10</v>
      </c>
      <c r="J53" s="501">
        <v>0.25</v>
      </c>
      <c r="K53" s="503">
        <v>3</v>
      </c>
      <c r="L53" s="501"/>
      <c r="M53" s="501"/>
    </row>
    <row r="54" spans="2:13">
      <c r="B54" s="513"/>
      <c r="C54" s="507"/>
      <c r="D54" s="507"/>
      <c r="E54" s="507"/>
      <c r="F54" s="507"/>
      <c r="G54" s="507"/>
      <c r="H54" s="506"/>
      <c r="I54" s="506"/>
      <c r="J54" s="506"/>
      <c r="K54" s="508"/>
      <c r="L54" s="501"/>
      <c r="M54" s="501"/>
    </row>
    <row r="55" spans="2:13">
      <c r="B55" s="506"/>
      <c r="C55" s="507"/>
      <c r="D55" s="507"/>
      <c r="E55" s="507"/>
      <c r="F55" s="507"/>
      <c r="G55" s="507"/>
      <c r="H55" s="506"/>
      <c r="I55" s="506"/>
      <c r="J55" s="506"/>
      <c r="K55" s="508"/>
      <c r="L55" s="501"/>
      <c r="M55" s="501"/>
    </row>
    <row r="56" spans="2:13">
      <c r="B56" s="512" t="s">
        <v>132</v>
      </c>
      <c r="C56" s="502">
        <v>1</v>
      </c>
      <c r="D56" s="502">
        <v>1</v>
      </c>
      <c r="E56" s="502">
        <v>0.125</v>
      </c>
      <c r="F56" s="502">
        <v>0.05</v>
      </c>
      <c r="G56" s="502">
        <v>10</v>
      </c>
      <c r="H56" s="501">
        <v>0.25</v>
      </c>
      <c r="I56" s="501">
        <v>10</v>
      </c>
      <c r="J56" s="501">
        <v>0.25</v>
      </c>
      <c r="K56" s="503">
        <v>3</v>
      </c>
      <c r="L56" s="501"/>
      <c r="M56" s="501"/>
    </row>
    <row r="57" spans="2:13">
      <c r="B57" s="513"/>
      <c r="C57" s="507"/>
      <c r="D57" s="507"/>
      <c r="E57" s="507"/>
      <c r="F57" s="507"/>
      <c r="G57" s="507"/>
      <c r="H57" s="506"/>
      <c r="I57" s="506"/>
      <c r="J57" s="506"/>
      <c r="K57" s="508"/>
      <c r="L57" s="501"/>
      <c r="M57" s="501"/>
    </row>
    <row r="58" spans="2:13">
      <c r="B58" s="513"/>
      <c r="C58" s="507"/>
      <c r="D58" s="507"/>
      <c r="E58" s="507"/>
      <c r="F58" s="507"/>
      <c r="G58" s="507"/>
      <c r="H58" s="506"/>
      <c r="I58" s="506"/>
      <c r="J58" s="506"/>
      <c r="K58" s="508"/>
      <c r="L58" s="501"/>
      <c r="M58" s="501"/>
    </row>
    <row r="59" spans="2:13">
      <c r="B59" s="514" t="s">
        <v>133</v>
      </c>
      <c r="C59" s="502">
        <v>0.45</v>
      </c>
      <c r="D59" s="502">
        <v>0.45</v>
      </c>
      <c r="E59" s="502">
        <v>0.1</v>
      </c>
      <c r="F59" s="502">
        <v>0.05</v>
      </c>
      <c r="G59" s="502">
        <v>10</v>
      </c>
      <c r="H59" s="501">
        <v>0.25</v>
      </c>
      <c r="I59" s="501">
        <v>10</v>
      </c>
      <c r="J59" s="501">
        <v>0.25</v>
      </c>
      <c r="K59" s="503"/>
      <c r="L59" s="501">
        <v>0.27500000000000002</v>
      </c>
      <c r="M59" s="501">
        <v>0.27500000000000002</v>
      </c>
    </row>
    <row r="60" spans="2:13">
      <c r="B60" s="515"/>
      <c r="C60" s="507"/>
      <c r="D60" s="507"/>
      <c r="E60" s="507"/>
      <c r="F60" s="507"/>
      <c r="G60" s="507"/>
      <c r="H60" s="506"/>
      <c r="I60" s="506"/>
      <c r="J60" s="506"/>
      <c r="K60" s="508"/>
      <c r="L60" s="501"/>
      <c r="M60" s="501"/>
    </row>
    <row r="61" spans="2:13">
      <c r="B61" s="515"/>
      <c r="C61" s="507"/>
      <c r="D61" s="507"/>
      <c r="E61" s="507"/>
      <c r="F61" s="507"/>
      <c r="G61" s="507"/>
      <c r="H61" s="506"/>
      <c r="I61" s="506"/>
      <c r="J61" s="506"/>
      <c r="K61" s="508"/>
      <c r="L61" s="501"/>
      <c r="M61" s="501"/>
    </row>
    <row r="62" spans="2:13">
      <c r="B62" s="506"/>
      <c r="C62" s="507"/>
      <c r="D62" s="507"/>
      <c r="E62" s="507"/>
      <c r="F62" s="507"/>
      <c r="G62" s="507"/>
      <c r="H62" s="506"/>
      <c r="I62" s="506"/>
      <c r="J62" s="506"/>
      <c r="K62" s="508"/>
      <c r="L62" s="501"/>
      <c r="M62" s="501"/>
    </row>
    <row r="63" spans="2:13">
      <c r="B63" s="514" t="s">
        <v>134</v>
      </c>
      <c r="C63" s="502">
        <v>0.45</v>
      </c>
      <c r="D63" s="502">
        <v>0.6</v>
      </c>
      <c r="E63" s="502">
        <v>0.1</v>
      </c>
      <c r="F63" s="502">
        <v>0.05</v>
      </c>
      <c r="G63" s="502">
        <v>10</v>
      </c>
      <c r="H63" s="501">
        <v>0.25</v>
      </c>
      <c r="I63" s="501">
        <v>10</v>
      </c>
      <c r="J63" s="501">
        <v>0.25</v>
      </c>
      <c r="K63" s="503"/>
      <c r="L63" s="501">
        <v>0.27500000000000002</v>
      </c>
      <c r="M63" s="501">
        <v>0.27500000000000002</v>
      </c>
    </row>
    <row r="64" spans="2:13">
      <c r="B64" s="515"/>
      <c r="C64" s="507"/>
      <c r="D64" s="507"/>
      <c r="E64" s="507"/>
      <c r="F64" s="507"/>
      <c r="G64" s="507"/>
      <c r="H64" s="506"/>
      <c r="I64" s="506"/>
      <c r="J64" s="506"/>
      <c r="K64" s="508"/>
      <c r="L64" s="501"/>
      <c r="M64" s="501"/>
    </row>
    <row r="65" spans="2:13">
      <c r="B65" s="515"/>
      <c r="C65" s="507"/>
      <c r="D65" s="507"/>
      <c r="E65" s="507"/>
      <c r="F65" s="507"/>
      <c r="G65" s="507"/>
      <c r="H65" s="506"/>
      <c r="I65" s="506"/>
      <c r="J65" s="506"/>
      <c r="K65" s="508"/>
      <c r="L65" s="501"/>
      <c r="M65" s="501"/>
    </row>
    <row r="66" spans="2:13">
      <c r="B66" s="513"/>
      <c r="C66" s="507"/>
      <c r="D66" s="507"/>
      <c r="E66" s="507"/>
      <c r="F66" s="507"/>
      <c r="G66" s="507"/>
      <c r="H66" s="506"/>
      <c r="I66" s="506"/>
      <c r="J66" s="506"/>
      <c r="K66" s="508"/>
      <c r="L66" s="501"/>
      <c r="M66" s="501"/>
    </row>
    <row r="67" spans="2:13">
      <c r="B67" s="514" t="s">
        <v>135</v>
      </c>
      <c r="C67" s="502">
        <v>0.6</v>
      </c>
      <c r="D67" s="502">
        <v>0.6</v>
      </c>
      <c r="E67" s="502">
        <v>0.1</v>
      </c>
      <c r="F67" s="502">
        <v>0.05</v>
      </c>
      <c r="G67" s="502">
        <v>10</v>
      </c>
      <c r="H67" s="501">
        <v>0.25</v>
      </c>
      <c r="I67" s="501">
        <v>10</v>
      </c>
      <c r="J67" s="501">
        <v>0.25</v>
      </c>
      <c r="K67" s="503"/>
      <c r="L67" s="501">
        <v>0.27500000000000002</v>
      </c>
      <c r="M67" s="501">
        <v>0.27500000000000002</v>
      </c>
    </row>
    <row r="68" spans="2:13">
      <c r="B68" s="515"/>
      <c r="C68" s="507"/>
      <c r="D68" s="507"/>
      <c r="E68" s="507"/>
      <c r="F68" s="507"/>
      <c r="G68" s="507"/>
      <c r="H68" s="506"/>
      <c r="I68" s="506"/>
      <c r="J68" s="506"/>
      <c r="K68" s="508"/>
      <c r="L68" s="501"/>
      <c r="M68" s="501"/>
    </row>
    <row r="69" spans="2:13">
      <c r="B69" s="515"/>
      <c r="C69" s="507"/>
      <c r="D69" s="507"/>
      <c r="E69" s="507"/>
      <c r="F69" s="507"/>
      <c r="G69" s="507"/>
      <c r="H69" s="506"/>
      <c r="I69" s="506"/>
      <c r="J69" s="506"/>
      <c r="K69" s="508"/>
      <c r="L69" s="501"/>
      <c r="M69" s="501"/>
    </row>
    <row r="70" spans="2:13">
      <c r="B70" s="515"/>
      <c r="C70" s="507"/>
      <c r="D70" s="507"/>
      <c r="E70" s="507"/>
      <c r="F70" s="507"/>
      <c r="G70" s="507"/>
      <c r="H70" s="506"/>
      <c r="I70" s="506"/>
      <c r="J70" s="506"/>
      <c r="K70" s="508"/>
      <c r="L70" s="501"/>
      <c r="M70" s="501"/>
    </row>
    <row r="71" spans="2:13">
      <c r="B71" s="514" t="s">
        <v>136</v>
      </c>
      <c r="C71" s="502">
        <v>0.8</v>
      </c>
      <c r="D71" s="502">
        <v>0.8</v>
      </c>
      <c r="E71" s="502">
        <v>0.1</v>
      </c>
      <c r="F71" s="502">
        <v>0.05</v>
      </c>
      <c r="G71" s="502">
        <v>10</v>
      </c>
      <c r="H71" s="501">
        <v>0.25</v>
      </c>
      <c r="I71" s="501">
        <v>10</v>
      </c>
      <c r="J71" s="501">
        <v>0.25</v>
      </c>
      <c r="K71" s="503"/>
      <c r="L71" s="501">
        <v>0.27500000000000002</v>
      </c>
      <c r="M71" s="501">
        <v>0.27500000000000002</v>
      </c>
    </row>
    <row r="72" spans="2:13">
      <c r="B72" s="515"/>
      <c r="C72" s="507"/>
      <c r="D72" s="507"/>
      <c r="E72" s="507"/>
      <c r="F72" s="507"/>
      <c r="G72" s="507"/>
      <c r="H72" s="506"/>
      <c r="I72" s="506"/>
      <c r="J72" s="506"/>
      <c r="K72" s="508"/>
      <c r="L72" s="501"/>
      <c r="M72" s="501"/>
    </row>
    <row r="73" spans="2:13">
      <c r="B73" s="515"/>
      <c r="C73" s="507"/>
      <c r="D73" s="507"/>
      <c r="E73" s="507"/>
      <c r="F73" s="507"/>
      <c r="G73" s="507"/>
      <c r="H73" s="506"/>
      <c r="I73" s="506"/>
      <c r="J73" s="506"/>
      <c r="K73" s="508"/>
      <c r="L73" s="501"/>
      <c r="M73" s="501"/>
    </row>
    <row r="74" spans="2:13">
      <c r="B74" s="515"/>
      <c r="C74" s="507"/>
      <c r="D74" s="507"/>
      <c r="E74" s="507"/>
      <c r="F74" s="507"/>
      <c r="G74" s="507"/>
      <c r="H74" s="506"/>
      <c r="I74" s="506"/>
      <c r="J74" s="506"/>
      <c r="K74" s="508"/>
      <c r="L74" s="501"/>
      <c r="M74" s="501"/>
    </row>
    <row r="75" spans="2:13">
      <c r="B75" s="514" t="s">
        <v>137</v>
      </c>
      <c r="C75" s="502">
        <v>0.8</v>
      </c>
      <c r="D75" s="502">
        <v>0.8</v>
      </c>
      <c r="E75" s="502">
        <v>0.125</v>
      </c>
      <c r="F75" s="502">
        <v>0.05</v>
      </c>
      <c r="G75" s="502">
        <v>10</v>
      </c>
      <c r="H75" s="501">
        <v>0.25</v>
      </c>
      <c r="I75" s="501">
        <v>10</v>
      </c>
      <c r="J75" s="501">
        <v>0.25</v>
      </c>
      <c r="K75" s="503"/>
      <c r="L75" s="501">
        <v>0.27500000000000002</v>
      </c>
      <c r="M75" s="501">
        <v>0.27500000000000002</v>
      </c>
    </row>
    <row r="76" spans="2:13">
      <c r="B76" s="515"/>
      <c r="C76" s="507"/>
      <c r="D76" s="507"/>
      <c r="E76" s="507"/>
      <c r="F76" s="507"/>
      <c r="G76" s="507"/>
      <c r="H76" s="506"/>
      <c r="I76" s="506"/>
      <c r="J76" s="506"/>
      <c r="K76" s="508"/>
      <c r="L76" s="501"/>
      <c r="M76" s="501"/>
    </row>
    <row r="77" spans="2:13">
      <c r="B77" s="515"/>
      <c r="C77" s="507"/>
      <c r="D77" s="507"/>
      <c r="E77" s="507"/>
      <c r="F77" s="507"/>
      <c r="G77" s="507"/>
      <c r="H77" s="506"/>
      <c r="I77" s="506"/>
      <c r="J77" s="506"/>
      <c r="K77" s="508"/>
      <c r="L77" s="501"/>
      <c r="M77" s="501"/>
    </row>
    <row r="78" spans="2:13">
      <c r="B78" s="515"/>
      <c r="C78" s="507"/>
      <c r="D78" s="507"/>
      <c r="E78" s="507"/>
      <c r="F78" s="507"/>
      <c r="G78" s="507"/>
      <c r="H78" s="506"/>
      <c r="I78" s="506"/>
      <c r="J78" s="506"/>
      <c r="K78" s="508"/>
      <c r="L78" s="501"/>
      <c r="M78" s="501"/>
    </row>
    <row r="79" spans="2:13">
      <c r="B79" s="516" t="s">
        <v>138</v>
      </c>
      <c r="C79" s="502">
        <v>0.45</v>
      </c>
      <c r="D79" s="502">
        <v>0.45</v>
      </c>
      <c r="E79" s="502">
        <v>0.1</v>
      </c>
      <c r="F79" s="502">
        <v>0.05</v>
      </c>
      <c r="G79" s="502">
        <v>10</v>
      </c>
      <c r="H79" s="501">
        <v>0.25</v>
      </c>
      <c r="I79" s="501">
        <v>10</v>
      </c>
      <c r="J79" s="501">
        <v>0.25</v>
      </c>
      <c r="K79" s="503"/>
      <c r="L79" s="501">
        <v>0.9</v>
      </c>
      <c r="M79" s="501">
        <v>0.45</v>
      </c>
    </row>
    <row r="80" spans="2:13">
      <c r="B80" s="517"/>
      <c r="C80" s="507"/>
      <c r="D80" s="507"/>
      <c r="E80" s="507"/>
      <c r="F80" s="507"/>
      <c r="G80" s="507"/>
      <c r="H80" s="506"/>
      <c r="I80" s="506"/>
      <c r="J80" s="506"/>
      <c r="K80" s="508"/>
      <c r="L80" s="501"/>
      <c r="M80" s="501"/>
    </row>
    <row r="81" spans="2:13">
      <c r="B81" s="517"/>
      <c r="C81" s="507"/>
      <c r="D81" s="507"/>
      <c r="E81" s="507"/>
      <c r="F81" s="507"/>
      <c r="G81" s="507"/>
      <c r="H81" s="506"/>
      <c r="I81" s="506"/>
      <c r="J81" s="506"/>
      <c r="K81" s="508"/>
      <c r="L81" s="501"/>
      <c r="M81" s="501"/>
    </row>
    <row r="82" spans="2:13">
      <c r="B82" s="517"/>
      <c r="C82" s="507"/>
      <c r="D82" s="507"/>
      <c r="E82" s="507"/>
      <c r="F82" s="507"/>
      <c r="G82" s="507"/>
      <c r="H82" s="506"/>
      <c r="I82" s="506"/>
      <c r="J82" s="506"/>
      <c r="K82" s="508"/>
      <c r="L82" s="501"/>
      <c r="M82" s="501"/>
    </row>
    <row r="83" spans="2:13">
      <c r="B83" s="516" t="s">
        <v>139</v>
      </c>
      <c r="C83" s="502">
        <v>0.45</v>
      </c>
      <c r="D83" s="502">
        <v>0.6</v>
      </c>
      <c r="E83" s="502">
        <v>0.1</v>
      </c>
      <c r="F83" s="502">
        <v>0.05</v>
      </c>
      <c r="G83" s="502">
        <v>10</v>
      </c>
      <c r="H83" s="501">
        <v>0.25</v>
      </c>
      <c r="I83" s="501">
        <v>10</v>
      </c>
      <c r="J83" s="501">
        <v>0.25</v>
      </c>
      <c r="K83" s="503"/>
      <c r="L83" s="501">
        <v>0.9</v>
      </c>
      <c r="M83" s="501">
        <v>0.45</v>
      </c>
    </row>
    <row r="84" spans="2:13">
      <c r="B84" s="517"/>
      <c r="C84" s="507"/>
      <c r="D84" s="507"/>
      <c r="E84" s="507"/>
      <c r="F84" s="507"/>
      <c r="G84" s="507"/>
      <c r="H84" s="506"/>
      <c r="I84" s="506"/>
      <c r="J84" s="506"/>
      <c r="K84" s="508"/>
      <c r="L84" s="501"/>
      <c r="M84" s="501"/>
    </row>
    <row r="85" spans="2:13">
      <c r="B85" s="517"/>
      <c r="C85" s="507"/>
      <c r="D85" s="507"/>
      <c r="E85" s="507"/>
      <c r="F85" s="507"/>
      <c r="G85" s="507"/>
      <c r="H85" s="506"/>
      <c r="I85" s="506"/>
      <c r="J85" s="506"/>
      <c r="K85" s="508"/>
      <c r="L85" s="501"/>
      <c r="M85" s="501"/>
    </row>
    <row r="86" spans="2:13">
      <c r="B86" s="517"/>
      <c r="C86" s="507"/>
      <c r="D86" s="507"/>
      <c r="E86" s="507"/>
      <c r="F86" s="507"/>
      <c r="G86" s="507"/>
      <c r="H86" s="506"/>
      <c r="I86" s="506"/>
      <c r="J86" s="506"/>
      <c r="K86" s="508"/>
      <c r="L86" s="501"/>
      <c r="M86" s="501"/>
    </row>
    <row r="87" spans="2:13">
      <c r="B87" s="516" t="s">
        <v>140</v>
      </c>
      <c r="C87" s="502">
        <v>0.6</v>
      </c>
      <c r="D87" s="502">
        <v>0.6</v>
      </c>
      <c r="E87" s="502">
        <v>0.1</v>
      </c>
      <c r="F87" s="502">
        <v>0.05</v>
      </c>
      <c r="G87" s="502">
        <v>10</v>
      </c>
      <c r="H87" s="501">
        <v>0.25</v>
      </c>
      <c r="I87" s="501">
        <v>10</v>
      </c>
      <c r="J87" s="501">
        <v>0.25</v>
      </c>
      <c r="K87" s="503"/>
      <c r="L87" s="501">
        <v>0.9</v>
      </c>
      <c r="M87" s="501">
        <v>0.45</v>
      </c>
    </row>
    <row r="88" spans="2:13">
      <c r="B88" s="517"/>
      <c r="C88" s="507"/>
      <c r="D88" s="507"/>
      <c r="E88" s="507"/>
      <c r="F88" s="507"/>
      <c r="G88" s="507"/>
      <c r="H88" s="506"/>
      <c r="I88" s="506"/>
      <c r="J88" s="506"/>
      <c r="K88" s="508"/>
      <c r="L88" s="501"/>
      <c r="M88" s="501"/>
    </row>
    <row r="89" spans="2:13">
      <c r="B89" s="517"/>
      <c r="C89" s="507"/>
      <c r="D89" s="507"/>
      <c r="E89" s="507"/>
      <c r="F89" s="507"/>
      <c r="G89" s="507"/>
      <c r="H89" s="506"/>
      <c r="I89" s="506"/>
      <c r="J89" s="506"/>
      <c r="K89" s="508"/>
      <c r="L89" s="501"/>
      <c r="M89" s="501"/>
    </row>
    <row r="90" spans="2:13">
      <c r="B90" s="517"/>
      <c r="C90" s="507"/>
      <c r="D90" s="507"/>
      <c r="E90" s="507"/>
      <c r="F90" s="507"/>
      <c r="G90" s="507"/>
      <c r="H90" s="506"/>
      <c r="I90" s="506"/>
      <c r="J90" s="506"/>
      <c r="K90" s="508"/>
      <c r="L90" s="501"/>
      <c r="M90" s="501"/>
    </row>
    <row r="91" spans="2:13">
      <c r="B91" s="516" t="s">
        <v>141</v>
      </c>
      <c r="C91" s="502">
        <v>0.8</v>
      </c>
      <c r="D91" s="502">
        <v>0.8</v>
      </c>
      <c r="E91" s="502">
        <v>0.1</v>
      </c>
      <c r="F91" s="502">
        <v>0.05</v>
      </c>
      <c r="G91" s="502">
        <v>10</v>
      </c>
      <c r="H91" s="501">
        <v>0.25</v>
      </c>
      <c r="I91" s="501">
        <v>10</v>
      </c>
      <c r="J91" s="501">
        <v>0.25</v>
      </c>
      <c r="K91" s="503"/>
      <c r="L91" s="501">
        <v>0.9</v>
      </c>
      <c r="M91" s="501">
        <v>0.45</v>
      </c>
    </row>
    <row r="92" spans="2:13">
      <c r="B92" s="517"/>
      <c r="C92" s="507"/>
      <c r="D92" s="507"/>
      <c r="E92" s="507"/>
      <c r="F92" s="507"/>
      <c r="G92" s="507"/>
      <c r="H92" s="506"/>
      <c r="I92" s="506"/>
      <c r="J92" s="506"/>
      <c r="K92" s="508"/>
      <c r="L92" s="501"/>
      <c r="M92" s="501"/>
    </row>
    <row r="93" spans="2:13">
      <c r="B93" s="517"/>
      <c r="C93" s="507"/>
      <c r="D93" s="507"/>
      <c r="E93" s="507"/>
      <c r="F93" s="507"/>
      <c r="G93" s="507"/>
      <c r="H93" s="506"/>
      <c r="I93" s="506"/>
      <c r="J93" s="506"/>
      <c r="K93" s="508"/>
      <c r="L93" s="501"/>
      <c r="M93" s="501"/>
    </row>
    <row r="94" spans="2:13">
      <c r="B94" s="517"/>
      <c r="C94" s="507"/>
      <c r="D94" s="507"/>
      <c r="E94" s="507"/>
      <c r="F94" s="507"/>
      <c r="G94" s="507"/>
      <c r="H94" s="506"/>
      <c r="I94" s="506"/>
      <c r="J94" s="506"/>
      <c r="K94" s="508"/>
      <c r="L94" s="501"/>
      <c r="M94" s="501"/>
    </row>
    <row r="95" spans="2:13">
      <c r="B95" s="516" t="s">
        <v>142</v>
      </c>
      <c r="C95" s="502">
        <v>0.8</v>
      </c>
      <c r="D95" s="502">
        <v>0.8</v>
      </c>
      <c r="E95" s="502">
        <v>0.125</v>
      </c>
      <c r="F95" s="502">
        <v>0.05</v>
      </c>
      <c r="G95" s="502">
        <v>10</v>
      </c>
      <c r="H95" s="501">
        <v>0.25</v>
      </c>
      <c r="I95" s="501">
        <v>10</v>
      </c>
      <c r="J95" s="501">
        <v>0.25</v>
      </c>
      <c r="K95" s="503"/>
      <c r="L95" s="501">
        <v>0.9</v>
      </c>
      <c r="M95" s="501">
        <v>0.45</v>
      </c>
    </row>
    <row r="96" spans="2:13">
      <c r="B96" s="517"/>
      <c r="C96" s="507"/>
      <c r="D96" s="507"/>
      <c r="E96" s="507"/>
      <c r="F96" s="507"/>
      <c r="G96" s="507"/>
      <c r="H96" s="506"/>
      <c r="I96" s="506"/>
      <c r="J96" s="506"/>
      <c r="K96" s="508"/>
      <c r="L96" s="501"/>
      <c r="M96" s="501"/>
    </row>
    <row r="97" spans="2:20">
      <c r="B97" s="517"/>
      <c r="C97" s="507"/>
      <c r="D97" s="507"/>
      <c r="E97" s="507"/>
      <c r="F97" s="507"/>
      <c r="G97" s="507"/>
      <c r="H97" s="506"/>
      <c r="I97" s="506"/>
      <c r="J97" s="506"/>
      <c r="K97" s="508"/>
      <c r="L97" s="501"/>
      <c r="M97" s="501"/>
    </row>
    <row r="98" spans="2:20">
      <c r="B98" s="517"/>
      <c r="C98" s="507"/>
      <c r="D98" s="507"/>
      <c r="E98" s="507"/>
      <c r="F98" s="507"/>
      <c r="G98" s="507"/>
      <c r="H98" s="506"/>
      <c r="I98" s="506"/>
      <c r="J98" s="506"/>
      <c r="K98" s="508"/>
      <c r="L98" s="501"/>
      <c r="M98" s="501"/>
    </row>
    <row r="99" spans="2:20">
      <c r="B99" s="506"/>
      <c r="C99" s="507"/>
      <c r="D99" s="507"/>
      <c r="E99" s="507"/>
      <c r="F99" s="507"/>
      <c r="G99" s="507"/>
      <c r="H99" s="506"/>
      <c r="I99" s="506"/>
      <c r="J99" s="506"/>
      <c r="K99" s="508"/>
      <c r="L99" s="501"/>
      <c r="M99" s="501"/>
    </row>
    <row r="100" spans="2:20">
      <c r="B100" s="518"/>
      <c r="C100" s="518"/>
      <c r="D100" s="518"/>
      <c r="E100" s="518"/>
      <c r="F100" s="518"/>
      <c r="G100" s="518"/>
      <c r="H100" s="518"/>
      <c r="I100" s="518"/>
      <c r="J100" s="518"/>
      <c r="K100" s="519"/>
      <c r="L100" s="518"/>
      <c r="M100" s="518"/>
    </row>
    <row r="103" spans="2:20">
      <c r="K103" s="520" t="s">
        <v>143</v>
      </c>
      <c r="L103" s="931" t="s">
        <v>144</v>
      </c>
      <c r="M103" s="932"/>
      <c r="N103" s="932"/>
      <c r="O103" s="932"/>
      <c r="P103" s="932"/>
      <c r="Q103" s="932"/>
      <c r="R103" s="932"/>
      <c r="S103" s="933"/>
    </row>
    <row r="104" spans="2:20">
      <c r="B104" s="520" t="s">
        <v>145</v>
      </c>
      <c r="K104" s="521">
        <v>1</v>
      </c>
      <c r="L104" s="926" t="s">
        <v>7</v>
      </c>
      <c r="M104" s="934"/>
      <c r="N104" s="927"/>
      <c r="O104" s="926" t="s">
        <v>6</v>
      </c>
      <c r="P104" s="934"/>
      <c r="Q104" s="927"/>
      <c r="R104" s="926" t="s">
        <v>146</v>
      </c>
      <c r="S104" s="927"/>
    </row>
    <row r="105" spans="2:20">
      <c r="D105" s="522" t="s">
        <v>147</v>
      </c>
      <c r="E105" s="523" t="s">
        <v>1</v>
      </c>
      <c r="G105" s="524" t="s">
        <v>148</v>
      </c>
      <c r="H105" s="524" t="s">
        <v>149</v>
      </c>
      <c r="I105" s="524" t="s">
        <v>150</v>
      </c>
      <c r="J105" s="524" t="s">
        <v>151</v>
      </c>
      <c r="K105" s="524" t="s">
        <v>152</v>
      </c>
      <c r="L105" s="926" t="s">
        <v>153</v>
      </c>
      <c r="M105" s="927"/>
      <c r="N105" s="183" t="s">
        <v>1</v>
      </c>
      <c r="O105" s="926" t="s">
        <v>153</v>
      </c>
      <c r="P105" s="927"/>
      <c r="Q105" s="183" t="s">
        <v>1</v>
      </c>
      <c r="R105" s="183" t="s">
        <v>1</v>
      </c>
      <c r="S105" s="183" t="s">
        <v>80</v>
      </c>
    </row>
    <row r="106" spans="2:20">
      <c r="B106" t="s">
        <v>154</v>
      </c>
      <c r="C106" s="520" t="s">
        <v>155</v>
      </c>
      <c r="E106" s="1">
        <f>22*1.1</f>
        <v>24.200000000000003</v>
      </c>
      <c r="G106" s="196">
        <f>+E106*(C6+E6*2+1.5)</f>
        <v>48.400000000000006</v>
      </c>
      <c r="H106" s="196">
        <f>+E106*(C6+E6*2)*(D6+E6+F6)</f>
        <v>5.4450000000000012</v>
      </c>
      <c r="I106" s="525">
        <f>+(C6+E6*2)*E106*F6</f>
        <v>0.60500000000000009</v>
      </c>
      <c r="J106" s="525">
        <f>+E106*((C6+E6*2)*E6+(D6*E6*2))</f>
        <v>2.6620000000000004</v>
      </c>
      <c r="K106" s="525">
        <f>+(D6+$K$104*(D6+E6))*E106*2</f>
        <v>33.880000000000003</v>
      </c>
      <c r="L106" s="187">
        <f>+(E106)/H6+ IF(E106&gt;0,1,0)</f>
        <v>122.00000000000001</v>
      </c>
      <c r="M106" s="198">
        <f>+ROUNDUP(L106,0)</f>
        <v>122</v>
      </c>
      <c r="N106" s="189">
        <f>+(D6+E6-0.08)*2+(C6+E6*2-0.08)</f>
        <v>1.06</v>
      </c>
      <c r="O106" s="187">
        <f>+N106/J6+1</f>
        <v>5.24</v>
      </c>
      <c r="P106" s="198">
        <f>+ROUNDUP(O106,0)</f>
        <v>6</v>
      </c>
      <c r="Q106" s="188">
        <f>+E106+E106/6*50*(G6/1000)</f>
        <v>26.216666666666669</v>
      </c>
      <c r="R106" s="428">
        <f>+N106*M106+P106*Q106</f>
        <v>286.62</v>
      </c>
      <c r="S106" s="525">
        <f>((I6*I6)/162)*R106</f>
        <v>176.92592592592592</v>
      </c>
      <c r="T106" t="s">
        <v>156</v>
      </c>
    </row>
    <row r="107" spans="2:20">
      <c r="C107" t="s">
        <v>101</v>
      </c>
      <c r="D107" s="526">
        <f>ROUNDUP(+E106/K6,0)</f>
        <v>9</v>
      </c>
      <c r="E107" s="1"/>
      <c r="G107" s="527"/>
      <c r="H107" s="527"/>
      <c r="I107" s="528"/>
      <c r="J107" s="528">
        <f>0.5*(0.075+0.05)*0.075*C6*D107</f>
        <v>1.2656249999999999E-2</v>
      </c>
      <c r="K107" s="528">
        <f>+(0.075+0.08)*C6*D107</f>
        <v>0.41849999999999998</v>
      </c>
      <c r="L107" s="529">
        <f>+D107</f>
        <v>9</v>
      </c>
      <c r="M107" s="198">
        <f>+ROUNDUP(L107,0)</f>
        <v>9</v>
      </c>
      <c r="N107" s="194">
        <f>+(C6-0.08)+((0.075+0.05-0.04)*2)</f>
        <v>0.38999999999999996</v>
      </c>
      <c r="O107" s="529"/>
      <c r="P107" s="201"/>
      <c r="Q107" s="195"/>
      <c r="R107" s="428">
        <f>+N107*M107+P107*Q107</f>
        <v>3.51</v>
      </c>
      <c r="S107" s="525">
        <f>((I6*I6)/162)*R107</f>
        <v>2.1666666666666665</v>
      </c>
      <c r="T107" t="s">
        <v>156</v>
      </c>
    </row>
    <row r="108" spans="2:20">
      <c r="E108" s="1"/>
      <c r="M108" s="530"/>
    </row>
    <row r="109" spans="2:20">
      <c r="B109" t="s">
        <v>154</v>
      </c>
      <c r="C109" s="520" t="s">
        <v>157</v>
      </c>
      <c r="E109" s="1">
        <f>420*1.1</f>
        <v>462.00000000000006</v>
      </c>
      <c r="G109" s="196">
        <f>+E109*(C9+E9*2+1.5)</f>
        <v>993.30000000000007</v>
      </c>
      <c r="H109" s="196">
        <f>+E109*(C9+E9*2)*(D9+E9+F9)</f>
        <v>180.18000000000006</v>
      </c>
      <c r="I109" s="525">
        <f>+(C9+E9*2)*E109*F9</f>
        <v>15.015000000000004</v>
      </c>
      <c r="J109" s="525">
        <f>+E109*((C9+E9*2)*E9+(D9*E9*2))</f>
        <v>71.610000000000028</v>
      </c>
      <c r="K109" s="525">
        <f>+(D9+$K$104*(D9+E9))*E109*2</f>
        <v>924.00000000000011</v>
      </c>
      <c r="L109" s="187">
        <f>+(E109)/H9+ IF(E109&gt;0,1,0)</f>
        <v>2311</v>
      </c>
      <c r="M109" s="198">
        <f>+ROUNDUP(L109,0)</f>
        <v>2311</v>
      </c>
      <c r="N109" s="189">
        <f>+(D9+E9-0.08)*2+(C9+E9*2-0.08)</f>
        <v>1.5100000000000002</v>
      </c>
      <c r="O109" s="187">
        <f>+N109/J9+1</f>
        <v>7.0400000000000009</v>
      </c>
      <c r="P109" s="198">
        <f>+ROUNDUP(O109,0)</f>
        <v>8</v>
      </c>
      <c r="Q109" s="188">
        <f>+E109+E109/6*50*(G9/1000)</f>
        <v>500.50000000000006</v>
      </c>
      <c r="R109" s="428">
        <f>+N109*M109+P109*Q109</f>
        <v>7493.6100000000006</v>
      </c>
      <c r="S109" s="525">
        <f>((I9*I9)/162)*R109</f>
        <v>4625.6851851851852</v>
      </c>
      <c r="T109" t="s">
        <v>156</v>
      </c>
    </row>
    <row r="110" spans="2:20">
      <c r="C110" t="s">
        <v>101</v>
      </c>
      <c r="D110" s="526">
        <f>ROUNDUP(+E109/K9,0)</f>
        <v>154</v>
      </c>
      <c r="E110" s="1"/>
      <c r="G110" s="527"/>
      <c r="H110" s="527"/>
      <c r="I110" s="528"/>
      <c r="J110" s="528">
        <f>0.5*(0.075+0.05)*0.075*C9*D110</f>
        <v>0.32484375000000004</v>
      </c>
      <c r="K110" s="528">
        <f>+(0.075+0.08)*C9*D110</f>
        <v>10.7415</v>
      </c>
      <c r="L110" s="529">
        <f>+D110</f>
        <v>154</v>
      </c>
      <c r="M110" s="198">
        <f>+ROUNDUP(L110,0)</f>
        <v>154</v>
      </c>
      <c r="N110" s="194">
        <f>+(C9-0.08)+((0.075+0.05-0.04)*2)</f>
        <v>0.54</v>
      </c>
      <c r="O110" s="529"/>
      <c r="P110" s="201"/>
      <c r="Q110" s="195"/>
      <c r="R110" s="428">
        <f>+N110*M110+P110*Q110</f>
        <v>83.160000000000011</v>
      </c>
      <c r="S110" s="525">
        <f>((I9*I9)/162)*R110</f>
        <v>51.333333333333336</v>
      </c>
      <c r="T110" t="s">
        <v>156</v>
      </c>
    </row>
    <row r="111" spans="2:20">
      <c r="E111" s="1"/>
      <c r="M111" s="530"/>
    </row>
    <row r="112" spans="2:20">
      <c r="B112" t="s">
        <v>154</v>
      </c>
      <c r="C112" s="520" t="s">
        <v>158</v>
      </c>
      <c r="E112" s="1">
        <f>547*1.1</f>
        <v>601.70000000000005</v>
      </c>
      <c r="G112" s="196">
        <f>+E112*(C12+E12*2+1.5)</f>
        <v>1383.91</v>
      </c>
      <c r="H112" s="196">
        <f>+E112*(C12+E12*2)*(D12+E12+F12)</f>
        <v>361.02000000000004</v>
      </c>
      <c r="I112" s="525">
        <f>+(C12+E12*2)*E112*F12</f>
        <v>24.068000000000005</v>
      </c>
      <c r="J112" s="525">
        <f>+E112*((C12+E12*2)*E12+(D12*E12*2))</f>
        <v>120.34000000000002</v>
      </c>
      <c r="K112" s="525">
        <f>+(D12+$K$104*(D12+E12))*E112*2</f>
        <v>1564.4199999999998</v>
      </c>
      <c r="L112" s="187">
        <f>+(E112)/H12+ IF(E112&gt;0,1,0)</f>
        <v>3009.5</v>
      </c>
      <c r="M112" s="198">
        <f>+ROUNDUP(L112,0)</f>
        <v>3010</v>
      </c>
      <c r="N112" s="189">
        <f>+(D12+E12-0.08)*2+(C12+E12*2-0.08)</f>
        <v>1.96</v>
      </c>
      <c r="O112" s="187">
        <f>+N112/J12+1</f>
        <v>8.84</v>
      </c>
      <c r="P112" s="198">
        <f>+ROUNDUP(O112,0)</f>
        <v>9</v>
      </c>
      <c r="Q112" s="188">
        <f>+E112+E112/6*50*(G12/1000)</f>
        <v>651.8416666666667</v>
      </c>
      <c r="R112" s="428">
        <f>+N112*M112+P112*Q112</f>
        <v>11766.174999999999</v>
      </c>
      <c r="S112" s="525">
        <f>((I12*I12)/162)*R112</f>
        <v>7263.0709876543206</v>
      </c>
      <c r="T112" t="s">
        <v>156</v>
      </c>
    </row>
    <row r="113" spans="2:20">
      <c r="C113" t="s">
        <v>101</v>
      </c>
      <c r="D113" s="526">
        <f>ROUNDUP(+E112/K12,0)</f>
        <v>201</v>
      </c>
      <c r="E113" s="1"/>
      <c r="G113" s="527"/>
      <c r="H113" s="527"/>
      <c r="I113" s="528"/>
      <c r="J113" s="528">
        <f>0.5*(0.075+0.05)*0.075*C12*D113</f>
        <v>0.5653125</v>
      </c>
      <c r="K113" s="528">
        <f>+(0.075+0.08)*C12*D113</f>
        <v>18.693000000000001</v>
      </c>
      <c r="L113" s="529">
        <f>+D113</f>
        <v>201</v>
      </c>
      <c r="M113" s="198">
        <f>+ROUNDUP(L113,0)</f>
        <v>201</v>
      </c>
      <c r="N113" s="194">
        <f>+(C12-0.08)+((0.075+0.05-0.04)*2)</f>
        <v>0.69</v>
      </c>
      <c r="O113" s="529"/>
      <c r="P113" s="201"/>
      <c r="Q113" s="195"/>
      <c r="R113" s="428">
        <f>+N113*M113+P113*Q113</f>
        <v>138.69</v>
      </c>
      <c r="S113" s="525">
        <f>((I12*I12)/162)*R113</f>
        <v>85.6111111111111</v>
      </c>
      <c r="T113" t="s">
        <v>156</v>
      </c>
    </row>
    <row r="114" spans="2:20">
      <c r="E114" s="1"/>
    </row>
    <row r="115" spans="2:20">
      <c r="B115" t="s">
        <v>154</v>
      </c>
      <c r="C115" s="520" t="s">
        <v>160</v>
      </c>
      <c r="E115" s="1">
        <f>61.5*1.1</f>
        <v>67.650000000000006</v>
      </c>
      <c r="G115" s="196">
        <f>+E115*(C15+E15*2+1.5)</f>
        <v>169.125</v>
      </c>
      <c r="H115" s="196">
        <f>+E115*(C15+E15*2)*(D15+E15+F15)</f>
        <v>62.576250000000009</v>
      </c>
      <c r="I115" s="525">
        <f>+(C15+E15*2)*E115*F15</f>
        <v>3.3825000000000003</v>
      </c>
      <c r="J115" s="525">
        <f>+E115*((C15+E15*2)*E15+(D15*E15*2))</f>
        <v>21.140625</v>
      </c>
      <c r="K115" s="525">
        <f>+(D15+$K$104*(D15+E15))*E115*2</f>
        <v>219.86250000000001</v>
      </c>
      <c r="L115" s="187">
        <f>+(E115)/H15+ IF(E115&gt;0,1,0)</f>
        <v>339.25</v>
      </c>
      <c r="M115" s="198">
        <f>+ROUNDUP(L115,0)</f>
        <v>340</v>
      </c>
      <c r="N115" s="189">
        <f>+(D15+E15-0.08)*2+(C15+E15*2-0.08)</f>
        <v>2.5100000000000002</v>
      </c>
      <c r="O115" s="187">
        <f>+N115/J15+1</f>
        <v>11.040000000000001</v>
      </c>
      <c r="P115" s="198">
        <f>+ROUNDUP(O115,0)</f>
        <v>12</v>
      </c>
      <c r="Q115" s="188">
        <f>+E115+E115/6*50*(G15/1000)</f>
        <v>73.287500000000009</v>
      </c>
      <c r="R115" s="428">
        <f>+N115*M115+P115*Q115</f>
        <v>1732.8500000000001</v>
      </c>
      <c r="S115" s="525">
        <f>((I15*I15)/162)*R115</f>
        <v>1069.6604938271605</v>
      </c>
      <c r="T115" t="s">
        <v>156</v>
      </c>
    </row>
    <row r="116" spans="2:20">
      <c r="C116" t="s">
        <v>101</v>
      </c>
      <c r="D116" s="526">
        <f>ROUNDUP(+E115/K15,0)</f>
        <v>23</v>
      </c>
      <c r="E116" s="1"/>
      <c r="G116" s="527"/>
      <c r="H116" s="527"/>
      <c r="I116" s="528"/>
      <c r="J116" s="528">
        <f>0.5*(0.075+0.05)*0.075*C15*D116</f>
        <v>8.0859374999999997E-2</v>
      </c>
      <c r="K116" s="528">
        <f>+(0.075+0.08)*C15*D116</f>
        <v>2.6737499999999996</v>
      </c>
      <c r="L116" s="529">
        <f>+D116</f>
        <v>23</v>
      </c>
      <c r="M116" s="198">
        <f>+ROUNDUP(L116,0)</f>
        <v>23</v>
      </c>
      <c r="N116" s="194">
        <f>+(C15-0.08)+((0.075+0.05-0.04)*2)</f>
        <v>0.84000000000000008</v>
      </c>
      <c r="O116" s="529"/>
      <c r="P116" s="201"/>
      <c r="Q116" s="195"/>
      <c r="R116" s="428">
        <f>+N116*M116+P116*Q116</f>
        <v>19.32</v>
      </c>
      <c r="S116" s="525">
        <f>((I15*I15)/162)*R116</f>
        <v>11.925925925925926</v>
      </c>
      <c r="T116" t="s">
        <v>156</v>
      </c>
    </row>
    <row r="118" spans="2:20">
      <c r="B118" s="531" t="s">
        <v>187</v>
      </c>
      <c r="C118" s="520" t="s">
        <v>184</v>
      </c>
      <c r="E118" s="1">
        <f>48*1.1</f>
        <v>52.800000000000004</v>
      </c>
      <c r="G118" s="196">
        <f>+E118*(C87+E87*2+1)</f>
        <v>95.04</v>
      </c>
      <c r="H118" s="196">
        <f>0.5*L87*M87*D119</f>
        <v>10.7325</v>
      </c>
      <c r="I118" s="525">
        <f>+(L87*(C87+2*E87)*D119*E87)</f>
        <v>3.8160000000000007</v>
      </c>
      <c r="J118" s="525">
        <f>+D119*(L87+M87)*E87*(C87+2*E87)+D119*((L87+M87)*E87*D87)*2</f>
        <v>14.310000000000002</v>
      </c>
      <c r="K118" s="525">
        <f>+(D87+(D87+E87))*E118*2</f>
        <v>137.28</v>
      </c>
      <c r="L118" s="187">
        <f>+(D119*(L87+M87))/H87+ IF(E118&gt;0,1,0)</f>
        <v>287.20000000000005</v>
      </c>
      <c r="M118" s="198">
        <f>+ROUNDUP(L118,0)</f>
        <v>288</v>
      </c>
      <c r="N118" s="189">
        <f>+(D87+E87-0.08)*2+(C87+E87*2-0.08)</f>
        <v>1.96</v>
      </c>
      <c r="O118" s="187">
        <f>+N118/J87+1</f>
        <v>8.84</v>
      </c>
      <c r="P118" s="198">
        <f>+ROUNDUP(O118,0)</f>
        <v>9</v>
      </c>
      <c r="Q118" s="188">
        <f>+(L87+M87-2*0.04)*D119+(((L87+M87-2*0.04)*D119)/6*50*(I87/1000))</f>
        <v>72.919166666666669</v>
      </c>
      <c r="R118" s="428">
        <f>+N118*M118+P118*Q118</f>
        <v>1220.7525000000001</v>
      </c>
      <c r="S118" s="525">
        <f>((I87*I87)/162)*R118</f>
        <v>753.55092592592587</v>
      </c>
      <c r="T118" t="s">
        <v>156</v>
      </c>
    </row>
    <row r="119" spans="2:20">
      <c r="C119" t="s">
        <v>181</v>
      </c>
      <c r="D119" s="526">
        <f>ROUNDUP(+(E118/SQRT(L87^2+M87^2)),0)</f>
        <v>53</v>
      </c>
      <c r="E119" s="1"/>
      <c r="G119" s="527"/>
      <c r="H119" s="527"/>
      <c r="I119" s="528"/>
      <c r="J119" s="528"/>
      <c r="K119" s="528"/>
      <c r="L119" s="529"/>
      <c r="M119" s="198"/>
      <c r="N119" s="194"/>
      <c r="O119" s="529"/>
      <c r="P119" s="201"/>
      <c r="Q119" s="195"/>
      <c r="R119" s="428"/>
      <c r="S119" s="525"/>
    </row>
    <row r="120" spans="2:20">
      <c r="C120" t="s">
        <v>182</v>
      </c>
      <c r="D120">
        <f>ROUNDUP(+E118/1,0)</f>
        <v>53</v>
      </c>
    </row>
    <row r="122" spans="2:20">
      <c r="B122" s="531" t="s">
        <v>187</v>
      </c>
      <c r="C122" s="520" t="s">
        <v>186</v>
      </c>
      <c r="E122" s="1">
        <f>85.5*1.1</f>
        <v>94.050000000000011</v>
      </c>
      <c r="G122" s="196">
        <f>+E122*(C95+E95*2+1)</f>
        <v>192.80250000000001</v>
      </c>
      <c r="H122" s="196">
        <f>0.5*L95*M95*D123</f>
        <v>19.035</v>
      </c>
      <c r="I122" s="525">
        <f>+(L95*(C95+2*E95)*D123*E95)</f>
        <v>11.103750000000002</v>
      </c>
      <c r="J122" s="525">
        <f>+D123*(L95+M95)*E95*(C95+2*E95)+D123*((L95+M95)*E95*D95)*2</f>
        <v>42.035625000000003</v>
      </c>
      <c r="K122" s="525">
        <f>+(D95+(D95+E95))*E122*2</f>
        <v>324.47250000000008</v>
      </c>
      <c r="L122" s="187">
        <f>+(D123*(L95+M95))/H95+ IF(E122&gt;0,1,0)</f>
        <v>508.6</v>
      </c>
      <c r="M122" s="198">
        <f>+ROUNDUP(L122,0)</f>
        <v>509</v>
      </c>
      <c r="N122" s="189">
        <f>+(D95+E95-0.08)*2+(C95+E95*2-0.08)</f>
        <v>2.66</v>
      </c>
      <c r="O122" s="187">
        <f>+N122/J95+1</f>
        <v>11.64</v>
      </c>
      <c r="P122" s="198">
        <f>+ROUNDUP(O122,0)</f>
        <v>12</v>
      </c>
      <c r="Q122" s="188">
        <f>+(L95+M95-2*0.04)*D123+(((L95+M95-2*0.04)*D123)/6*50*(I95/1000))</f>
        <v>129.32833333333332</v>
      </c>
      <c r="R122" s="428">
        <f>+N122*M122+P122*Q122</f>
        <v>2905.88</v>
      </c>
      <c r="S122" s="525">
        <f>((I95*I95)/162)*R122</f>
        <v>1793.7530864197531</v>
      </c>
      <c r="T122" t="s">
        <v>156</v>
      </c>
    </row>
    <row r="123" spans="2:20">
      <c r="C123" t="s">
        <v>181</v>
      </c>
      <c r="D123" s="526">
        <f>ROUNDUP(+(E122/SQRT(L95^2+M95^2)),0)</f>
        <v>94</v>
      </c>
      <c r="E123" s="1"/>
      <c r="G123" s="527"/>
      <c r="H123" s="527"/>
      <c r="I123" s="528"/>
      <c r="J123" s="528"/>
      <c r="K123" s="528"/>
      <c r="L123" s="529"/>
      <c r="M123" s="198"/>
      <c r="N123" s="194"/>
      <c r="O123" s="529"/>
      <c r="P123" s="201"/>
      <c r="Q123" s="195"/>
      <c r="R123" s="428"/>
      <c r="S123" s="525"/>
    </row>
    <row r="124" spans="2:20">
      <c r="C124" t="s">
        <v>182</v>
      </c>
      <c r="D124">
        <f>ROUNDUP(+E122/1,0)</f>
        <v>95</v>
      </c>
    </row>
    <row r="125" spans="2:20" s="520" customFormat="1">
      <c r="G125" s="533">
        <f>+SUM(G106:G123)</f>
        <v>2882.5775000000003</v>
      </c>
      <c r="H125" s="533">
        <f t="shared" ref="H125:K125" si="0">+SUM(H106:H123)</f>
        <v>638.98874999999998</v>
      </c>
      <c r="I125" s="533">
        <f t="shared" si="0"/>
        <v>57.990250000000017</v>
      </c>
      <c r="J125" s="533">
        <f t="shared" si="0"/>
        <v>273.08192187500003</v>
      </c>
      <c r="K125" s="533">
        <f t="shared" si="0"/>
        <v>3236.4417500000009</v>
      </c>
      <c r="S125" s="533">
        <f t="shared" ref="S125" si="1">+SUM(S106:S123)</f>
        <v>15833.683641975307</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1BDD-3543-4EE3-BDCC-D527E6B19231}">
  <sheetPr>
    <tabColor theme="3" tint="-0.249977111117893"/>
  </sheetPr>
  <dimension ref="A1:M44"/>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3"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ht="24.75" customHeight="1">
      <c r="A1" s="976" t="str">
        <f>'Bill No. 7'!A1:F1</f>
        <v>LOT -06 - BILLS OF QUANTITIES</v>
      </c>
      <c r="B1" s="977"/>
      <c r="C1" s="977"/>
      <c r="D1" s="977"/>
      <c r="E1" s="977"/>
      <c r="F1" s="978"/>
    </row>
    <row r="2" spans="1:13" customFormat="1" ht="48" customHeight="1">
      <c r="A2" s="872" t="s">
        <v>1506</v>
      </c>
      <c r="B2" s="873"/>
      <c r="C2" s="873"/>
      <c r="D2" s="873"/>
      <c r="E2" s="873"/>
      <c r="F2" s="874"/>
    </row>
    <row r="3" spans="1:13" customFormat="1" ht="14.4" hidden="1">
      <c r="A3" s="748"/>
      <c r="B3" s="749"/>
      <c r="C3" s="749"/>
      <c r="D3" s="749"/>
      <c r="E3" s="750"/>
      <c r="F3" s="751"/>
    </row>
    <row r="4" spans="1:13">
      <c r="A4" s="560"/>
      <c r="B4" s="561" t="s">
        <v>8</v>
      </c>
      <c r="C4" s="306"/>
      <c r="D4" s="562"/>
      <c r="E4" s="307"/>
      <c r="F4" s="563" t="s">
        <v>9</v>
      </c>
    </row>
    <row r="5" spans="1:13" s="11" customFormat="1" ht="48" customHeight="1">
      <c r="A5" s="713"/>
      <c r="B5" s="942" t="s">
        <v>1500</v>
      </c>
      <c r="C5" s="942"/>
      <c r="D5" s="942"/>
      <c r="E5" s="942"/>
      <c r="F5" s="719"/>
      <c r="H5" s="12"/>
      <c r="I5" s="13"/>
      <c r="J5" s="12"/>
      <c r="L5" s="14"/>
    </row>
    <row r="6" spans="1:13" s="11" customFormat="1" ht="47.4" customHeight="1">
      <c r="A6" s="713"/>
      <c r="B6" s="943" t="s">
        <v>1501</v>
      </c>
      <c r="C6" s="943"/>
      <c r="D6" s="943"/>
      <c r="E6" s="943"/>
      <c r="F6" s="719"/>
      <c r="H6" s="12"/>
      <c r="I6" s="13"/>
      <c r="J6" s="12"/>
      <c r="L6" s="14"/>
    </row>
    <row r="7" spans="1:13" s="11" customFormat="1" ht="24.9" customHeight="1" thickBot="1">
      <c r="A7" s="727"/>
      <c r="B7" s="944" t="s">
        <v>10</v>
      </c>
      <c r="C7" s="944"/>
      <c r="D7" s="944"/>
      <c r="E7" s="945"/>
      <c r="F7" s="728"/>
      <c r="H7" s="12"/>
      <c r="I7" s="17"/>
      <c r="J7" s="12"/>
      <c r="K7" s="14"/>
      <c r="M7" s="12"/>
    </row>
    <row r="8" spans="1:13" s="11" customFormat="1">
      <c r="A8" s="18"/>
      <c r="C8" s="18"/>
      <c r="D8" s="19"/>
      <c r="E8" s="20"/>
      <c r="F8" s="20"/>
      <c r="H8" s="12"/>
      <c r="I8" s="13"/>
      <c r="J8" s="12"/>
    </row>
    <row r="9" spans="1:13" s="11" customFormat="1">
      <c r="A9" s="18"/>
      <c r="C9" s="18"/>
      <c r="D9" s="19"/>
      <c r="E9" s="20"/>
      <c r="F9" s="20"/>
      <c r="H9" s="12"/>
      <c r="I9" s="13"/>
      <c r="J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row r="35" spans="1:10" s="11" customFormat="1">
      <c r="A35" s="18"/>
      <c r="C35" s="18"/>
      <c r="D35" s="19"/>
      <c r="E35" s="20"/>
      <c r="F35" s="20"/>
      <c r="H35" s="12"/>
      <c r="I35" s="13"/>
      <c r="J35" s="12"/>
    </row>
    <row r="36" spans="1:10" s="11" customFormat="1">
      <c r="A36" s="18"/>
      <c r="C36" s="18"/>
      <c r="D36" s="19"/>
      <c r="E36" s="20"/>
      <c r="F36" s="20"/>
      <c r="H36" s="12"/>
      <c r="I36" s="13"/>
      <c r="J36" s="12"/>
    </row>
    <row r="37" spans="1:10" s="11" customFormat="1">
      <c r="A37" s="18"/>
      <c r="C37" s="18"/>
      <c r="D37" s="19"/>
      <c r="E37" s="20"/>
      <c r="F37" s="20"/>
      <c r="H37" s="12"/>
      <c r="I37" s="13"/>
      <c r="J37" s="12"/>
    </row>
    <row r="38" spans="1:10" s="11" customFormat="1">
      <c r="A38" s="18"/>
      <c r="C38" s="18"/>
      <c r="D38" s="19"/>
      <c r="E38" s="20"/>
      <c r="F38" s="20"/>
      <c r="H38" s="12"/>
      <c r="I38" s="13"/>
      <c r="J38" s="12"/>
    </row>
    <row r="39" spans="1:10" s="11" customFormat="1">
      <c r="A39" s="18"/>
      <c r="C39" s="18"/>
      <c r="D39" s="19"/>
      <c r="E39" s="20"/>
      <c r="F39" s="20"/>
      <c r="H39" s="12"/>
      <c r="I39" s="13"/>
      <c r="J39" s="12"/>
    </row>
    <row r="40" spans="1:10" s="11" customFormat="1">
      <c r="A40" s="18"/>
      <c r="C40" s="18"/>
      <c r="D40" s="19"/>
      <c r="E40" s="20"/>
      <c r="F40" s="20"/>
      <c r="H40" s="12"/>
      <c r="I40" s="13"/>
      <c r="J40" s="12"/>
    </row>
    <row r="41" spans="1:10" s="11" customFormat="1">
      <c r="A41" s="18"/>
      <c r="C41" s="18"/>
      <c r="D41" s="19"/>
      <c r="E41" s="20"/>
      <c r="F41" s="20"/>
      <c r="H41" s="12"/>
      <c r="I41" s="13"/>
      <c r="J41" s="12"/>
    </row>
    <row r="42" spans="1:10" s="11" customFormat="1">
      <c r="A42" s="18"/>
      <c r="C42" s="18"/>
      <c r="D42" s="19"/>
      <c r="E42" s="20"/>
      <c r="F42" s="20"/>
      <c r="H42" s="12"/>
      <c r="I42" s="13"/>
      <c r="J42" s="12"/>
    </row>
    <row r="43" spans="1:10" s="11" customFormat="1">
      <c r="A43" s="18"/>
      <c r="C43" s="18"/>
      <c r="D43" s="19"/>
      <c r="E43" s="20"/>
      <c r="F43" s="20"/>
      <c r="H43" s="12"/>
      <c r="I43" s="13"/>
      <c r="J43" s="12"/>
    </row>
    <row r="44" spans="1:10" s="11" customFormat="1">
      <c r="A44" s="18"/>
      <c r="C44" s="18"/>
      <c r="D44" s="19"/>
      <c r="E44" s="20"/>
      <c r="F44" s="20"/>
      <c r="H44" s="12"/>
      <c r="I44" s="13"/>
      <c r="J44" s="12"/>
    </row>
  </sheetData>
  <mergeCells count="5">
    <mergeCell ref="A1:F1"/>
    <mergeCell ref="A2:F2"/>
    <mergeCell ref="B5:E5"/>
    <mergeCell ref="B6:E6"/>
    <mergeCell ref="B7:E7"/>
  </mergeCells>
  <printOptions horizontalCentered="1"/>
  <pageMargins left="0.75" right="0.4" top="0.75" bottom="0.5" header="0" footer="0"/>
  <pageSetup paperSize="9" scale="70" fitToHeight="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A89AE-CA38-4759-BC7B-ADFDE47F57B4}">
  <sheetPr>
    <tabColor theme="3" tint="-0.249977111117893"/>
  </sheetPr>
  <dimension ref="A1:M28"/>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3"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ht="24.75" customHeight="1">
      <c r="A1" s="976" t="str">
        <f>'Bill No.8'!A1:F1</f>
        <v>LOT -06 - BILLS OF QUANTITIES</v>
      </c>
      <c r="B1" s="977"/>
      <c r="C1" s="977"/>
      <c r="D1" s="977"/>
      <c r="E1" s="977"/>
      <c r="F1" s="978"/>
    </row>
    <row r="2" spans="1:13" customFormat="1" ht="57.6" customHeight="1">
      <c r="A2" s="872" t="s">
        <v>1507</v>
      </c>
      <c r="B2" s="873"/>
      <c r="C2" s="873"/>
      <c r="D2" s="873"/>
      <c r="E2" s="873"/>
      <c r="F2" s="874"/>
    </row>
    <row r="3" spans="1:13" customFormat="1" ht="3.6" hidden="1" customHeight="1">
      <c r="A3" s="748"/>
      <c r="B3" s="749"/>
      <c r="C3" s="749"/>
      <c r="D3" s="749"/>
      <c r="E3" s="750"/>
      <c r="F3" s="751"/>
    </row>
    <row r="4" spans="1:13">
      <c r="A4" s="560"/>
      <c r="B4" s="561" t="s">
        <v>8</v>
      </c>
      <c r="C4" s="306"/>
      <c r="D4" s="562"/>
      <c r="E4" s="307"/>
      <c r="F4" s="563" t="s">
        <v>9</v>
      </c>
    </row>
    <row r="5" spans="1:13" s="11" customFormat="1" ht="33" customHeight="1">
      <c r="A5" s="564"/>
      <c r="B5" s="875" t="s">
        <v>1477</v>
      </c>
      <c r="C5" s="875"/>
      <c r="D5" s="875"/>
      <c r="E5" s="876"/>
      <c r="F5" s="10"/>
      <c r="H5" s="12"/>
      <c r="I5" s="13"/>
      <c r="J5" s="12"/>
      <c r="L5" s="14"/>
    </row>
    <row r="6" spans="1:13" s="11" customFormat="1" ht="33" customHeight="1">
      <c r="A6" s="564"/>
      <c r="B6" s="890" t="s">
        <v>1144</v>
      </c>
      <c r="C6" s="890"/>
      <c r="D6" s="890"/>
      <c r="E6" s="891"/>
      <c r="F6" s="10"/>
      <c r="H6" s="12"/>
      <c r="I6" s="13"/>
      <c r="J6" s="12"/>
      <c r="L6" s="14"/>
    </row>
    <row r="7" spans="1:13" s="11" customFormat="1" ht="33" customHeight="1">
      <c r="A7" s="564"/>
      <c r="B7" s="890" t="s">
        <v>1166</v>
      </c>
      <c r="C7" s="890"/>
      <c r="D7" s="890"/>
      <c r="E7" s="891"/>
      <c r="F7" s="10"/>
      <c r="H7" s="12"/>
      <c r="I7" s="13"/>
      <c r="J7" s="12"/>
      <c r="L7" s="14"/>
    </row>
    <row r="8" spans="1:13" s="11" customFormat="1" ht="33" customHeight="1" thickBot="1">
      <c r="A8" s="564"/>
      <c r="B8" s="979" t="str">
        <f>'Bill No 8.1.4'!A1</f>
        <v>BILL No. 8.1.4-  HORIZONTAL DRAINS VEGETATION</v>
      </c>
      <c r="C8" s="979"/>
      <c r="D8" s="979"/>
      <c r="E8" s="980"/>
      <c r="F8" s="10"/>
      <c r="H8" s="12"/>
      <c r="I8" s="13"/>
      <c r="J8" s="12"/>
      <c r="L8" s="14"/>
    </row>
    <row r="9" spans="1:13" s="11" customFormat="1" ht="24.9" customHeight="1" thickBot="1">
      <c r="A9" s="15"/>
      <c r="B9" s="877" t="s">
        <v>10</v>
      </c>
      <c r="C9" s="877"/>
      <c r="D9" s="877"/>
      <c r="E9" s="878"/>
      <c r="F9" s="16"/>
      <c r="H9" s="12"/>
      <c r="I9" s="17"/>
      <c r="J9" s="12"/>
      <c r="K9" s="14"/>
      <c r="M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sheetData>
  <mergeCells count="7">
    <mergeCell ref="B9:E9"/>
    <mergeCell ref="A1:F1"/>
    <mergeCell ref="A2:F2"/>
    <mergeCell ref="B5:E5"/>
    <mergeCell ref="B6:E6"/>
    <mergeCell ref="B7:E7"/>
    <mergeCell ref="B8:E8"/>
  </mergeCells>
  <printOptions horizontalCentered="1"/>
  <pageMargins left="0.75" right="0.4" top="0.75" bottom="0.5" header="0" footer="0"/>
  <pageSetup paperSize="9"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2BDFD-718B-42FF-92FE-787C16D8DC60}">
  <sheetPr>
    <tabColor rgb="FFFF9933"/>
  </sheetPr>
  <dimension ref="A1:L14"/>
  <sheetViews>
    <sheetView view="pageBreakPreview" topLeftCell="A19" zoomScaleNormal="100" zoomScaleSheetLayoutView="100" workbookViewId="0">
      <selection activeCell="H7" sqref="H1:H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689" customWidth="1"/>
    <col min="6" max="6" width="14.33203125" style="31" customWidth="1"/>
    <col min="7" max="7" width="19.33203125" style="31" customWidth="1"/>
    <col min="8" max="8" width="9.44140625" style="31" hidden="1" customWidth="1"/>
    <col min="9" max="16384" width="9.109375" style="31"/>
  </cols>
  <sheetData>
    <row r="1" spans="1:12" s="27" customFormat="1" ht="60" customHeight="1" thickBot="1">
      <c r="A1" s="892" t="s">
        <v>240</v>
      </c>
      <c r="B1" s="893"/>
      <c r="C1" s="893"/>
      <c r="D1" s="894" t="str">
        <f>+'Bill 2.1'!D1:G1</f>
        <v xml:space="preserve">REDUCTION OF LANDSLIDE VULNERABILITY BY MITIGATION MEASURES MAWATHAWATTA  DELKIETH  ESTATE (Site No.78)
</v>
      </c>
      <c r="E1" s="894"/>
      <c r="F1" s="894"/>
      <c r="G1" s="895"/>
    </row>
    <row r="2" spans="1:12" ht="26.4">
      <c r="A2" s="754" t="s">
        <v>11</v>
      </c>
      <c r="B2" s="28" t="s">
        <v>12</v>
      </c>
      <c r="C2" s="29" t="s">
        <v>8</v>
      </c>
      <c r="D2" s="28" t="s">
        <v>13</v>
      </c>
      <c r="E2" s="686" t="s">
        <v>14</v>
      </c>
      <c r="F2" s="30" t="s">
        <v>15</v>
      </c>
      <c r="G2" s="755" t="s">
        <v>16</v>
      </c>
    </row>
    <row r="3" spans="1:12" ht="28.95" customHeight="1">
      <c r="A3" s="762" t="s">
        <v>241</v>
      </c>
      <c r="B3" s="41"/>
      <c r="C3" s="42" t="s">
        <v>229</v>
      </c>
      <c r="D3" s="246"/>
      <c r="E3" s="687"/>
      <c r="F3" s="247"/>
      <c r="G3" s="763"/>
    </row>
    <row r="4" spans="1:12" ht="26.4">
      <c r="A4" s="758" t="s">
        <v>242</v>
      </c>
      <c r="B4" s="33" t="s">
        <v>222</v>
      </c>
      <c r="C4" s="248" t="s">
        <v>223</v>
      </c>
      <c r="D4" s="33" t="s">
        <v>27</v>
      </c>
      <c r="E4" s="241">
        <v>50</v>
      </c>
      <c r="F4" s="35"/>
      <c r="G4" s="764"/>
    </row>
    <row r="5" spans="1:12" ht="39" customHeight="1">
      <c r="A5" s="758" t="s">
        <v>243</v>
      </c>
      <c r="B5" s="33" t="s">
        <v>224</v>
      </c>
      <c r="C5" s="248" t="s">
        <v>225</v>
      </c>
      <c r="D5" s="33" t="s">
        <v>27</v>
      </c>
      <c r="E5" s="240">
        <v>10</v>
      </c>
      <c r="F5" s="35"/>
      <c r="G5" s="764"/>
    </row>
    <row r="6" spans="1:12" ht="33.6" customHeight="1">
      <c r="A6" s="758" t="s">
        <v>244</v>
      </c>
      <c r="B6" s="46" t="s">
        <v>226</v>
      </c>
      <c r="C6" s="248" t="s">
        <v>227</v>
      </c>
      <c r="D6" s="46" t="s">
        <v>28</v>
      </c>
      <c r="E6" s="238">
        <v>5</v>
      </c>
      <c r="F6" s="35"/>
      <c r="G6" s="764"/>
    </row>
    <row r="7" spans="1:12" ht="21" customHeight="1">
      <c r="A7" s="758" t="s">
        <v>245</v>
      </c>
      <c r="B7" s="48" t="s">
        <v>228</v>
      </c>
      <c r="C7" s="249" t="s">
        <v>35</v>
      </c>
      <c r="D7" s="50" t="s">
        <v>27</v>
      </c>
      <c r="E7" s="238">
        <v>50</v>
      </c>
      <c r="F7" s="35"/>
      <c r="G7" s="764"/>
    </row>
    <row r="8" spans="1:12" ht="26.25" customHeight="1">
      <c r="A8" s="762" t="s">
        <v>246</v>
      </c>
      <c r="B8" s="41"/>
      <c r="C8" s="42" t="s">
        <v>29</v>
      </c>
      <c r="D8" s="51"/>
      <c r="E8" s="688"/>
      <c r="F8" s="41"/>
      <c r="G8" s="765"/>
    </row>
    <row r="9" spans="1:12" ht="48" customHeight="1">
      <c r="A9" s="758" t="s">
        <v>247</v>
      </c>
      <c r="B9" s="52" t="s">
        <v>30</v>
      </c>
      <c r="C9" s="53" t="s">
        <v>31</v>
      </c>
      <c r="D9" s="52" t="s">
        <v>28</v>
      </c>
      <c r="E9" s="241">
        <v>153</v>
      </c>
      <c r="F9" s="35"/>
      <c r="G9" s="764"/>
      <c r="H9" s="44">
        <f>Drains78!H107+Drains78!H110+Drains78!H113+Drains78!H169</f>
        <v>152.90090000000001</v>
      </c>
    </row>
    <row r="10" spans="1:12" ht="37.5" customHeight="1">
      <c r="A10" s="758" t="s">
        <v>248</v>
      </c>
      <c r="B10" s="52" t="s">
        <v>30</v>
      </c>
      <c r="C10" s="53" t="s">
        <v>218</v>
      </c>
      <c r="D10" s="52" t="s">
        <v>28</v>
      </c>
      <c r="E10" s="241">
        <v>198</v>
      </c>
      <c r="F10" s="237"/>
      <c r="G10" s="764"/>
      <c r="H10" s="44">
        <f>'QTY78'!J29</f>
        <v>197.27928</v>
      </c>
    </row>
    <row r="11" spans="1:12" ht="35.25" customHeight="1">
      <c r="A11" s="758" t="s">
        <v>249</v>
      </c>
      <c r="B11" s="46" t="s">
        <v>32</v>
      </c>
      <c r="C11" s="47" t="s">
        <v>219</v>
      </c>
      <c r="D11" s="46" t="s">
        <v>28</v>
      </c>
      <c r="E11" s="238">
        <v>30</v>
      </c>
      <c r="F11" s="35"/>
      <c r="G11" s="764"/>
      <c r="L11" s="54"/>
    </row>
    <row r="12" spans="1:12" ht="35.25" customHeight="1">
      <c r="A12" s="758" t="s">
        <v>250</v>
      </c>
      <c r="B12" s="46" t="s">
        <v>33</v>
      </c>
      <c r="C12" s="47" t="s">
        <v>220</v>
      </c>
      <c r="D12" s="46" t="s">
        <v>28</v>
      </c>
      <c r="E12" s="238">
        <v>15</v>
      </c>
      <c r="F12" s="35"/>
      <c r="G12" s="764"/>
      <c r="L12" s="54"/>
    </row>
    <row r="13" spans="1:12" ht="35.25" customHeight="1">
      <c r="A13" s="758" t="s">
        <v>251</v>
      </c>
      <c r="B13" s="48" t="s">
        <v>34</v>
      </c>
      <c r="C13" s="49" t="s">
        <v>35</v>
      </c>
      <c r="D13" s="50" t="s">
        <v>27</v>
      </c>
      <c r="E13" s="238">
        <v>351</v>
      </c>
      <c r="F13" s="35"/>
      <c r="G13" s="764"/>
      <c r="H13" s="44">
        <f>H9+H10</f>
        <v>350.18018000000001</v>
      </c>
      <c r="L13" s="54"/>
    </row>
    <row r="14" spans="1:12" ht="28.5" customHeight="1" thickBot="1">
      <c r="A14" s="760"/>
      <c r="B14" s="896" t="s">
        <v>252</v>
      </c>
      <c r="C14" s="897"/>
      <c r="D14" s="897"/>
      <c r="E14" s="897"/>
      <c r="F14" s="898"/>
      <c r="G14" s="761"/>
    </row>
  </sheetData>
  <mergeCells count="3">
    <mergeCell ref="A1:C1"/>
    <mergeCell ref="D1:G1"/>
    <mergeCell ref="B14:F14"/>
  </mergeCells>
  <phoneticPr fontId="31" type="noConversion"/>
  <printOptions horizontalCentered="1"/>
  <pageMargins left="0.75" right="0.4" top="0.75" bottom="0.5" header="0" footer="0"/>
  <pageSetup paperSize="9" scale="70" fitToHeight="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573D8-565F-45A8-A13F-E762BACFA6E3}">
  <sheetPr>
    <tabColor rgb="FF00B0F0"/>
  </sheetPr>
  <dimension ref="A1:M34"/>
  <sheetViews>
    <sheetView view="pageBreakPreview" zoomScaleNormal="100" zoomScaleSheetLayoutView="100" workbookViewId="0">
      <selection activeCell="F13" sqref="F13"/>
    </sheetView>
  </sheetViews>
  <sheetFormatPr defaultColWidth="8.88671875" defaultRowHeight="13.8"/>
  <cols>
    <col min="1" max="1" width="8.6640625" style="578" customWidth="1"/>
    <col min="2" max="2" width="10.33203125" style="574" customWidth="1"/>
    <col min="3" max="3" width="53.109375" style="576" customWidth="1"/>
    <col min="4" max="4" width="7.6640625" style="580" customWidth="1"/>
    <col min="5" max="5" width="8" style="700" customWidth="1"/>
    <col min="6" max="6" width="13.6640625" style="581" customWidth="1"/>
    <col min="7" max="7" width="18.33203125" style="581" customWidth="1"/>
    <col min="8" max="8" width="12.109375" style="576" hidden="1" customWidth="1"/>
    <col min="9" max="9" width="15.44140625" style="576" customWidth="1"/>
    <col min="10" max="10" width="12.88671875" style="576" hidden="1" customWidth="1"/>
    <col min="11" max="11" width="0" style="576" hidden="1" customWidth="1"/>
    <col min="12" max="12" width="12.88671875" style="576" hidden="1" customWidth="1"/>
    <col min="13" max="13" width="10.109375" style="576" hidden="1" customWidth="1"/>
    <col min="14" max="256" width="8.88671875" style="576"/>
    <col min="257" max="257" width="3.6640625" style="576" bestFit="1" customWidth="1"/>
    <col min="258" max="258" width="8.33203125" style="576" customWidth="1"/>
    <col min="259" max="259" width="46.109375" style="576" customWidth="1"/>
    <col min="260" max="260" width="11" style="576" customWidth="1"/>
    <col min="261" max="261" width="12.5546875" style="576" customWidth="1"/>
    <col min="262" max="262" width="10.88671875" style="576" customWidth="1"/>
    <col min="263" max="263" width="16.109375" style="576" customWidth="1"/>
    <col min="264" max="264" width="0" style="576" hidden="1" customWidth="1"/>
    <col min="265" max="265" width="15.44140625" style="576" customWidth="1"/>
    <col min="266" max="266" width="12.88671875" style="576" bestFit="1" customWidth="1"/>
    <col min="267" max="267" width="8.88671875" style="576"/>
    <col min="268" max="268" width="12.88671875" style="576" bestFit="1" customWidth="1"/>
    <col min="269" max="512" width="8.88671875" style="576"/>
    <col min="513" max="513" width="3.6640625" style="576" bestFit="1" customWidth="1"/>
    <col min="514" max="514" width="8.33203125" style="576" customWidth="1"/>
    <col min="515" max="515" width="46.109375" style="576" customWidth="1"/>
    <col min="516" max="516" width="11" style="576" customWidth="1"/>
    <col min="517" max="517" width="12.5546875" style="576" customWidth="1"/>
    <col min="518" max="518" width="10.88671875" style="576" customWidth="1"/>
    <col min="519" max="519" width="16.109375" style="576" customWidth="1"/>
    <col min="520" max="520" width="0" style="576" hidden="1" customWidth="1"/>
    <col min="521" max="521" width="15.44140625" style="576" customWidth="1"/>
    <col min="522" max="522" width="12.88671875" style="576" bestFit="1" customWidth="1"/>
    <col min="523" max="523" width="8.88671875" style="576"/>
    <col min="524" max="524" width="12.88671875" style="576" bestFit="1" customWidth="1"/>
    <col min="525" max="768" width="8.88671875" style="576"/>
    <col min="769" max="769" width="3.6640625" style="576" bestFit="1" customWidth="1"/>
    <col min="770" max="770" width="8.33203125" style="576" customWidth="1"/>
    <col min="771" max="771" width="46.109375" style="576" customWidth="1"/>
    <col min="772" max="772" width="11" style="576" customWidth="1"/>
    <col min="773" max="773" width="12.5546875" style="576" customWidth="1"/>
    <col min="774" max="774" width="10.88671875" style="576" customWidth="1"/>
    <col min="775" max="775" width="16.109375" style="576" customWidth="1"/>
    <col min="776" max="776" width="0" style="576" hidden="1" customWidth="1"/>
    <col min="777" max="777" width="15.44140625" style="576" customWidth="1"/>
    <col min="778" max="778" width="12.88671875" style="576" bestFit="1" customWidth="1"/>
    <col min="779" max="779" width="8.88671875" style="576"/>
    <col min="780" max="780" width="12.88671875" style="576" bestFit="1" customWidth="1"/>
    <col min="781" max="1024" width="8.88671875" style="576"/>
    <col min="1025" max="1025" width="3.6640625" style="576" bestFit="1" customWidth="1"/>
    <col min="1026" max="1026" width="8.33203125" style="576" customWidth="1"/>
    <col min="1027" max="1027" width="46.109375" style="576" customWidth="1"/>
    <col min="1028" max="1028" width="11" style="576" customWidth="1"/>
    <col min="1029" max="1029" width="12.5546875" style="576" customWidth="1"/>
    <col min="1030" max="1030" width="10.88671875" style="576" customWidth="1"/>
    <col min="1031" max="1031" width="16.109375" style="576" customWidth="1"/>
    <col min="1032" max="1032" width="0" style="576" hidden="1" customWidth="1"/>
    <col min="1033" max="1033" width="15.44140625" style="576" customWidth="1"/>
    <col min="1034" max="1034" width="12.88671875" style="576" bestFit="1" customWidth="1"/>
    <col min="1035" max="1035" width="8.88671875" style="576"/>
    <col min="1036" max="1036" width="12.88671875" style="576" bestFit="1" customWidth="1"/>
    <col min="1037" max="1280" width="8.88671875" style="576"/>
    <col min="1281" max="1281" width="3.6640625" style="576" bestFit="1" customWidth="1"/>
    <col min="1282" max="1282" width="8.33203125" style="576" customWidth="1"/>
    <col min="1283" max="1283" width="46.109375" style="576" customWidth="1"/>
    <col min="1284" max="1284" width="11" style="576" customWidth="1"/>
    <col min="1285" max="1285" width="12.5546875" style="576" customWidth="1"/>
    <col min="1286" max="1286" width="10.88671875" style="576" customWidth="1"/>
    <col min="1287" max="1287" width="16.109375" style="576" customWidth="1"/>
    <col min="1288" max="1288" width="0" style="576" hidden="1" customWidth="1"/>
    <col min="1289" max="1289" width="15.44140625" style="576" customWidth="1"/>
    <col min="1290" max="1290" width="12.88671875" style="576" bestFit="1" customWidth="1"/>
    <col min="1291" max="1291" width="8.88671875" style="576"/>
    <col min="1292" max="1292" width="12.88671875" style="576" bestFit="1" customWidth="1"/>
    <col min="1293" max="1536" width="8.88671875" style="576"/>
    <col min="1537" max="1537" width="3.6640625" style="576" bestFit="1" customWidth="1"/>
    <col min="1538" max="1538" width="8.33203125" style="576" customWidth="1"/>
    <col min="1539" max="1539" width="46.109375" style="576" customWidth="1"/>
    <col min="1540" max="1540" width="11" style="576" customWidth="1"/>
    <col min="1541" max="1541" width="12.5546875" style="576" customWidth="1"/>
    <col min="1542" max="1542" width="10.88671875" style="576" customWidth="1"/>
    <col min="1543" max="1543" width="16.109375" style="576" customWidth="1"/>
    <col min="1544" max="1544" width="0" style="576" hidden="1" customWidth="1"/>
    <col min="1545" max="1545" width="15.44140625" style="576" customWidth="1"/>
    <col min="1546" max="1546" width="12.88671875" style="576" bestFit="1" customWidth="1"/>
    <col min="1547" max="1547" width="8.88671875" style="576"/>
    <col min="1548" max="1548" width="12.88671875" style="576" bestFit="1" customWidth="1"/>
    <col min="1549" max="1792" width="8.88671875" style="576"/>
    <col min="1793" max="1793" width="3.6640625" style="576" bestFit="1" customWidth="1"/>
    <col min="1794" max="1794" width="8.33203125" style="576" customWidth="1"/>
    <col min="1795" max="1795" width="46.109375" style="576" customWidth="1"/>
    <col min="1796" max="1796" width="11" style="576" customWidth="1"/>
    <col min="1797" max="1797" width="12.5546875" style="576" customWidth="1"/>
    <col min="1798" max="1798" width="10.88671875" style="576" customWidth="1"/>
    <col min="1799" max="1799" width="16.109375" style="576" customWidth="1"/>
    <col min="1800" max="1800" width="0" style="576" hidden="1" customWidth="1"/>
    <col min="1801" max="1801" width="15.44140625" style="576" customWidth="1"/>
    <col min="1802" max="1802" width="12.88671875" style="576" bestFit="1" customWidth="1"/>
    <col min="1803" max="1803" width="8.88671875" style="576"/>
    <col min="1804" max="1804" width="12.88671875" style="576" bestFit="1" customWidth="1"/>
    <col min="1805" max="2048" width="8.88671875" style="576"/>
    <col min="2049" max="2049" width="3.6640625" style="576" bestFit="1" customWidth="1"/>
    <col min="2050" max="2050" width="8.33203125" style="576" customWidth="1"/>
    <col min="2051" max="2051" width="46.109375" style="576" customWidth="1"/>
    <col min="2052" max="2052" width="11" style="576" customWidth="1"/>
    <col min="2053" max="2053" width="12.5546875" style="576" customWidth="1"/>
    <col min="2054" max="2054" width="10.88671875" style="576" customWidth="1"/>
    <col min="2055" max="2055" width="16.109375" style="576" customWidth="1"/>
    <col min="2056" max="2056" width="0" style="576" hidden="1" customWidth="1"/>
    <col min="2057" max="2057" width="15.44140625" style="576" customWidth="1"/>
    <col min="2058" max="2058" width="12.88671875" style="576" bestFit="1" customWidth="1"/>
    <col min="2059" max="2059" width="8.88671875" style="576"/>
    <col min="2060" max="2060" width="12.88671875" style="576" bestFit="1" customWidth="1"/>
    <col min="2061" max="2304" width="8.88671875" style="576"/>
    <col min="2305" max="2305" width="3.6640625" style="576" bestFit="1" customWidth="1"/>
    <col min="2306" max="2306" width="8.33203125" style="576" customWidth="1"/>
    <col min="2307" max="2307" width="46.109375" style="576" customWidth="1"/>
    <col min="2308" max="2308" width="11" style="576" customWidth="1"/>
    <col min="2309" max="2309" width="12.5546875" style="576" customWidth="1"/>
    <col min="2310" max="2310" width="10.88671875" style="576" customWidth="1"/>
    <col min="2311" max="2311" width="16.109375" style="576" customWidth="1"/>
    <col min="2312" max="2312" width="0" style="576" hidden="1" customWidth="1"/>
    <col min="2313" max="2313" width="15.44140625" style="576" customWidth="1"/>
    <col min="2314" max="2314" width="12.88671875" style="576" bestFit="1" customWidth="1"/>
    <col min="2315" max="2315" width="8.88671875" style="576"/>
    <col min="2316" max="2316" width="12.88671875" style="576" bestFit="1" customWidth="1"/>
    <col min="2317" max="2560" width="8.88671875" style="576"/>
    <col min="2561" max="2561" width="3.6640625" style="576" bestFit="1" customWidth="1"/>
    <col min="2562" max="2562" width="8.33203125" style="576" customWidth="1"/>
    <col min="2563" max="2563" width="46.109375" style="576" customWidth="1"/>
    <col min="2564" max="2564" width="11" style="576" customWidth="1"/>
    <col min="2565" max="2565" width="12.5546875" style="576" customWidth="1"/>
    <col min="2566" max="2566" width="10.88671875" style="576" customWidth="1"/>
    <col min="2567" max="2567" width="16.109375" style="576" customWidth="1"/>
    <col min="2568" max="2568" width="0" style="576" hidden="1" customWidth="1"/>
    <col min="2569" max="2569" width="15.44140625" style="576" customWidth="1"/>
    <col min="2570" max="2570" width="12.88671875" style="576" bestFit="1" customWidth="1"/>
    <col min="2571" max="2571" width="8.88671875" style="576"/>
    <col min="2572" max="2572" width="12.88671875" style="576" bestFit="1" customWidth="1"/>
    <col min="2573" max="2816" width="8.88671875" style="576"/>
    <col min="2817" max="2817" width="3.6640625" style="576" bestFit="1" customWidth="1"/>
    <col min="2818" max="2818" width="8.33203125" style="576" customWidth="1"/>
    <col min="2819" max="2819" width="46.109375" style="576" customWidth="1"/>
    <col min="2820" max="2820" width="11" style="576" customWidth="1"/>
    <col min="2821" max="2821" width="12.5546875" style="576" customWidth="1"/>
    <col min="2822" max="2822" width="10.88671875" style="576" customWidth="1"/>
    <col min="2823" max="2823" width="16.109375" style="576" customWidth="1"/>
    <col min="2824" max="2824" width="0" style="576" hidden="1" customWidth="1"/>
    <col min="2825" max="2825" width="15.44140625" style="576" customWidth="1"/>
    <col min="2826" max="2826" width="12.88671875" style="576" bestFit="1" customWidth="1"/>
    <col min="2827" max="2827" width="8.88671875" style="576"/>
    <col min="2828" max="2828" width="12.88671875" style="576" bestFit="1" customWidth="1"/>
    <col min="2829" max="3072" width="8.88671875" style="576"/>
    <col min="3073" max="3073" width="3.6640625" style="576" bestFit="1" customWidth="1"/>
    <col min="3074" max="3074" width="8.33203125" style="576" customWidth="1"/>
    <col min="3075" max="3075" width="46.109375" style="576" customWidth="1"/>
    <col min="3076" max="3076" width="11" style="576" customWidth="1"/>
    <col min="3077" max="3077" width="12.5546875" style="576" customWidth="1"/>
    <col min="3078" max="3078" width="10.88671875" style="576" customWidth="1"/>
    <col min="3079" max="3079" width="16.109375" style="576" customWidth="1"/>
    <col min="3080" max="3080" width="0" style="576" hidden="1" customWidth="1"/>
    <col min="3081" max="3081" width="15.44140625" style="576" customWidth="1"/>
    <col min="3082" max="3082" width="12.88671875" style="576" bestFit="1" customWidth="1"/>
    <col min="3083" max="3083" width="8.88671875" style="576"/>
    <col min="3084" max="3084" width="12.88671875" style="576" bestFit="1" customWidth="1"/>
    <col min="3085" max="3328" width="8.88671875" style="576"/>
    <col min="3329" max="3329" width="3.6640625" style="576" bestFit="1" customWidth="1"/>
    <col min="3330" max="3330" width="8.33203125" style="576" customWidth="1"/>
    <col min="3331" max="3331" width="46.109375" style="576" customWidth="1"/>
    <col min="3332" max="3332" width="11" style="576" customWidth="1"/>
    <col min="3333" max="3333" width="12.5546875" style="576" customWidth="1"/>
    <col min="3334" max="3334" width="10.88671875" style="576" customWidth="1"/>
    <col min="3335" max="3335" width="16.109375" style="576" customWidth="1"/>
    <col min="3336" max="3336" width="0" style="576" hidden="1" customWidth="1"/>
    <col min="3337" max="3337" width="15.44140625" style="576" customWidth="1"/>
    <col min="3338" max="3338" width="12.88671875" style="576" bestFit="1" customWidth="1"/>
    <col min="3339" max="3339" width="8.88671875" style="576"/>
    <col min="3340" max="3340" width="12.88671875" style="576" bestFit="1" customWidth="1"/>
    <col min="3341" max="3584" width="8.88671875" style="576"/>
    <col min="3585" max="3585" width="3.6640625" style="576" bestFit="1" customWidth="1"/>
    <col min="3586" max="3586" width="8.33203125" style="576" customWidth="1"/>
    <col min="3587" max="3587" width="46.109375" style="576" customWidth="1"/>
    <col min="3588" max="3588" width="11" style="576" customWidth="1"/>
    <col min="3589" max="3589" width="12.5546875" style="576" customWidth="1"/>
    <col min="3590" max="3590" width="10.88671875" style="576" customWidth="1"/>
    <col min="3591" max="3591" width="16.109375" style="576" customWidth="1"/>
    <col min="3592" max="3592" width="0" style="576" hidden="1" customWidth="1"/>
    <col min="3593" max="3593" width="15.44140625" style="576" customWidth="1"/>
    <col min="3594" max="3594" width="12.88671875" style="576" bestFit="1" customWidth="1"/>
    <col min="3595" max="3595" width="8.88671875" style="576"/>
    <col min="3596" max="3596" width="12.88671875" style="576" bestFit="1" customWidth="1"/>
    <col min="3597" max="3840" width="8.88671875" style="576"/>
    <col min="3841" max="3841" width="3.6640625" style="576" bestFit="1" customWidth="1"/>
    <col min="3842" max="3842" width="8.33203125" style="576" customWidth="1"/>
    <col min="3843" max="3843" width="46.109375" style="576" customWidth="1"/>
    <col min="3844" max="3844" width="11" style="576" customWidth="1"/>
    <col min="3845" max="3845" width="12.5546875" style="576" customWidth="1"/>
    <col min="3846" max="3846" width="10.88671875" style="576" customWidth="1"/>
    <col min="3847" max="3847" width="16.109375" style="576" customWidth="1"/>
    <col min="3848" max="3848" width="0" style="576" hidden="1" customWidth="1"/>
    <col min="3849" max="3849" width="15.44140625" style="576" customWidth="1"/>
    <col min="3850" max="3850" width="12.88671875" style="576" bestFit="1" customWidth="1"/>
    <col min="3851" max="3851" width="8.88671875" style="576"/>
    <col min="3852" max="3852" width="12.88671875" style="576" bestFit="1" customWidth="1"/>
    <col min="3853" max="4096" width="8.88671875" style="576"/>
    <col min="4097" max="4097" width="3.6640625" style="576" bestFit="1" customWidth="1"/>
    <col min="4098" max="4098" width="8.33203125" style="576" customWidth="1"/>
    <col min="4099" max="4099" width="46.109375" style="576" customWidth="1"/>
    <col min="4100" max="4100" width="11" style="576" customWidth="1"/>
    <col min="4101" max="4101" width="12.5546875" style="576" customWidth="1"/>
    <col min="4102" max="4102" width="10.88671875" style="576" customWidth="1"/>
    <col min="4103" max="4103" width="16.109375" style="576" customWidth="1"/>
    <col min="4104" max="4104" width="0" style="576" hidden="1" customWidth="1"/>
    <col min="4105" max="4105" width="15.44140625" style="576" customWidth="1"/>
    <col min="4106" max="4106" width="12.88671875" style="576" bestFit="1" customWidth="1"/>
    <col min="4107" max="4107" width="8.88671875" style="576"/>
    <col min="4108" max="4108" width="12.88671875" style="576" bestFit="1" customWidth="1"/>
    <col min="4109" max="4352" width="8.88671875" style="576"/>
    <col min="4353" max="4353" width="3.6640625" style="576" bestFit="1" customWidth="1"/>
    <col min="4354" max="4354" width="8.33203125" style="576" customWidth="1"/>
    <col min="4355" max="4355" width="46.109375" style="576" customWidth="1"/>
    <col min="4356" max="4356" width="11" style="576" customWidth="1"/>
    <col min="4357" max="4357" width="12.5546875" style="576" customWidth="1"/>
    <col min="4358" max="4358" width="10.88671875" style="576" customWidth="1"/>
    <col min="4359" max="4359" width="16.109375" style="576" customWidth="1"/>
    <col min="4360" max="4360" width="0" style="576" hidden="1" customWidth="1"/>
    <col min="4361" max="4361" width="15.44140625" style="576" customWidth="1"/>
    <col min="4362" max="4362" width="12.88671875" style="576" bestFit="1" customWidth="1"/>
    <col min="4363" max="4363" width="8.88671875" style="576"/>
    <col min="4364" max="4364" width="12.88671875" style="576" bestFit="1" customWidth="1"/>
    <col min="4365" max="4608" width="8.88671875" style="576"/>
    <col min="4609" max="4609" width="3.6640625" style="576" bestFit="1" customWidth="1"/>
    <col min="4610" max="4610" width="8.33203125" style="576" customWidth="1"/>
    <col min="4611" max="4611" width="46.109375" style="576" customWidth="1"/>
    <col min="4612" max="4612" width="11" style="576" customWidth="1"/>
    <col min="4613" max="4613" width="12.5546875" style="576" customWidth="1"/>
    <col min="4614" max="4614" width="10.88671875" style="576" customWidth="1"/>
    <col min="4615" max="4615" width="16.109375" style="576" customWidth="1"/>
    <col min="4616" max="4616" width="0" style="576" hidden="1" customWidth="1"/>
    <col min="4617" max="4617" width="15.44140625" style="576" customWidth="1"/>
    <col min="4618" max="4618" width="12.88671875" style="576" bestFit="1" customWidth="1"/>
    <col min="4619" max="4619" width="8.88671875" style="576"/>
    <col min="4620" max="4620" width="12.88671875" style="576" bestFit="1" customWidth="1"/>
    <col min="4621" max="4864" width="8.88671875" style="576"/>
    <col min="4865" max="4865" width="3.6640625" style="576" bestFit="1" customWidth="1"/>
    <col min="4866" max="4866" width="8.33203125" style="576" customWidth="1"/>
    <col min="4867" max="4867" width="46.109375" style="576" customWidth="1"/>
    <col min="4868" max="4868" width="11" style="576" customWidth="1"/>
    <col min="4869" max="4869" width="12.5546875" style="576" customWidth="1"/>
    <col min="4870" max="4870" width="10.88671875" style="576" customWidth="1"/>
    <col min="4871" max="4871" width="16.109375" style="576" customWidth="1"/>
    <col min="4872" max="4872" width="0" style="576" hidden="1" customWidth="1"/>
    <col min="4873" max="4873" width="15.44140625" style="576" customWidth="1"/>
    <col min="4874" max="4874" width="12.88671875" style="576" bestFit="1" customWidth="1"/>
    <col min="4875" max="4875" width="8.88671875" style="576"/>
    <col min="4876" max="4876" width="12.88671875" style="576" bestFit="1" customWidth="1"/>
    <col min="4877" max="5120" width="8.88671875" style="576"/>
    <col min="5121" max="5121" width="3.6640625" style="576" bestFit="1" customWidth="1"/>
    <col min="5122" max="5122" width="8.33203125" style="576" customWidth="1"/>
    <col min="5123" max="5123" width="46.109375" style="576" customWidth="1"/>
    <col min="5124" max="5124" width="11" style="576" customWidth="1"/>
    <col min="5125" max="5125" width="12.5546875" style="576" customWidth="1"/>
    <col min="5126" max="5126" width="10.88671875" style="576" customWidth="1"/>
    <col min="5127" max="5127" width="16.109375" style="576" customWidth="1"/>
    <col min="5128" max="5128" width="0" style="576" hidden="1" customWidth="1"/>
    <col min="5129" max="5129" width="15.44140625" style="576" customWidth="1"/>
    <col min="5130" max="5130" width="12.88671875" style="576" bestFit="1" customWidth="1"/>
    <col min="5131" max="5131" width="8.88671875" style="576"/>
    <col min="5132" max="5132" width="12.88671875" style="576" bestFit="1" customWidth="1"/>
    <col min="5133" max="5376" width="8.88671875" style="576"/>
    <col min="5377" max="5377" width="3.6640625" style="576" bestFit="1" customWidth="1"/>
    <col min="5378" max="5378" width="8.33203125" style="576" customWidth="1"/>
    <col min="5379" max="5379" width="46.109375" style="576" customWidth="1"/>
    <col min="5380" max="5380" width="11" style="576" customWidth="1"/>
    <col min="5381" max="5381" width="12.5546875" style="576" customWidth="1"/>
    <col min="5382" max="5382" width="10.88671875" style="576" customWidth="1"/>
    <col min="5383" max="5383" width="16.109375" style="576" customWidth="1"/>
    <col min="5384" max="5384" width="0" style="576" hidden="1" customWidth="1"/>
    <col min="5385" max="5385" width="15.44140625" style="576" customWidth="1"/>
    <col min="5386" max="5386" width="12.88671875" style="576" bestFit="1" customWidth="1"/>
    <col min="5387" max="5387" width="8.88671875" style="576"/>
    <col min="5388" max="5388" width="12.88671875" style="576" bestFit="1" customWidth="1"/>
    <col min="5389" max="5632" width="8.88671875" style="576"/>
    <col min="5633" max="5633" width="3.6640625" style="576" bestFit="1" customWidth="1"/>
    <col min="5634" max="5634" width="8.33203125" style="576" customWidth="1"/>
    <col min="5635" max="5635" width="46.109375" style="576" customWidth="1"/>
    <col min="5636" max="5636" width="11" style="576" customWidth="1"/>
    <col min="5637" max="5637" width="12.5546875" style="576" customWidth="1"/>
    <col min="5638" max="5638" width="10.88671875" style="576" customWidth="1"/>
    <col min="5639" max="5639" width="16.109375" style="576" customWidth="1"/>
    <col min="5640" max="5640" width="0" style="576" hidden="1" customWidth="1"/>
    <col min="5641" max="5641" width="15.44140625" style="576" customWidth="1"/>
    <col min="5642" max="5642" width="12.88671875" style="576" bestFit="1" customWidth="1"/>
    <col min="5643" max="5643" width="8.88671875" style="576"/>
    <col min="5644" max="5644" width="12.88671875" style="576" bestFit="1" customWidth="1"/>
    <col min="5645" max="5888" width="8.88671875" style="576"/>
    <col min="5889" max="5889" width="3.6640625" style="576" bestFit="1" customWidth="1"/>
    <col min="5890" max="5890" width="8.33203125" style="576" customWidth="1"/>
    <col min="5891" max="5891" width="46.109375" style="576" customWidth="1"/>
    <col min="5892" max="5892" width="11" style="576" customWidth="1"/>
    <col min="5893" max="5893" width="12.5546875" style="576" customWidth="1"/>
    <col min="5894" max="5894" width="10.88671875" style="576" customWidth="1"/>
    <col min="5895" max="5895" width="16.109375" style="576" customWidth="1"/>
    <col min="5896" max="5896" width="0" style="576" hidden="1" customWidth="1"/>
    <col min="5897" max="5897" width="15.44140625" style="576" customWidth="1"/>
    <col min="5898" max="5898" width="12.88671875" style="576" bestFit="1" customWidth="1"/>
    <col min="5899" max="5899" width="8.88671875" style="576"/>
    <col min="5900" max="5900" width="12.88671875" style="576" bestFit="1" customWidth="1"/>
    <col min="5901" max="6144" width="8.88671875" style="576"/>
    <col min="6145" max="6145" width="3.6640625" style="576" bestFit="1" customWidth="1"/>
    <col min="6146" max="6146" width="8.33203125" style="576" customWidth="1"/>
    <col min="6147" max="6147" width="46.109375" style="576" customWidth="1"/>
    <col min="6148" max="6148" width="11" style="576" customWidth="1"/>
    <col min="6149" max="6149" width="12.5546875" style="576" customWidth="1"/>
    <col min="6150" max="6150" width="10.88671875" style="576" customWidth="1"/>
    <col min="6151" max="6151" width="16.109375" style="576" customWidth="1"/>
    <col min="6152" max="6152" width="0" style="576" hidden="1" customWidth="1"/>
    <col min="6153" max="6153" width="15.44140625" style="576" customWidth="1"/>
    <col min="6154" max="6154" width="12.88671875" style="576" bestFit="1" customWidth="1"/>
    <col min="6155" max="6155" width="8.88671875" style="576"/>
    <col min="6156" max="6156" width="12.88671875" style="576" bestFit="1" customWidth="1"/>
    <col min="6157" max="6400" width="8.88671875" style="576"/>
    <col min="6401" max="6401" width="3.6640625" style="576" bestFit="1" customWidth="1"/>
    <col min="6402" max="6402" width="8.33203125" style="576" customWidth="1"/>
    <col min="6403" max="6403" width="46.109375" style="576" customWidth="1"/>
    <col min="6404" max="6404" width="11" style="576" customWidth="1"/>
    <col min="6405" max="6405" width="12.5546875" style="576" customWidth="1"/>
    <col min="6406" max="6406" width="10.88671875" style="576" customWidth="1"/>
    <col min="6407" max="6407" width="16.109375" style="576" customWidth="1"/>
    <col min="6408" max="6408" width="0" style="576" hidden="1" customWidth="1"/>
    <col min="6409" max="6409" width="15.44140625" style="576" customWidth="1"/>
    <col min="6410" max="6410" width="12.88671875" style="576" bestFit="1" customWidth="1"/>
    <col min="6411" max="6411" width="8.88671875" style="576"/>
    <col min="6412" max="6412" width="12.88671875" style="576" bestFit="1" customWidth="1"/>
    <col min="6413" max="6656" width="8.88671875" style="576"/>
    <col min="6657" max="6657" width="3.6640625" style="576" bestFit="1" customWidth="1"/>
    <col min="6658" max="6658" width="8.33203125" style="576" customWidth="1"/>
    <col min="6659" max="6659" width="46.109375" style="576" customWidth="1"/>
    <col min="6660" max="6660" width="11" style="576" customWidth="1"/>
    <col min="6661" max="6661" width="12.5546875" style="576" customWidth="1"/>
    <col min="6662" max="6662" width="10.88671875" style="576" customWidth="1"/>
    <col min="6663" max="6663" width="16.109375" style="576" customWidth="1"/>
    <col min="6664" max="6664" width="0" style="576" hidden="1" customWidth="1"/>
    <col min="6665" max="6665" width="15.44140625" style="576" customWidth="1"/>
    <col min="6666" max="6666" width="12.88671875" style="576" bestFit="1" customWidth="1"/>
    <col min="6667" max="6667" width="8.88671875" style="576"/>
    <col min="6668" max="6668" width="12.88671875" style="576" bestFit="1" customWidth="1"/>
    <col min="6669" max="6912" width="8.88671875" style="576"/>
    <col min="6913" max="6913" width="3.6640625" style="576" bestFit="1" customWidth="1"/>
    <col min="6914" max="6914" width="8.33203125" style="576" customWidth="1"/>
    <col min="6915" max="6915" width="46.109375" style="576" customWidth="1"/>
    <col min="6916" max="6916" width="11" style="576" customWidth="1"/>
    <col min="6917" max="6917" width="12.5546875" style="576" customWidth="1"/>
    <col min="6918" max="6918" width="10.88671875" style="576" customWidth="1"/>
    <col min="6919" max="6919" width="16.109375" style="576" customWidth="1"/>
    <col min="6920" max="6920" width="0" style="576" hidden="1" customWidth="1"/>
    <col min="6921" max="6921" width="15.44140625" style="576" customWidth="1"/>
    <col min="6922" max="6922" width="12.88671875" style="576" bestFit="1" customWidth="1"/>
    <col min="6923" max="6923" width="8.88671875" style="576"/>
    <col min="6924" max="6924" width="12.88671875" style="576" bestFit="1" customWidth="1"/>
    <col min="6925" max="7168" width="8.88671875" style="576"/>
    <col min="7169" max="7169" width="3.6640625" style="576" bestFit="1" customWidth="1"/>
    <col min="7170" max="7170" width="8.33203125" style="576" customWidth="1"/>
    <col min="7171" max="7171" width="46.109375" style="576" customWidth="1"/>
    <col min="7172" max="7172" width="11" style="576" customWidth="1"/>
    <col min="7173" max="7173" width="12.5546875" style="576" customWidth="1"/>
    <col min="7174" max="7174" width="10.88671875" style="576" customWidth="1"/>
    <col min="7175" max="7175" width="16.109375" style="576" customWidth="1"/>
    <col min="7176" max="7176" width="0" style="576" hidden="1" customWidth="1"/>
    <col min="7177" max="7177" width="15.44140625" style="576" customWidth="1"/>
    <col min="7178" max="7178" width="12.88671875" style="576" bestFit="1" customWidth="1"/>
    <col min="7179" max="7179" width="8.88671875" style="576"/>
    <col min="7180" max="7180" width="12.88671875" style="576" bestFit="1" customWidth="1"/>
    <col min="7181" max="7424" width="8.88671875" style="576"/>
    <col min="7425" max="7425" width="3.6640625" style="576" bestFit="1" customWidth="1"/>
    <col min="7426" max="7426" width="8.33203125" style="576" customWidth="1"/>
    <col min="7427" max="7427" width="46.109375" style="576" customWidth="1"/>
    <col min="7428" max="7428" width="11" style="576" customWidth="1"/>
    <col min="7429" max="7429" width="12.5546875" style="576" customWidth="1"/>
    <col min="7430" max="7430" width="10.88671875" style="576" customWidth="1"/>
    <col min="7431" max="7431" width="16.109375" style="576" customWidth="1"/>
    <col min="7432" max="7432" width="0" style="576" hidden="1" customWidth="1"/>
    <col min="7433" max="7433" width="15.44140625" style="576" customWidth="1"/>
    <col min="7434" max="7434" width="12.88671875" style="576" bestFit="1" customWidth="1"/>
    <col min="7435" max="7435" width="8.88671875" style="576"/>
    <col min="7436" max="7436" width="12.88671875" style="576" bestFit="1" customWidth="1"/>
    <col min="7437" max="7680" width="8.88671875" style="576"/>
    <col min="7681" max="7681" width="3.6640625" style="576" bestFit="1" customWidth="1"/>
    <col min="7682" max="7682" width="8.33203125" style="576" customWidth="1"/>
    <col min="7683" max="7683" width="46.109375" style="576" customWidth="1"/>
    <col min="7684" max="7684" width="11" style="576" customWidth="1"/>
    <col min="7685" max="7685" width="12.5546875" style="576" customWidth="1"/>
    <col min="7686" max="7686" width="10.88671875" style="576" customWidth="1"/>
    <col min="7687" max="7687" width="16.109375" style="576" customWidth="1"/>
    <col min="7688" max="7688" width="0" style="576" hidden="1" customWidth="1"/>
    <col min="7689" max="7689" width="15.44140625" style="576" customWidth="1"/>
    <col min="7690" max="7690" width="12.88671875" style="576" bestFit="1" customWidth="1"/>
    <col min="7691" max="7691" width="8.88671875" style="576"/>
    <col min="7692" max="7692" width="12.88671875" style="576" bestFit="1" customWidth="1"/>
    <col min="7693" max="7936" width="8.88671875" style="576"/>
    <col min="7937" max="7937" width="3.6640625" style="576" bestFit="1" customWidth="1"/>
    <col min="7938" max="7938" width="8.33203125" style="576" customWidth="1"/>
    <col min="7939" max="7939" width="46.109375" style="576" customWidth="1"/>
    <col min="7940" max="7940" width="11" style="576" customWidth="1"/>
    <col min="7941" max="7941" width="12.5546875" style="576" customWidth="1"/>
    <col min="7942" max="7942" width="10.88671875" style="576" customWidth="1"/>
    <col min="7943" max="7943" width="16.109375" style="576" customWidth="1"/>
    <col min="7944" max="7944" width="0" style="576" hidden="1" customWidth="1"/>
    <col min="7945" max="7945" width="15.44140625" style="576" customWidth="1"/>
    <col min="7946" max="7946" width="12.88671875" style="576" bestFit="1" customWidth="1"/>
    <col min="7947" max="7947" width="8.88671875" style="576"/>
    <col min="7948" max="7948" width="12.88671875" style="576" bestFit="1" customWidth="1"/>
    <col min="7949" max="8192" width="8.88671875" style="576"/>
    <col min="8193" max="8193" width="3.6640625" style="576" bestFit="1" customWidth="1"/>
    <col min="8194" max="8194" width="8.33203125" style="576" customWidth="1"/>
    <col min="8195" max="8195" width="46.109375" style="576" customWidth="1"/>
    <col min="8196" max="8196" width="11" style="576" customWidth="1"/>
    <col min="8197" max="8197" width="12.5546875" style="576" customWidth="1"/>
    <col min="8198" max="8198" width="10.88671875" style="576" customWidth="1"/>
    <col min="8199" max="8199" width="16.109375" style="576" customWidth="1"/>
    <col min="8200" max="8200" width="0" style="576" hidden="1" customWidth="1"/>
    <col min="8201" max="8201" width="15.44140625" style="576" customWidth="1"/>
    <col min="8202" max="8202" width="12.88671875" style="576" bestFit="1" customWidth="1"/>
    <col min="8203" max="8203" width="8.88671875" style="576"/>
    <col min="8204" max="8204" width="12.88671875" style="576" bestFit="1" customWidth="1"/>
    <col min="8205" max="8448" width="8.88671875" style="576"/>
    <col min="8449" max="8449" width="3.6640625" style="576" bestFit="1" customWidth="1"/>
    <col min="8450" max="8450" width="8.33203125" style="576" customWidth="1"/>
    <col min="8451" max="8451" width="46.109375" style="576" customWidth="1"/>
    <col min="8452" max="8452" width="11" style="576" customWidth="1"/>
    <col min="8453" max="8453" width="12.5546875" style="576" customWidth="1"/>
    <col min="8454" max="8454" width="10.88671875" style="576" customWidth="1"/>
    <col min="8455" max="8455" width="16.109375" style="576" customWidth="1"/>
    <col min="8456" max="8456" width="0" style="576" hidden="1" customWidth="1"/>
    <col min="8457" max="8457" width="15.44140625" style="576" customWidth="1"/>
    <col min="8458" max="8458" width="12.88671875" style="576" bestFit="1" customWidth="1"/>
    <col min="8459" max="8459" width="8.88671875" style="576"/>
    <col min="8460" max="8460" width="12.88671875" style="576" bestFit="1" customWidth="1"/>
    <col min="8461" max="8704" width="8.88671875" style="576"/>
    <col min="8705" max="8705" width="3.6640625" style="576" bestFit="1" customWidth="1"/>
    <col min="8706" max="8706" width="8.33203125" style="576" customWidth="1"/>
    <col min="8707" max="8707" width="46.109375" style="576" customWidth="1"/>
    <col min="8708" max="8708" width="11" style="576" customWidth="1"/>
    <col min="8709" max="8709" width="12.5546875" style="576" customWidth="1"/>
    <col min="8710" max="8710" width="10.88671875" style="576" customWidth="1"/>
    <col min="8711" max="8711" width="16.109375" style="576" customWidth="1"/>
    <col min="8712" max="8712" width="0" style="576" hidden="1" customWidth="1"/>
    <col min="8713" max="8713" width="15.44140625" style="576" customWidth="1"/>
    <col min="8714" max="8714" width="12.88671875" style="576" bestFit="1" customWidth="1"/>
    <col min="8715" max="8715" width="8.88671875" style="576"/>
    <col min="8716" max="8716" width="12.88671875" style="576" bestFit="1" customWidth="1"/>
    <col min="8717" max="8960" width="8.88671875" style="576"/>
    <col min="8961" max="8961" width="3.6640625" style="576" bestFit="1" customWidth="1"/>
    <col min="8962" max="8962" width="8.33203125" style="576" customWidth="1"/>
    <col min="8963" max="8963" width="46.109375" style="576" customWidth="1"/>
    <col min="8964" max="8964" width="11" style="576" customWidth="1"/>
    <col min="8965" max="8965" width="12.5546875" style="576" customWidth="1"/>
    <col min="8966" max="8966" width="10.88671875" style="576" customWidth="1"/>
    <col min="8967" max="8967" width="16.109375" style="576" customWidth="1"/>
    <col min="8968" max="8968" width="0" style="576" hidden="1" customWidth="1"/>
    <col min="8969" max="8969" width="15.44140625" style="576" customWidth="1"/>
    <col min="8970" max="8970" width="12.88671875" style="576" bestFit="1" customWidth="1"/>
    <col min="8971" max="8971" width="8.88671875" style="576"/>
    <col min="8972" max="8972" width="12.88671875" style="576" bestFit="1" customWidth="1"/>
    <col min="8973" max="9216" width="8.88671875" style="576"/>
    <col min="9217" max="9217" width="3.6640625" style="576" bestFit="1" customWidth="1"/>
    <col min="9218" max="9218" width="8.33203125" style="576" customWidth="1"/>
    <col min="9219" max="9219" width="46.109375" style="576" customWidth="1"/>
    <col min="9220" max="9220" width="11" style="576" customWidth="1"/>
    <col min="9221" max="9221" width="12.5546875" style="576" customWidth="1"/>
    <col min="9222" max="9222" width="10.88671875" style="576" customWidth="1"/>
    <col min="9223" max="9223" width="16.109375" style="576" customWidth="1"/>
    <col min="9224" max="9224" width="0" style="576" hidden="1" customWidth="1"/>
    <col min="9225" max="9225" width="15.44140625" style="576" customWidth="1"/>
    <col min="9226" max="9226" width="12.88671875" style="576" bestFit="1" customWidth="1"/>
    <col min="9227" max="9227" width="8.88671875" style="576"/>
    <col min="9228" max="9228" width="12.88671875" style="576" bestFit="1" customWidth="1"/>
    <col min="9229" max="9472" width="8.88671875" style="576"/>
    <col min="9473" max="9473" width="3.6640625" style="576" bestFit="1" customWidth="1"/>
    <col min="9474" max="9474" width="8.33203125" style="576" customWidth="1"/>
    <col min="9475" max="9475" width="46.109375" style="576" customWidth="1"/>
    <col min="9476" max="9476" width="11" style="576" customWidth="1"/>
    <col min="9477" max="9477" width="12.5546875" style="576" customWidth="1"/>
    <col min="9478" max="9478" width="10.88671875" style="576" customWidth="1"/>
    <col min="9479" max="9479" width="16.109375" style="576" customWidth="1"/>
    <col min="9480" max="9480" width="0" style="576" hidden="1" customWidth="1"/>
    <col min="9481" max="9481" width="15.44140625" style="576" customWidth="1"/>
    <col min="9482" max="9482" width="12.88671875" style="576" bestFit="1" customWidth="1"/>
    <col min="9483" max="9483" width="8.88671875" style="576"/>
    <col min="9484" max="9484" width="12.88671875" style="576" bestFit="1" customWidth="1"/>
    <col min="9485" max="9728" width="8.88671875" style="576"/>
    <col min="9729" max="9729" width="3.6640625" style="576" bestFit="1" customWidth="1"/>
    <col min="9730" max="9730" width="8.33203125" style="576" customWidth="1"/>
    <col min="9731" max="9731" width="46.109375" style="576" customWidth="1"/>
    <col min="9732" max="9732" width="11" style="576" customWidth="1"/>
    <col min="9733" max="9733" width="12.5546875" style="576" customWidth="1"/>
    <col min="9734" max="9734" width="10.88671875" style="576" customWidth="1"/>
    <col min="9735" max="9735" width="16.109375" style="576" customWidth="1"/>
    <col min="9736" max="9736" width="0" style="576" hidden="1" customWidth="1"/>
    <col min="9737" max="9737" width="15.44140625" style="576" customWidth="1"/>
    <col min="9738" max="9738" width="12.88671875" style="576" bestFit="1" customWidth="1"/>
    <col min="9739" max="9739" width="8.88671875" style="576"/>
    <col min="9740" max="9740" width="12.88671875" style="576" bestFit="1" customWidth="1"/>
    <col min="9741" max="9984" width="8.88671875" style="576"/>
    <col min="9985" max="9985" width="3.6640625" style="576" bestFit="1" customWidth="1"/>
    <col min="9986" max="9986" width="8.33203125" style="576" customWidth="1"/>
    <col min="9987" max="9987" width="46.109375" style="576" customWidth="1"/>
    <col min="9988" max="9988" width="11" style="576" customWidth="1"/>
    <col min="9989" max="9989" width="12.5546875" style="576" customWidth="1"/>
    <col min="9990" max="9990" width="10.88671875" style="576" customWidth="1"/>
    <col min="9991" max="9991" width="16.109375" style="576" customWidth="1"/>
    <col min="9992" max="9992" width="0" style="576" hidden="1" customWidth="1"/>
    <col min="9993" max="9993" width="15.44140625" style="576" customWidth="1"/>
    <col min="9994" max="9994" width="12.88671875" style="576" bestFit="1" customWidth="1"/>
    <col min="9995" max="9995" width="8.88671875" style="576"/>
    <col min="9996" max="9996" width="12.88671875" style="576" bestFit="1" customWidth="1"/>
    <col min="9997" max="10240" width="8.88671875" style="576"/>
    <col min="10241" max="10241" width="3.6640625" style="576" bestFit="1" customWidth="1"/>
    <col min="10242" max="10242" width="8.33203125" style="576" customWidth="1"/>
    <col min="10243" max="10243" width="46.109375" style="576" customWidth="1"/>
    <col min="10244" max="10244" width="11" style="576" customWidth="1"/>
    <col min="10245" max="10245" width="12.5546875" style="576" customWidth="1"/>
    <col min="10246" max="10246" width="10.88671875" style="576" customWidth="1"/>
    <col min="10247" max="10247" width="16.109375" style="576" customWidth="1"/>
    <col min="10248" max="10248" width="0" style="576" hidden="1" customWidth="1"/>
    <col min="10249" max="10249" width="15.44140625" style="576" customWidth="1"/>
    <col min="10250" max="10250" width="12.88671875" style="576" bestFit="1" customWidth="1"/>
    <col min="10251" max="10251" width="8.88671875" style="576"/>
    <col min="10252" max="10252" width="12.88671875" style="576" bestFit="1" customWidth="1"/>
    <col min="10253" max="10496" width="8.88671875" style="576"/>
    <col min="10497" max="10497" width="3.6640625" style="576" bestFit="1" customWidth="1"/>
    <col min="10498" max="10498" width="8.33203125" style="576" customWidth="1"/>
    <col min="10499" max="10499" width="46.109375" style="576" customWidth="1"/>
    <col min="10500" max="10500" width="11" style="576" customWidth="1"/>
    <col min="10501" max="10501" width="12.5546875" style="576" customWidth="1"/>
    <col min="10502" max="10502" width="10.88671875" style="576" customWidth="1"/>
    <col min="10503" max="10503" width="16.109375" style="576" customWidth="1"/>
    <col min="10504" max="10504" width="0" style="576" hidden="1" customWidth="1"/>
    <col min="10505" max="10505" width="15.44140625" style="576" customWidth="1"/>
    <col min="10506" max="10506" width="12.88671875" style="576" bestFit="1" customWidth="1"/>
    <col min="10507" max="10507" width="8.88671875" style="576"/>
    <col min="10508" max="10508" width="12.88671875" style="576" bestFit="1" customWidth="1"/>
    <col min="10509" max="10752" width="8.88671875" style="576"/>
    <col min="10753" max="10753" width="3.6640625" style="576" bestFit="1" customWidth="1"/>
    <col min="10754" max="10754" width="8.33203125" style="576" customWidth="1"/>
    <col min="10755" max="10755" width="46.109375" style="576" customWidth="1"/>
    <col min="10756" max="10756" width="11" style="576" customWidth="1"/>
    <col min="10757" max="10757" width="12.5546875" style="576" customWidth="1"/>
    <col min="10758" max="10758" width="10.88671875" style="576" customWidth="1"/>
    <col min="10759" max="10759" width="16.109375" style="576" customWidth="1"/>
    <col min="10760" max="10760" width="0" style="576" hidden="1" customWidth="1"/>
    <col min="10761" max="10761" width="15.44140625" style="576" customWidth="1"/>
    <col min="10762" max="10762" width="12.88671875" style="576" bestFit="1" customWidth="1"/>
    <col min="10763" max="10763" width="8.88671875" style="576"/>
    <col min="10764" max="10764" width="12.88671875" style="576" bestFit="1" customWidth="1"/>
    <col min="10765" max="11008" width="8.88671875" style="576"/>
    <col min="11009" max="11009" width="3.6640625" style="576" bestFit="1" customWidth="1"/>
    <col min="11010" max="11010" width="8.33203125" style="576" customWidth="1"/>
    <col min="11011" max="11011" width="46.109375" style="576" customWidth="1"/>
    <col min="11012" max="11012" width="11" style="576" customWidth="1"/>
    <col min="11013" max="11013" width="12.5546875" style="576" customWidth="1"/>
    <col min="11014" max="11014" width="10.88671875" style="576" customWidth="1"/>
    <col min="11015" max="11015" width="16.109375" style="576" customWidth="1"/>
    <col min="11016" max="11016" width="0" style="576" hidden="1" customWidth="1"/>
    <col min="11017" max="11017" width="15.44140625" style="576" customWidth="1"/>
    <col min="11018" max="11018" width="12.88671875" style="576" bestFit="1" customWidth="1"/>
    <col min="11019" max="11019" width="8.88671875" style="576"/>
    <col min="11020" max="11020" width="12.88671875" style="576" bestFit="1" customWidth="1"/>
    <col min="11021" max="11264" width="8.88671875" style="576"/>
    <col min="11265" max="11265" width="3.6640625" style="576" bestFit="1" customWidth="1"/>
    <col min="11266" max="11266" width="8.33203125" style="576" customWidth="1"/>
    <col min="11267" max="11267" width="46.109375" style="576" customWidth="1"/>
    <col min="11268" max="11268" width="11" style="576" customWidth="1"/>
    <col min="11269" max="11269" width="12.5546875" style="576" customWidth="1"/>
    <col min="11270" max="11270" width="10.88671875" style="576" customWidth="1"/>
    <col min="11271" max="11271" width="16.109375" style="576" customWidth="1"/>
    <col min="11272" max="11272" width="0" style="576" hidden="1" customWidth="1"/>
    <col min="11273" max="11273" width="15.44140625" style="576" customWidth="1"/>
    <col min="11274" max="11274" width="12.88671875" style="576" bestFit="1" customWidth="1"/>
    <col min="11275" max="11275" width="8.88671875" style="576"/>
    <col min="11276" max="11276" width="12.88671875" style="576" bestFit="1" customWidth="1"/>
    <col min="11277" max="11520" width="8.88671875" style="576"/>
    <col min="11521" max="11521" width="3.6640625" style="576" bestFit="1" customWidth="1"/>
    <col min="11522" max="11522" width="8.33203125" style="576" customWidth="1"/>
    <col min="11523" max="11523" width="46.109375" style="576" customWidth="1"/>
    <col min="11524" max="11524" width="11" style="576" customWidth="1"/>
    <col min="11525" max="11525" width="12.5546875" style="576" customWidth="1"/>
    <col min="11526" max="11526" width="10.88671875" style="576" customWidth="1"/>
    <col min="11527" max="11527" width="16.109375" style="576" customWidth="1"/>
    <col min="11528" max="11528" width="0" style="576" hidden="1" customWidth="1"/>
    <col min="11529" max="11529" width="15.44140625" style="576" customWidth="1"/>
    <col min="11530" max="11530" width="12.88671875" style="576" bestFit="1" customWidth="1"/>
    <col min="11531" max="11531" width="8.88671875" style="576"/>
    <col min="11532" max="11532" width="12.88671875" style="576" bestFit="1" customWidth="1"/>
    <col min="11533" max="11776" width="8.88671875" style="576"/>
    <col min="11777" max="11777" width="3.6640625" style="576" bestFit="1" customWidth="1"/>
    <col min="11778" max="11778" width="8.33203125" style="576" customWidth="1"/>
    <col min="11779" max="11779" width="46.109375" style="576" customWidth="1"/>
    <col min="11780" max="11780" width="11" style="576" customWidth="1"/>
    <col min="11781" max="11781" width="12.5546875" style="576" customWidth="1"/>
    <col min="11782" max="11782" width="10.88671875" style="576" customWidth="1"/>
    <col min="11783" max="11783" width="16.109375" style="576" customWidth="1"/>
    <col min="11784" max="11784" width="0" style="576" hidden="1" customWidth="1"/>
    <col min="11785" max="11785" width="15.44140625" style="576" customWidth="1"/>
    <col min="11786" max="11786" width="12.88671875" style="576" bestFit="1" customWidth="1"/>
    <col min="11787" max="11787" width="8.88671875" style="576"/>
    <col min="11788" max="11788" width="12.88671875" style="576" bestFit="1" customWidth="1"/>
    <col min="11789" max="12032" width="8.88671875" style="576"/>
    <col min="12033" max="12033" width="3.6640625" style="576" bestFit="1" customWidth="1"/>
    <col min="12034" max="12034" width="8.33203125" style="576" customWidth="1"/>
    <col min="12035" max="12035" width="46.109375" style="576" customWidth="1"/>
    <col min="12036" max="12036" width="11" style="576" customWidth="1"/>
    <col min="12037" max="12037" width="12.5546875" style="576" customWidth="1"/>
    <col min="12038" max="12038" width="10.88671875" style="576" customWidth="1"/>
    <col min="12039" max="12039" width="16.109375" style="576" customWidth="1"/>
    <col min="12040" max="12040" width="0" style="576" hidden="1" customWidth="1"/>
    <col min="12041" max="12041" width="15.44140625" style="576" customWidth="1"/>
    <col min="12042" max="12042" width="12.88671875" style="576" bestFit="1" customWidth="1"/>
    <col min="12043" max="12043" width="8.88671875" style="576"/>
    <col min="12044" max="12044" width="12.88671875" style="576" bestFit="1" customWidth="1"/>
    <col min="12045" max="12288" width="8.88671875" style="576"/>
    <col min="12289" max="12289" width="3.6640625" style="576" bestFit="1" customWidth="1"/>
    <col min="12290" max="12290" width="8.33203125" style="576" customWidth="1"/>
    <col min="12291" max="12291" width="46.109375" style="576" customWidth="1"/>
    <col min="12292" max="12292" width="11" style="576" customWidth="1"/>
    <col min="12293" max="12293" width="12.5546875" style="576" customWidth="1"/>
    <col min="12294" max="12294" width="10.88671875" style="576" customWidth="1"/>
    <col min="12295" max="12295" width="16.109375" style="576" customWidth="1"/>
    <col min="12296" max="12296" width="0" style="576" hidden="1" customWidth="1"/>
    <col min="12297" max="12297" width="15.44140625" style="576" customWidth="1"/>
    <col min="12298" max="12298" width="12.88671875" style="576" bestFit="1" customWidth="1"/>
    <col min="12299" max="12299" width="8.88671875" style="576"/>
    <col min="12300" max="12300" width="12.88671875" style="576" bestFit="1" customWidth="1"/>
    <col min="12301" max="12544" width="8.88671875" style="576"/>
    <col min="12545" max="12545" width="3.6640625" style="576" bestFit="1" customWidth="1"/>
    <col min="12546" max="12546" width="8.33203125" style="576" customWidth="1"/>
    <col min="12547" max="12547" width="46.109375" style="576" customWidth="1"/>
    <col min="12548" max="12548" width="11" style="576" customWidth="1"/>
    <col min="12549" max="12549" width="12.5546875" style="576" customWidth="1"/>
    <col min="12550" max="12550" width="10.88671875" style="576" customWidth="1"/>
    <col min="12551" max="12551" width="16.109375" style="576" customWidth="1"/>
    <col min="12552" max="12552" width="0" style="576" hidden="1" customWidth="1"/>
    <col min="12553" max="12553" width="15.44140625" style="576" customWidth="1"/>
    <col min="12554" max="12554" width="12.88671875" style="576" bestFit="1" customWidth="1"/>
    <col min="12555" max="12555" width="8.88671875" style="576"/>
    <col min="12556" max="12556" width="12.88671875" style="576" bestFit="1" customWidth="1"/>
    <col min="12557" max="12800" width="8.88671875" style="576"/>
    <col min="12801" max="12801" width="3.6640625" style="576" bestFit="1" customWidth="1"/>
    <col min="12802" max="12802" width="8.33203125" style="576" customWidth="1"/>
    <col min="12803" max="12803" width="46.109375" style="576" customWidth="1"/>
    <col min="12804" max="12804" width="11" style="576" customWidth="1"/>
    <col min="12805" max="12805" width="12.5546875" style="576" customWidth="1"/>
    <col min="12806" max="12806" width="10.88671875" style="576" customWidth="1"/>
    <col min="12807" max="12807" width="16.109375" style="576" customWidth="1"/>
    <col min="12808" max="12808" width="0" style="576" hidden="1" customWidth="1"/>
    <col min="12809" max="12809" width="15.44140625" style="576" customWidth="1"/>
    <col min="12810" max="12810" width="12.88671875" style="576" bestFit="1" customWidth="1"/>
    <col min="12811" max="12811" width="8.88671875" style="576"/>
    <col min="12812" max="12812" width="12.88671875" style="576" bestFit="1" customWidth="1"/>
    <col min="12813" max="13056" width="8.88671875" style="576"/>
    <col min="13057" max="13057" width="3.6640625" style="576" bestFit="1" customWidth="1"/>
    <col min="13058" max="13058" width="8.33203125" style="576" customWidth="1"/>
    <col min="13059" max="13059" width="46.109375" style="576" customWidth="1"/>
    <col min="13060" max="13060" width="11" style="576" customWidth="1"/>
    <col min="13061" max="13061" width="12.5546875" style="576" customWidth="1"/>
    <col min="13062" max="13062" width="10.88671875" style="576" customWidth="1"/>
    <col min="13063" max="13063" width="16.109375" style="576" customWidth="1"/>
    <col min="13064" max="13064" width="0" style="576" hidden="1" customWidth="1"/>
    <col min="13065" max="13065" width="15.44140625" style="576" customWidth="1"/>
    <col min="13066" max="13066" width="12.88671875" style="576" bestFit="1" customWidth="1"/>
    <col min="13067" max="13067" width="8.88671875" style="576"/>
    <col min="13068" max="13068" width="12.88671875" style="576" bestFit="1" customWidth="1"/>
    <col min="13069" max="13312" width="8.88671875" style="576"/>
    <col min="13313" max="13313" width="3.6640625" style="576" bestFit="1" customWidth="1"/>
    <col min="13314" max="13314" width="8.33203125" style="576" customWidth="1"/>
    <col min="13315" max="13315" width="46.109375" style="576" customWidth="1"/>
    <col min="13316" max="13316" width="11" style="576" customWidth="1"/>
    <col min="13317" max="13317" width="12.5546875" style="576" customWidth="1"/>
    <col min="13318" max="13318" width="10.88671875" style="576" customWidth="1"/>
    <col min="13319" max="13319" width="16.109375" style="576" customWidth="1"/>
    <col min="13320" max="13320" width="0" style="576" hidden="1" customWidth="1"/>
    <col min="13321" max="13321" width="15.44140625" style="576" customWidth="1"/>
    <col min="13322" max="13322" width="12.88671875" style="576" bestFit="1" customWidth="1"/>
    <col min="13323" max="13323" width="8.88671875" style="576"/>
    <col min="13324" max="13324" width="12.88671875" style="576" bestFit="1" customWidth="1"/>
    <col min="13325" max="13568" width="8.88671875" style="576"/>
    <col min="13569" max="13569" width="3.6640625" style="576" bestFit="1" customWidth="1"/>
    <col min="13570" max="13570" width="8.33203125" style="576" customWidth="1"/>
    <col min="13571" max="13571" width="46.109375" style="576" customWidth="1"/>
    <col min="13572" max="13572" width="11" style="576" customWidth="1"/>
    <col min="13573" max="13573" width="12.5546875" style="576" customWidth="1"/>
    <col min="13574" max="13574" width="10.88671875" style="576" customWidth="1"/>
    <col min="13575" max="13575" width="16.109375" style="576" customWidth="1"/>
    <col min="13576" max="13576" width="0" style="576" hidden="1" customWidth="1"/>
    <col min="13577" max="13577" width="15.44140625" style="576" customWidth="1"/>
    <col min="13578" max="13578" width="12.88671875" style="576" bestFit="1" customWidth="1"/>
    <col min="13579" max="13579" width="8.88671875" style="576"/>
    <col min="13580" max="13580" width="12.88671875" style="576" bestFit="1" customWidth="1"/>
    <col min="13581" max="13824" width="8.88671875" style="576"/>
    <col min="13825" max="13825" width="3.6640625" style="576" bestFit="1" customWidth="1"/>
    <col min="13826" max="13826" width="8.33203125" style="576" customWidth="1"/>
    <col min="13827" max="13827" width="46.109375" style="576" customWidth="1"/>
    <col min="13828" max="13828" width="11" style="576" customWidth="1"/>
    <col min="13829" max="13829" width="12.5546875" style="576" customWidth="1"/>
    <col min="13830" max="13830" width="10.88671875" style="576" customWidth="1"/>
    <col min="13831" max="13831" width="16.109375" style="576" customWidth="1"/>
    <col min="13832" max="13832" width="0" style="576" hidden="1" customWidth="1"/>
    <col min="13833" max="13833" width="15.44140625" style="576" customWidth="1"/>
    <col min="13834" max="13834" width="12.88671875" style="576" bestFit="1" customWidth="1"/>
    <col min="13835" max="13835" width="8.88671875" style="576"/>
    <col min="13836" max="13836" width="12.88671875" style="576" bestFit="1" customWidth="1"/>
    <col min="13837" max="14080" width="8.88671875" style="576"/>
    <col min="14081" max="14081" width="3.6640625" style="576" bestFit="1" customWidth="1"/>
    <col min="14082" max="14082" width="8.33203125" style="576" customWidth="1"/>
    <col min="14083" max="14083" width="46.109375" style="576" customWidth="1"/>
    <col min="14084" max="14084" width="11" style="576" customWidth="1"/>
    <col min="14085" max="14085" width="12.5546875" style="576" customWidth="1"/>
    <col min="14086" max="14086" width="10.88671875" style="576" customWidth="1"/>
    <col min="14087" max="14087" width="16.109375" style="576" customWidth="1"/>
    <col min="14088" max="14088" width="0" style="576" hidden="1" customWidth="1"/>
    <col min="14089" max="14089" width="15.44140625" style="576" customWidth="1"/>
    <col min="14090" max="14090" width="12.88671875" style="576" bestFit="1" customWidth="1"/>
    <col min="14091" max="14091" width="8.88671875" style="576"/>
    <col min="14092" max="14092" width="12.88671875" style="576" bestFit="1" customWidth="1"/>
    <col min="14093" max="14336" width="8.88671875" style="576"/>
    <col min="14337" max="14337" width="3.6640625" style="576" bestFit="1" customWidth="1"/>
    <col min="14338" max="14338" width="8.33203125" style="576" customWidth="1"/>
    <col min="14339" max="14339" width="46.109375" style="576" customWidth="1"/>
    <col min="14340" max="14340" width="11" style="576" customWidth="1"/>
    <col min="14341" max="14341" width="12.5546875" style="576" customWidth="1"/>
    <col min="14342" max="14342" width="10.88671875" style="576" customWidth="1"/>
    <col min="14343" max="14343" width="16.109375" style="576" customWidth="1"/>
    <col min="14344" max="14344" width="0" style="576" hidden="1" customWidth="1"/>
    <col min="14345" max="14345" width="15.44140625" style="576" customWidth="1"/>
    <col min="14346" max="14346" width="12.88671875" style="576" bestFit="1" customWidth="1"/>
    <col min="14347" max="14347" width="8.88671875" style="576"/>
    <col min="14348" max="14348" width="12.88671875" style="576" bestFit="1" customWidth="1"/>
    <col min="14349" max="14592" width="8.88671875" style="576"/>
    <col min="14593" max="14593" width="3.6640625" style="576" bestFit="1" customWidth="1"/>
    <col min="14594" max="14594" width="8.33203125" style="576" customWidth="1"/>
    <col min="14595" max="14595" width="46.109375" style="576" customWidth="1"/>
    <col min="14596" max="14596" width="11" style="576" customWidth="1"/>
    <col min="14597" max="14597" width="12.5546875" style="576" customWidth="1"/>
    <col min="14598" max="14598" width="10.88671875" style="576" customWidth="1"/>
    <col min="14599" max="14599" width="16.109375" style="576" customWidth="1"/>
    <col min="14600" max="14600" width="0" style="576" hidden="1" customWidth="1"/>
    <col min="14601" max="14601" width="15.44140625" style="576" customWidth="1"/>
    <col min="14602" max="14602" width="12.88671875" style="576" bestFit="1" customWidth="1"/>
    <col min="14603" max="14603" width="8.88671875" style="576"/>
    <col min="14604" max="14604" width="12.88671875" style="576" bestFit="1" customWidth="1"/>
    <col min="14605" max="14848" width="8.88671875" style="576"/>
    <col min="14849" max="14849" width="3.6640625" style="576" bestFit="1" customWidth="1"/>
    <col min="14850" max="14850" width="8.33203125" style="576" customWidth="1"/>
    <col min="14851" max="14851" width="46.109375" style="576" customWidth="1"/>
    <col min="14852" max="14852" width="11" style="576" customWidth="1"/>
    <col min="14853" max="14853" width="12.5546875" style="576" customWidth="1"/>
    <col min="14854" max="14854" width="10.88671875" style="576" customWidth="1"/>
    <col min="14855" max="14855" width="16.109375" style="576" customWidth="1"/>
    <col min="14856" max="14856" width="0" style="576" hidden="1" customWidth="1"/>
    <col min="14857" max="14857" width="15.44140625" style="576" customWidth="1"/>
    <col min="14858" max="14858" width="12.88671875" style="576" bestFit="1" customWidth="1"/>
    <col min="14859" max="14859" width="8.88671875" style="576"/>
    <col min="14860" max="14860" width="12.88671875" style="576" bestFit="1" customWidth="1"/>
    <col min="14861" max="15104" width="8.88671875" style="576"/>
    <col min="15105" max="15105" width="3.6640625" style="576" bestFit="1" customWidth="1"/>
    <col min="15106" max="15106" width="8.33203125" style="576" customWidth="1"/>
    <col min="15107" max="15107" width="46.109375" style="576" customWidth="1"/>
    <col min="15108" max="15108" width="11" style="576" customWidth="1"/>
    <col min="15109" max="15109" width="12.5546875" style="576" customWidth="1"/>
    <col min="15110" max="15110" width="10.88671875" style="576" customWidth="1"/>
    <col min="15111" max="15111" width="16.109375" style="576" customWidth="1"/>
    <col min="15112" max="15112" width="0" style="576" hidden="1" customWidth="1"/>
    <col min="15113" max="15113" width="15.44140625" style="576" customWidth="1"/>
    <col min="15114" max="15114" width="12.88671875" style="576" bestFit="1" customWidth="1"/>
    <col min="15115" max="15115" width="8.88671875" style="576"/>
    <col min="15116" max="15116" width="12.88671875" style="576" bestFit="1" customWidth="1"/>
    <col min="15117" max="15360" width="8.88671875" style="576"/>
    <col min="15361" max="15361" width="3.6640625" style="576" bestFit="1" customWidth="1"/>
    <col min="15362" max="15362" width="8.33203125" style="576" customWidth="1"/>
    <col min="15363" max="15363" width="46.109375" style="576" customWidth="1"/>
    <col min="15364" max="15364" width="11" style="576" customWidth="1"/>
    <col min="15365" max="15365" width="12.5546875" style="576" customWidth="1"/>
    <col min="15366" max="15366" width="10.88671875" style="576" customWidth="1"/>
    <col min="15367" max="15367" width="16.109375" style="576" customWidth="1"/>
    <col min="15368" max="15368" width="0" style="576" hidden="1" customWidth="1"/>
    <col min="15369" max="15369" width="15.44140625" style="576" customWidth="1"/>
    <col min="15370" max="15370" width="12.88671875" style="576" bestFit="1" customWidth="1"/>
    <col min="15371" max="15371" width="8.88671875" style="576"/>
    <col min="15372" max="15372" width="12.88671875" style="576" bestFit="1" customWidth="1"/>
    <col min="15373" max="15616" width="8.88671875" style="576"/>
    <col min="15617" max="15617" width="3.6640625" style="576" bestFit="1" customWidth="1"/>
    <col min="15618" max="15618" width="8.33203125" style="576" customWidth="1"/>
    <col min="15619" max="15619" width="46.109375" style="576" customWidth="1"/>
    <col min="15620" max="15620" width="11" style="576" customWidth="1"/>
    <col min="15621" max="15621" width="12.5546875" style="576" customWidth="1"/>
    <col min="15622" max="15622" width="10.88671875" style="576" customWidth="1"/>
    <col min="15623" max="15623" width="16.109375" style="576" customWidth="1"/>
    <col min="15624" max="15624" width="0" style="576" hidden="1" customWidth="1"/>
    <col min="15625" max="15625" width="15.44140625" style="576" customWidth="1"/>
    <col min="15626" max="15626" width="12.88671875" style="576" bestFit="1" customWidth="1"/>
    <col min="15627" max="15627" width="8.88671875" style="576"/>
    <col min="15628" max="15628" width="12.88671875" style="576" bestFit="1" customWidth="1"/>
    <col min="15629" max="15872" width="8.88671875" style="576"/>
    <col min="15873" max="15873" width="3.6640625" style="576" bestFit="1" customWidth="1"/>
    <col min="15874" max="15874" width="8.33203125" style="576" customWidth="1"/>
    <col min="15875" max="15875" width="46.109375" style="576" customWidth="1"/>
    <col min="15876" max="15876" width="11" style="576" customWidth="1"/>
    <col min="15877" max="15877" width="12.5546875" style="576" customWidth="1"/>
    <col min="15878" max="15878" width="10.88671875" style="576" customWidth="1"/>
    <col min="15879" max="15879" width="16.109375" style="576" customWidth="1"/>
    <col min="15880" max="15880" width="0" style="576" hidden="1" customWidth="1"/>
    <col min="15881" max="15881" width="15.44140625" style="576" customWidth="1"/>
    <col min="15882" max="15882" width="12.88671875" style="576" bestFit="1" customWidth="1"/>
    <col min="15883" max="15883" width="8.88671875" style="576"/>
    <col min="15884" max="15884" width="12.88671875" style="576" bestFit="1" customWidth="1"/>
    <col min="15885" max="16128" width="8.88671875" style="576"/>
    <col min="16129" max="16129" width="3.6640625" style="576" bestFit="1" customWidth="1"/>
    <col min="16130" max="16130" width="8.33203125" style="576" customWidth="1"/>
    <col min="16131" max="16131" width="46.109375" style="576" customWidth="1"/>
    <col min="16132" max="16132" width="11" style="576" customWidth="1"/>
    <col min="16133" max="16133" width="12.5546875" style="576" customWidth="1"/>
    <col min="16134" max="16134" width="10.88671875" style="576" customWidth="1"/>
    <col min="16135" max="16135" width="16.109375" style="576" customWidth="1"/>
    <col min="16136" max="16136" width="0" style="576" hidden="1" customWidth="1"/>
    <col min="16137" max="16137" width="15.44140625" style="576" customWidth="1"/>
    <col min="16138" max="16138" width="12.88671875" style="576" bestFit="1" customWidth="1"/>
    <col min="16139" max="16139" width="8.88671875" style="576"/>
    <col min="16140" max="16140" width="12.88671875" style="576" bestFit="1" customWidth="1"/>
    <col min="16141" max="16384" width="8.88671875" style="576"/>
  </cols>
  <sheetData>
    <row r="1" spans="1:13" s="27" customFormat="1" ht="89.4" customHeight="1" thickBot="1">
      <c r="A1" s="984" t="s">
        <v>1129</v>
      </c>
      <c r="B1" s="985"/>
      <c r="C1" s="985"/>
      <c r="D1" s="986" t="str">
        <f>'Bill No.8.1 '!$A$2</f>
        <v>BILL NO. 8.1  - REDUCTION OF LANDSLIDE VULNERABILITY BY MITIGATION MEASURES 
 PUNCHIMIRISKANDA- LOCATION 01 (SITE NO. 83 LOCATION 1)</v>
      </c>
      <c r="E1" s="986"/>
      <c r="F1" s="986"/>
      <c r="G1" s="987"/>
    </row>
    <row r="2" spans="1:13" s="565" customFormat="1" ht="15" customHeight="1">
      <c r="A2" s="988" t="s">
        <v>11</v>
      </c>
      <c r="B2" s="989" t="s">
        <v>12</v>
      </c>
      <c r="C2" s="886" t="s">
        <v>8</v>
      </c>
      <c r="D2" s="886" t="s">
        <v>13</v>
      </c>
      <c r="E2" s="990" t="s">
        <v>14</v>
      </c>
      <c r="F2" s="992" t="s">
        <v>15</v>
      </c>
      <c r="G2" s="993" t="s">
        <v>16</v>
      </c>
    </row>
    <row r="3" spans="1:13" s="565" customFormat="1" ht="15" customHeight="1">
      <c r="A3" s="884"/>
      <c r="B3" s="886"/>
      <c r="C3" s="887"/>
      <c r="D3" s="887"/>
      <c r="E3" s="991"/>
      <c r="F3" s="888"/>
      <c r="G3" s="889"/>
    </row>
    <row r="4" spans="1:13" s="565" customFormat="1" ht="30" customHeight="1">
      <c r="A4" s="434" t="s">
        <v>1130</v>
      </c>
      <c r="B4" s="723"/>
      <c r="C4" s="435" t="s">
        <v>838</v>
      </c>
      <c r="D4" s="723"/>
      <c r="E4" s="695"/>
      <c r="F4" s="436"/>
      <c r="G4" s="437"/>
      <c r="H4" s="566"/>
      <c r="I4" s="567"/>
      <c r="J4" s="565" t="s">
        <v>498</v>
      </c>
      <c r="K4" s="565" t="s">
        <v>1131</v>
      </c>
      <c r="L4" s="565" t="s">
        <v>500</v>
      </c>
    </row>
    <row r="5" spans="1:13" s="27" customFormat="1" ht="30" customHeight="1">
      <c r="A5" s="222" t="s">
        <v>1132</v>
      </c>
      <c r="B5" s="46" t="s">
        <v>18</v>
      </c>
      <c r="C5" s="47" t="s">
        <v>505</v>
      </c>
      <c r="D5" s="46" t="s">
        <v>312</v>
      </c>
      <c r="E5" s="238">
        <v>2660</v>
      </c>
      <c r="F5" s="439"/>
      <c r="G5" s="440"/>
      <c r="H5" s="568">
        <f>F5*0.897728</f>
        <v>0</v>
      </c>
      <c r="I5" s="40"/>
      <c r="J5" s="569">
        <f>1170*1.1547</f>
        <v>1350.999</v>
      </c>
      <c r="K5" s="569">
        <f>'Drains 83.1'!G109+'Drains 83.1'!G112+'Drains 83.1'!G165</f>
        <v>938.15350000000012</v>
      </c>
      <c r="L5" s="569">
        <f>4.5*81.3</f>
        <v>365.84999999999997</v>
      </c>
      <c r="M5" s="569">
        <f>SUM(J5:L5)</f>
        <v>2655.0025000000001</v>
      </c>
    </row>
    <row r="6" spans="1:13" s="27" customFormat="1" ht="30" customHeight="1">
      <c r="A6" s="222" t="s">
        <v>1133</v>
      </c>
      <c r="B6" s="46" t="s">
        <v>21</v>
      </c>
      <c r="C6" s="47" t="s">
        <v>22</v>
      </c>
      <c r="D6" s="46" t="s">
        <v>23</v>
      </c>
      <c r="E6" s="238">
        <v>60</v>
      </c>
      <c r="F6" s="439"/>
      <c r="G6" s="440"/>
      <c r="H6" s="568">
        <f t="shared" ref="H6:H7" si="0">F6*0.897728</f>
        <v>0</v>
      </c>
      <c r="I6" s="40"/>
    </row>
    <row r="7" spans="1:13" s="27" customFormat="1" ht="30" customHeight="1">
      <c r="A7" s="222" t="s">
        <v>1134</v>
      </c>
      <c r="B7" s="46" t="s">
        <v>24</v>
      </c>
      <c r="C7" s="47" t="s">
        <v>843</v>
      </c>
      <c r="D7" s="46" t="s">
        <v>23</v>
      </c>
      <c r="E7" s="238">
        <v>25</v>
      </c>
      <c r="F7" s="439"/>
      <c r="G7" s="440"/>
      <c r="H7" s="568">
        <f t="shared" si="0"/>
        <v>0</v>
      </c>
      <c r="I7" s="40"/>
    </row>
    <row r="8" spans="1:13" s="27" customFormat="1" ht="30" customHeight="1">
      <c r="A8" s="222" t="s">
        <v>1135</v>
      </c>
      <c r="B8" s="56" t="s">
        <v>200</v>
      </c>
      <c r="C8" s="223" t="s">
        <v>201</v>
      </c>
      <c r="D8" s="36" t="s">
        <v>23</v>
      </c>
      <c r="E8" s="239">
        <v>10</v>
      </c>
      <c r="F8" s="57"/>
      <c r="G8" s="39"/>
      <c r="H8" s="40"/>
      <c r="I8" s="40"/>
      <c r="J8" s="349"/>
    </row>
    <row r="9" spans="1:13" s="27" customFormat="1" ht="30" customHeight="1">
      <c r="A9" s="222" t="s">
        <v>1136</v>
      </c>
      <c r="B9" s="56" t="s">
        <v>202</v>
      </c>
      <c r="C9" s="223" t="s">
        <v>203</v>
      </c>
      <c r="D9" s="36" t="s">
        <v>23</v>
      </c>
      <c r="E9" s="239">
        <v>10</v>
      </c>
      <c r="F9" s="57"/>
      <c r="G9" s="39"/>
      <c r="H9" s="40"/>
      <c r="I9" s="40"/>
      <c r="J9" s="349"/>
    </row>
    <row r="10" spans="1:13" s="27" customFormat="1" ht="30" customHeight="1">
      <c r="A10" s="222" t="s">
        <v>1137</v>
      </c>
      <c r="B10" s="46" t="s">
        <v>26</v>
      </c>
      <c r="C10" s="47" t="s">
        <v>1138</v>
      </c>
      <c r="D10" s="46" t="s">
        <v>23</v>
      </c>
      <c r="E10" s="239">
        <v>10</v>
      </c>
      <c r="F10" s="439"/>
      <c r="G10" s="440"/>
      <c r="H10" s="40"/>
      <c r="I10" s="40"/>
    </row>
    <row r="11" spans="1:13" s="27" customFormat="1" ht="30" customHeight="1">
      <c r="A11" s="222" t="s">
        <v>1139</v>
      </c>
      <c r="B11" s="46" t="s">
        <v>205</v>
      </c>
      <c r="C11" s="47" t="s">
        <v>206</v>
      </c>
      <c r="D11" s="46" t="s">
        <v>23</v>
      </c>
      <c r="E11" s="239">
        <v>50</v>
      </c>
      <c r="F11" s="439"/>
      <c r="G11" s="440"/>
      <c r="H11" s="40"/>
      <c r="I11" s="40"/>
    </row>
    <row r="12" spans="1:13" customFormat="1" ht="30" customHeight="1">
      <c r="A12" s="770" t="s">
        <v>1140</v>
      </c>
      <c r="B12" s="350"/>
      <c r="C12" s="351" t="s">
        <v>399</v>
      </c>
      <c r="D12" s="350"/>
      <c r="E12" s="693"/>
      <c r="F12" s="57"/>
      <c r="G12" s="771"/>
    </row>
    <row r="13" spans="1:13" customFormat="1" ht="30" customHeight="1">
      <c r="A13" s="222" t="s">
        <v>1141</v>
      </c>
      <c r="B13" s="350" t="s">
        <v>401</v>
      </c>
      <c r="C13" s="353" t="s">
        <v>402</v>
      </c>
      <c r="D13" s="350" t="s">
        <v>28</v>
      </c>
      <c r="E13" s="693">
        <v>10</v>
      </c>
      <c r="F13" s="57"/>
      <c r="G13" s="771"/>
    </row>
    <row r="14" spans="1:13" customFormat="1" ht="30" customHeight="1">
      <c r="A14" s="222" t="s">
        <v>1142</v>
      </c>
      <c r="B14" s="354" t="s">
        <v>404</v>
      </c>
      <c r="C14" s="355" t="s">
        <v>405</v>
      </c>
      <c r="D14" s="354" t="s">
        <v>28</v>
      </c>
      <c r="E14" s="694">
        <v>10</v>
      </c>
      <c r="F14" s="357"/>
      <c r="G14" s="771"/>
    </row>
    <row r="15" spans="1:13" s="573" customFormat="1" ht="30" customHeight="1" thickBot="1">
      <c r="A15" s="570"/>
      <c r="B15" s="981" t="s">
        <v>1143</v>
      </c>
      <c r="C15" s="982"/>
      <c r="D15" s="982"/>
      <c r="E15" s="982"/>
      <c r="F15" s="983"/>
      <c r="G15" s="571"/>
      <c r="H15" s="572"/>
    </row>
    <row r="16" spans="1:13" ht="13.2">
      <c r="A16" s="574"/>
      <c r="C16" s="565"/>
      <c r="D16" s="574"/>
      <c r="E16" s="697"/>
      <c r="F16" s="575"/>
      <c r="G16" s="575"/>
    </row>
    <row r="17" spans="1:8" ht="13.2">
      <c r="A17" s="577"/>
      <c r="C17" s="565"/>
      <c r="D17" s="574"/>
      <c r="E17" s="697"/>
      <c r="F17" s="575"/>
      <c r="G17" s="575"/>
    </row>
    <row r="18" spans="1:8" ht="13.2">
      <c r="A18" s="574"/>
      <c r="C18" s="565"/>
      <c r="D18" s="574"/>
      <c r="E18" s="697"/>
      <c r="F18" s="575"/>
      <c r="G18" s="575"/>
    </row>
    <row r="19" spans="1:8">
      <c r="C19" s="565"/>
      <c r="D19" s="574"/>
      <c r="E19" s="697"/>
      <c r="F19" s="575"/>
      <c r="G19" s="575"/>
    </row>
    <row r="20" spans="1:8">
      <c r="A20" s="579"/>
      <c r="C20" s="565"/>
      <c r="D20" s="574"/>
      <c r="E20" s="697"/>
      <c r="F20" s="575"/>
      <c r="G20" s="575"/>
    </row>
    <row r="21" spans="1:8">
      <c r="C21" s="565"/>
      <c r="D21" s="574"/>
      <c r="E21" s="697"/>
      <c r="F21" s="575"/>
      <c r="G21" s="575"/>
    </row>
    <row r="24" spans="1:8" ht="13.2">
      <c r="A24" s="565"/>
      <c r="B24" s="565"/>
      <c r="C24" s="565"/>
      <c r="D24" s="565"/>
      <c r="E24" s="698"/>
      <c r="F24" s="565"/>
      <c r="G24" s="565"/>
    </row>
    <row r="25" spans="1:8">
      <c r="B25" s="578"/>
      <c r="C25" s="578"/>
      <c r="D25" s="578"/>
      <c r="E25" s="699"/>
      <c r="F25" s="578"/>
      <c r="G25" s="578"/>
      <c r="H25" s="578"/>
    </row>
    <row r="26" spans="1:8" ht="13.2">
      <c r="A26" s="565"/>
      <c r="B26" s="565"/>
      <c r="C26" s="565"/>
      <c r="D26" s="565"/>
      <c r="E26" s="698"/>
      <c r="F26" s="565"/>
      <c r="G26" s="565"/>
      <c r="H26" s="565"/>
    </row>
    <row r="31" spans="1:8">
      <c r="C31" s="565"/>
      <c r="D31" s="574"/>
      <c r="E31" s="697"/>
      <c r="F31" s="575"/>
      <c r="G31" s="575"/>
    </row>
    <row r="32" spans="1:8">
      <c r="C32" s="565"/>
      <c r="D32" s="574"/>
      <c r="E32" s="697"/>
      <c r="F32" s="575"/>
      <c r="G32" s="575"/>
    </row>
    <row r="33" spans="3:7">
      <c r="C33" s="565"/>
      <c r="D33" s="574"/>
      <c r="E33" s="697"/>
      <c r="F33" s="575"/>
      <c r="G33" s="575"/>
    </row>
    <row r="34" spans="3:7">
      <c r="C34" s="565"/>
      <c r="D34" s="574"/>
      <c r="E34" s="697"/>
      <c r="F34" s="575"/>
      <c r="G34" s="575"/>
    </row>
  </sheetData>
  <mergeCells count="10">
    <mergeCell ref="B15:F15"/>
    <mergeCell ref="A1:C1"/>
    <mergeCell ref="D1:G1"/>
    <mergeCell ref="A2:A3"/>
    <mergeCell ref="B2:B3"/>
    <mergeCell ref="C2:C3"/>
    <mergeCell ref="D2:D3"/>
    <mergeCell ref="E2:E3"/>
    <mergeCell ref="F2:F3"/>
    <mergeCell ref="G2:G3"/>
  </mergeCells>
  <printOptions horizontalCentered="1"/>
  <pageMargins left="0.75" right="0.4" top="0.75" bottom="0.5" header="0" footer="0"/>
  <pageSetup paperSize="9" scale="70" fitToHeight="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6FAC-3306-4D06-88DD-6839FFF21223}">
  <sheetPr>
    <tabColor rgb="FF00B0F0"/>
  </sheetPr>
  <dimension ref="A1:J33"/>
  <sheetViews>
    <sheetView view="pageBreakPreview" zoomScale="98" zoomScaleNormal="100" zoomScaleSheetLayoutView="98" workbookViewId="0">
      <pane ySplit="3" topLeftCell="A4" activePane="bottomLeft" state="frozen"/>
      <selection activeCell="E36" sqref="E36"/>
      <selection pane="bottomLeft" activeCell="I1" sqref="I1:I1048576"/>
    </sheetView>
  </sheetViews>
  <sheetFormatPr defaultColWidth="8.88671875" defaultRowHeight="13.8"/>
  <cols>
    <col min="1" max="1" width="9" style="596" customWidth="1"/>
    <col min="2" max="2" width="10.6640625" style="580" customWidth="1"/>
    <col min="3" max="3" width="50.6640625" style="576" customWidth="1"/>
    <col min="4" max="4" width="7.6640625" style="580" customWidth="1"/>
    <col min="5" max="5" width="10" style="702" customWidth="1"/>
    <col min="6" max="6" width="12.6640625" style="581" customWidth="1"/>
    <col min="7" max="7" width="18.5546875" style="581" customWidth="1"/>
    <col min="8" max="8" width="12.109375" style="576" hidden="1" customWidth="1"/>
    <col min="9" max="9" width="12.88671875" style="597" hidden="1" customWidth="1"/>
    <col min="10" max="10" width="13.5546875" style="576" customWidth="1"/>
    <col min="11" max="11" width="12.88671875" style="576" bestFit="1" customWidth="1"/>
    <col min="12" max="12" width="10.33203125" style="576" bestFit="1" customWidth="1"/>
    <col min="13" max="255" width="8.88671875" style="576"/>
    <col min="256" max="256" width="3.6640625" style="576" bestFit="1" customWidth="1"/>
    <col min="257" max="257" width="8.33203125" style="576" customWidth="1"/>
    <col min="258" max="258" width="46.109375" style="576" customWidth="1"/>
    <col min="259" max="259" width="11" style="576" customWidth="1"/>
    <col min="260" max="260" width="12.5546875" style="576" customWidth="1"/>
    <col min="261" max="261" width="10.88671875" style="576" customWidth="1"/>
    <col min="262" max="262" width="16.109375" style="576" customWidth="1"/>
    <col min="263" max="263" width="0" style="576" hidden="1" customWidth="1"/>
    <col min="264" max="264" width="15.44140625" style="576" customWidth="1"/>
    <col min="265" max="265" width="12.88671875" style="576" bestFit="1" customWidth="1"/>
    <col min="266" max="266" width="8.88671875" style="576"/>
    <col min="267" max="267" width="12.88671875" style="576" bestFit="1" customWidth="1"/>
    <col min="268" max="511" width="8.88671875" style="576"/>
    <col min="512" max="512" width="3.6640625" style="576" bestFit="1" customWidth="1"/>
    <col min="513" max="513" width="8.33203125" style="576" customWidth="1"/>
    <col min="514" max="514" width="46.109375" style="576" customWidth="1"/>
    <col min="515" max="515" width="11" style="576" customWidth="1"/>
    <col min="516" max="516" width="12.5546875" style="576" customWidth="1"/>
    <col min="517" max="517" width="10.88671875" style="576" customWidth="1"/>
    <col min="518" max="518" width="16.109375" style="576" customWidth="1"/>
    <col min="519" max="519" width="0" style="576" hidden="1" customWidth="1"/>
    <col min="520" max="520" width="15.44140625" style="576" customWidth="1"/>
    <col min="521" max="521" width="12.88671875" style="576" bestFit="1" customWidth="1"/>
    <col min="522" max="522" width="8.88671875" style="576"/>
    <col min="523" max="523" width="12.88671875" style="576" bestFit="1" customWidth="1"/>
    <col min="524" max="767" width="8.88671875" style="576"/>
    <col min="768" max="768" width="3.6640625" style="576" bestFit="1" customWidth="1"/>
    <col min="769" max="769" width="8.33203125" style="576" customWidth="1"/>
    <col min="770" max="770" width="46.109375" style="576" customWidth="1"/>
    <col min="771" max="771" width="11" style="576" customWidth="1"/>
    <col min="772" max="772" width="12.5546875" style="576" customWidth="1"/>
    <col min="773" max="773" width="10.88671875" style="576" customWidth="1"/>
    <col min="774" max="774" width="16.109375" style="576" customWidth="1"/>
    <col min="775" max="775" width="0" style="576" hidden="1" customWidth="1"/>
    <col min="776" max="776" width="15.44140625" style="576" customWidth="1"/>
    <col min="777" max="777" width="12.88671875" style="576" bestFit="1" customWidth="1"/>
    <col min="778" max="778" width="8.88671875" style="576"/>
    <col min="779" max="779" width="12.88671875" style="576" bestFit="1" customWidth="1"/>
    <col min="780" max="1023" width="8.88671875" style="576"/>
    <col min="1024" max="1024" width="3.6640625" style="576" bestFit="1" customWidth="1"/>
    <col min="1025" max="1025" width="8.33203125" style="576" customWidth="1"/>
    <col min="1026" max="1026" width="46.109375" style="576" customWidth="1"/>
    <col min="1027" max="1027" width="11" style="576" customWidth="1"/>
    <col min="1028" max="1028" width="12.5546875" style="576" customWidth="1"/>
    <col min="1029" max="1029" width="10.88671875" style="576" customWidth="1"/>
    <col min="1030" max="1030" width="16.109375" style="576" customWidth="1"/>
    <col min="1031" max="1031" width="0" style="576" hidden="1" customWidth="1"/>
    <col min="1032" max="1032" width="15.44140625" style="576" customWidth="1"/>
    <col min="1033" max="1033" width="12.88671875" style="576" bestFit="1" customWidth="1"/>
    <col min="1034" max="1034" width="8.88671875" style="576"/>
    <col min="1035" max="1035" width="12.88671875" style="576" bestFit="1" customWidth="1"/>
    <col min="1036" max="1279" width="8.88671875" style="576"/>
    <col min="1280" max="1280" width="3.6640625" style="576" bestFit="1" customWidth="1"/>
    <col min="1281" max="1281" width="8.33203125" style="576" customWidth="1"/>
    <col min="1282" max="1282" width="46.109375" style="576" customWidth="1"/>
    <col min="1283" max="1283" width="11" style="576" customWidth="1"/>
    <col min="1284" max="1284" width="12.5546875" style="576" customWidth="1"/>
    <col min="1285" max="1285" width="10.88671875" style="576" customWidth="1"/>
    <col min="1286" max="1286" width="16.109375" style="576" customWidth="1"/>
    <col min="1287" max="1287" width="0" style="576" hidden="1" customWidth="1"/>
    <col min="1288" max="1288" width="15.44140625" style="576" customWidth="1"/>
    <col min="1289" max="1289" width="12.88671875" style="576" bestFit="1" customWidth="1"/>
    <col min="1290" max="1290" width="8.88671875" style="576"/>
    <col min="1291" max="1291" width="12.88671875" style="576" bestFit="1" customWidth="1"/>
    <col min="1292" max="1535" width="8.88671875" style="576"/>
    <col min="1536" max="1536" width="3.6640625" style="576" bestFit="1" customWidth="1"/>
    <col min="1537" max="1537" width="8.33203125" style="576" customWidth="1"/>
    <col min="1538" max="1538" width="46.109375" style="576" customWidth="1"/>
    <col min="1539" max="1539" width="11" style="576" customWidth="1"/>
    <col min="1540" max="1540" width="12.5546875" style="576" customWidth="1"/>
    <col min="1541" max="1541" width="10.88671875" style="576" customWidth="1"/>
    <col min="1542" max="1542" width="16.109375" style="576" customWidth="1"/>
    <col min="1543" max="1543" width="0" style="576" hidden="1" customWidth="1"/>
    <col min="1544" max="1544" width="15.44140625" style="576" customWidth="1"/>
    <col min="1545" max="1545" width="12.88671875" style="576" bestFit="1" customWidth="1"/>
    <col min="1546" max="1546" width="8.88671875" style="576"/>
    <col min="1547" max="1547" width="12.88671875" style="576" bestFit="1" customWidth="1"/>
    <col min="1548" max="1791" width="8.88671875" style="576"/>
    <col min="1792" max="1792" width="3.6640625" style="576" bestFit="1" customWidth="1"/>
    <col min="1793" max="1793" width="8.33203125" style="576" customWidth="1"/>
    <col min="1794" max="1794" width="46.109375" style="576" customWidth="1"/>
    <col min="1795" max="1795" width="11" style="576" customWidth="1"/>
    <col min="1796" max="1796" width="12.5546875" style="576" customWidth="1"/>
    <col min="1797" max="1797" width="10.88671875" style="576" customWidth="1"/>
    <col min="1798" max="1798" width="16.109375" style="576" customWidth="1"/>
    <col min="1799" max="1799" width="0" style="576" hidden="1" customWidth="1"/>
    <col min="1800" max="1800" width="15.44140625" style="576" customWidth="1"/>
    <col min="1801" max="1801" width="12.88671875" style="576" bestFit="1" customWidth="1"/>
    <col min="1802" max="1802" width="8.88671875" style="576"/>
    <col min="1803" max="1803" width="12.88671875" style="576" bestFit="1" customWidth="1"/>
    <col min="1804" max="2047" width="8.88671875" style="576"/>
    <col min="2048" max="2048" width="3.6640625" style="576" bestFit="1" customWidth="1"/>
    <col min="2049" max="2049" width="8.33203125" style="576" customWidth="1"/>
    <col min="2050" max="2050" width="46.109375" style="576" customWidth="1"/>
    <col min="2051" max="2051" width="11" style="576" customWidth="1"/>
    <col min="2052" max="2052" width="12.5546875" style="576" customWidth="1"/>
    <col min="2053" max="2053" width="10.88671875" style="576" customWidth="1"/>
    <col min="2054" max="2054" width="16.109375" style="576" customWidth="1"/>
    <col min="2055" max="2055" width="0" style="576" hidden="1" customWidth="1"/>
    <col min="2056" max="2056" width="15.44140625" style="576" customWidth="1"/>
    <col min="2057" max="2057" width="12.88671875" style="576" bestFit="1" customWidth="1"/>
    <col min="2058" max="2058" width="8.88671875" style="576"/>
    <col min="2059" max="2059" width="12.88671875" style="576" bestFit="1" customWidth="1"/>
    <col min="2060" max="2303" width="8.88671875" style="576"/>
    <col min="2304" max="2304" width="3.6640625" style="576" bestFit="1" customWidth="1"/>
    <col min="2305" max="2305" width="8.33203125" style="576" customWidth="1"/>
    <col min="2306" max="2306" width="46.109375" style="576" customWidth="1"/>
    <col min="2307" max="2307" width="11" style="576" customWidth="1"/>
    <col min="2308" max="2308" width="12.5546875" style="576" customWidth="1"/>
    <col min="2309" max="2309" width="10.88671875" style="576" customWidth="1"/>
    <col min="2310" max="2310" width="16.109375" style="576" customWidth="1"/>
    <col min="2311" max="2311" width="0" style="576" hidden="1" customWidth="1"/>
    <col min="2312" max="2312" width="15.44140625" style="576" customWidth="1"/>
    <col min="2313" max="2313" width="12.88671875" style="576" bestFit="1" customWidth="1"/>
    <col min="2314" max="2314" width="8.88671875" style="576"/>
    <col min="2315" max="2315" width="12.88671875" style="576" bestFit="1" customWidth="1"/>
    <col min="2316" max="2559" width="8.88671875" style="576"/>
    <col min="2560" max="2560" width="3.6640625" style="576" bestFit="1" customWidth="1"/>
    <col min="2561" max="2561" width="8.33203125" style="576" customWidth="1"/>
    <col min="2562" max="2562" width="46.109375" style="576" customWidth="1"/>
    <col min="2563" max="2563" width="11" style="576" customWidth="1"/>
    <col min="2564" max="2564" width="12.5546875" style="576" customWidth="1"/>
    <col min="2565" max="2565" width="10.88671875" style="576" customWidth="1"/>
    <col min="2566" max="2566" width="16.109375" style="576" customWidth="1"/>
    <col min="2567" max="2567" width="0" style="576" hidden="1" customWidth="1"/>
    <col min="2568" max="2568" width="15.44140625" style="576" customWidth="1"/>
    <col min="2569" max="2569" width="12.88671875" style="576" bestFit="1" customWidth="1"/>
    <col min="2570" max="2570" width="8.88671875" style="576"/>
    <col min="2571" max="2571" width="12.88671875" style="576" bestFit="1" customWidth="1"/>
    <col min="2572" max="2815" width="8.88671875" style="576"/>
    <col min="2816" max="2816" width="3.6640625" style="576" bestFit="1" customWidth="1"/>
    <col min="2817" max="2817" width="8.33203125" style="576" customWidth="1"/>
    <col min="2818" max="2818" width="46.109375" style="576" customWidth="1"/>
    <col min="2819" max="2819" width="11" style="576" customWidth="1"/>
    <col min="2820" max="2820" width="12.5546875" style="576" customWidth="1"/>
    <col min="2821" max="2821" width="10.88671875" style="576" customWidth="1"/>
    <col min="2822" max="2822" width="16.109375" style="576" customWidth="1"/>
    <col min="2823" max="2823" width="0" style="576" hidden="1" customWidth="1"/>
    <col min="2824" max="2824" width="15.44140625" style="576" customWidth="1"/>
    <col min="2825" max="2825" width="12.88671875" style="576" bestFit="1" customWidth="1"/>
    <col min="2826" max="2826" width="8.88671875" style="576"/>
    <col min="2827" max="2827" width="12.88671875" style="576" bestFit="1" customWidth="1"/>
    <col min="2828" max="3071" width="8.88671875" style="576"/>
    <col min="3072" max="3072" width="3.6640625" style="576" bestFit="1" customWidth="1"/>
    <col min="3073" max="3073" width="8.33203125" style="576" customWidth="1"/>
    <col min="3074" max="3074" width="46.109375" style="576" customWidth="1"/>
    <col min="3075" max="3075" width="11" style="576" customWidth="1"/>
    <col min="3076" max="3076" width="12.5546875" style="576" customWidth="1"/>
    <col min="3077" max="3077" width="10.88671875" style="576" customWidth="1"/>
    <col min="3078" max="3078" width="16.109375" style="576" customWidth="1"/>
    <col min="3079" max="3079" width="0" style="576" hidden="1" customWidth="1"/>
    <col min="3080" max="3080" width="15.44140625" style="576" customWidth="1"/>
    <col min="3081" max="3081" width="12.88671875" style="576" bestFit="1" customWidth="1"/>
    <col min="3082" max="3082" width="8.88671875" style="576"/>
    <col min="3083" max="3083" width="12.88671875" style="576" bestFit="1" customWidth="1"/>
    <col min="3084" max="3327" width="8.88671875" style="576"/>
    <col min="3328" max="3328" width="3.6640625" style="576" bestFit="1" customWidth="1"/>
    <col min="3329" max="3329" width="8.33203125" style="576" customWidth="1"/>
    <col min="3330" max="3330" width="46.109375" style="576" customWidth="1"/>
    <col min="3331" max="3331" width="11" style="576" customWidth="1"/>
    <col min="3332" max="3332" width="12.5546875" style="576" customWidth="1"/>
    <col min="3333" max="3333" width="10.88671875" style="576" customWidth="1"/>
    <col min="3334" max="3334" width="16.109375" style="576" customWidth="1"/>
    <col min="3335" max="3335" width="0" style="576" hidden="1" customWidth="1"/>
    <col min="3336" max="3336" width="15.44140625" style="576" customWidth="1"/>
    <col min="3337" max="3337" width="12.88671875" style="576" bestFit="1" customWidth="1"/>
    <col min="3338" max="3338" width="8.88671875" style="576"/>
    <col min="3339" max="3339" width="12.88671875" style="576" bestFit="1" customWidth="1"/>
    <col min="3340" max="3583" width="8.88671875" style="576"/>
    <col min="3584" max="3584" width="3.6640625" style="576" bestFit="1" customWidth="1"/>
    <col min="3585" max="3585" width="8.33203125" style="576" customWidth="1"/>
    <col min="3586" max="3586" width="46.109375" style="576" customWidth="1"/>
    <col min="3587" max="3587" width="11" style="576" customWidth="1"/>
    <col min="3588" max="3588" width="12.5546875" style="576" customWidth="1"/>
    <col min="3589" max="3589" width="10.88671875" style="576" customWidth="1"/>
    <col min="3590" max="3590" width="16.109375" style="576" customWidth="1"/>
    <col min="3591" max="3591" width="0" style="576" hidden="1" customWidth="1"/>
    <col min="3592" max="3592" width="15.44140625" style="576" customWidth="1"/>
    <col min="3593" max="3593" width="12.88671875" style="576" bestFit="1" customWidth="1"/>
    <col min="3594" max="3594" width="8.88671875" style="576"/>
    <col min="3595" max="3595" width="12.88671875" style="576" bestFit="1" customWidth="1"/>
    <col min="3596" max="3839" width="8.88671875" style="576"/>
    <col min="3840" max="3840" width="3.6640625" style="576" bestFit="1" customWidth="1"/>
    <col min="3841" max="3841" width="8.33203125" style="576" customWidth="1"/>
    <col min="3842" max="3842" width="46.109375" style="576" customWidth="1"/>
    <col min="3843" max="3843" width="11" style="576" customWidth="1"/>
    <col min="3844" max="3844" width="12.5546875" style="576" customWidth="1"/>
    <col min="3845" max="3845" width="10.88671875" style="576" customWidth="1"/>
    <col min="3846" max="3846" width="16.109375" style="576" customWidth="1"/>
    <col min="3847" max="3847" width="0" style="576" hidden="1" customWidth="1"/>
    <col min="3848" max="3848" width="15.44140625" style="576" customWidth="1"/>
    <col min="3849" max="3849" width="12.88671875" style="576" bestFit="1" customWidth="1"/>
    <col min="3850" max="3850" width="8.88671875" style="576"/>
    <col min="3851" max="3851" width="12.88671875" style="576" bestFit="1" customWidth="1"/>
    <col min="3852" max="4095" width="8.88671875" style="576"/>
    <col min="4096" max="4096" width="3.6640625" style="576" bestFit="1" customWidth="1"/>
    <col min="4097" max="4097" width="8.33203125" style="576" customWidth="1"/>
    <col min="4098" max="4098" width="46.109375" style="576" customWidth="1"/>
    <col min="4099" max="4099" width="11" style="576" customWidth="1"/>
    <col min="4100" max="4100" width="12.5546875" style="576" customWidth="1"/>
    <col min="4101" max="4101" width="10.88671875" style="576" customWidth="1"/>
    <col min="4102" max="4102" width="16.109375" style="576" customWidth="1"/>
    <col min="4103" max="4103" width="0" style="576" hidden="1" customWidth="1"/>
    <col min="4104" max="4104" width="15.44140625" style="576" customWidth="1"/>
    <col min="4105" max="4105" width="12.88671875" style="576" bestFit="1" customWidth="1"/>
    <col min="4106" max="4106" width="8.88671875" style="576"/>
    <col min="4107" max="4107" width="12.88671875" style="576" bestFit="1" customWidth="1"/>
    <col min="4108" max="4351" width="8.88671875" style="576"/>
    <col min="4352" max="4352" width="3.6640625" style="576" bestFit="1" customWidth="1"/>
    <col min="4353" max="4353" width="8.33203125" style="576" customWidth="1"/>
    <col min="4354" max="4354" width="46.109375" style="576" customWidth="1"/>
    <col min="4355" max="4355" width="11" style="576" customWidth="1"/>
    <col min="4356" max="4356" width="12.5546875" style="576" customWidth="1"/>
    <col min="4357" max="4357" width="10.88671875" style="576" customWidth="1"/>
    <col min="4358" max="4358" width="16.109375" style="576" customWidth="1"/>
    <col min="4359" max="4359" width="0" style="576" hidden="1" customWidth="1"/>
    <col min="4360" max="4360" width="15.44140625" style="576" customWidth="1"/>
    <col min="4361" max="4361" width="12.88671875" style="576" bestFit="1" customWidth="1"/>
    <col min="4362" max="4362" width="8.88671875" style="576"/>
    <col min="4363" max="4363" width="12.88671875" style="576" bestFit="1" customWidth="1"/>
    <col min="4364" max="4607" width="8.88671875" style="576"/>
    <col min="4608" max="4608" width="3.6640625" style="576" bestFit="1" customWidth="1"/>
    <col min="4609" max="4609" width="8.33203125" style="576" customWidth="1"/>
    <col min="4610" max="4610" width="46.109375" style="576" customWidth="1"/>
    <col min="4611" max="4611" width="11" style="576" customWidth="1"/>
    <col min="4612" max="4612" width="12.5546875" style="576" customWidth="1"/>
    <col min="4613" max="4613" width="10.88671875" style="576" customWidth="1"/>
    <col min="4614" max="4614" width="16.109375" style="576" customWidth="1"/>
    <col min="4615" max="4615" width="0" style="576" hidden="1" customWidth="1"/>
    <col min="4616" max="4616" width="15.44140625" style="576" customWidth="1"/>
    <col min="4617" max="4617" width="12.88671875" style="576" bestFit="1" customWidth="1"/>
    <col min="4618" max="4618" width="8.88671875" style="576"/>
    <col min="4619" max="4619" width="12.88671875" style="576" bestFit="1" customWidth="1"/>
    <col min="4620" max="4863" width="8.88671875" style="576"/>
    <col min="4864" max="4864" width="3.6640625" style="576" bestFit="1" customWidth="1"/>
    <col min="4865" max="4865" width="8.33203125" style="576" customWidth="1"/>
    <col min="4866" max="4866" width="46.109375" style="576" customWidth="1"/>
    <col min="4867" max="4867" width="11" style="576" customWidth="1"/>
    <col min="4868" max="4868" width="12.5546875" style="576" customWidth="1"/>
    <col min="4869" max="4869" width="10.88671875" style="576" customWidth="1"/>
    <col min="4870" max="4870" width="16.109375" style="576" customWidth="1"/>
    <col min="4871" max="4871" width="0" style="576" hidden="1" customWidth="1"/>
    <col min="4872" max="4872" width="15.44140625" style="576" customWidth="1"/>
    <col min="4873" max="4873" width="12.88671875" style="576" bestFit="1" customWidth="1"/>
    <col min="4874" max="4874" width="8.88671875" style="576"/>
    <col min="4875" max="4875" width="12.88671875" style="576" bestFit="1" customWidth="1"/>
    <col min="4876" max="5119" width="8.88671875" style="576"/>
    <col min="5120" max="5120" width="3.6640625" style="576" bestFit="1" customWidth="1"/>
    <col min="5121" max="5121" width="8.33203125" style="576" customWidth="1"/>
    <col min="5122" max="5122" width="46.109375" style="576" customWidth="1"/>
    <col min="5123" max="5123" width="11" style="576" customWidth="1"/>
    <col min="5124" max="5124" width="12.5546875" style="576" customWidth="1"/>
    <col min="5125" max="5125" width="10.88671875" style="576" customWidth="1"/>
    <col min="5126" max="5126" width="16.109375" style="576" customWidth="1"/>
    <col min="5127" max="5127" width="0" style="576" hidden="1" customWidth="1"/>
    <col min="5128" max="5128" width="15.44140625" style="576" customWidth="1"/>
    <col min="5129" max="5129" width="12.88671875" style="576" bestFit="1" customWidth="1"/>
    <col min="5130" max="5130" width="8.88671875" style="576"/>
    <col min="5131" max="5131" width="12.88671875" style="576" bestFit="1" customWidth="1"/>
    <col min="5132" max="5375" width="8.88671875" style="576"/>
    <col min="5376" max="5376" width="3.6640625" style="576" bestFit="1" customWidth="1"/>
    <col min="5377" max="5377" width="8.33203125" style="576" customWidth="1"/>
    <col min="5378" max="5378" width="46.109375" style="576" customWidth="1"/>
    <col min="5379" max="5379" width="11" style="576" customWidth="1"/>
    <col min="5380" max="5380" width="12.5546875" style="576" customWidth="1"/>
    <col min="5381" max="5381" width="10.88671875" style="576" customWidth="1"/>
    <col min="5382" max="5382" width="16.109375" style="576" customWidth="1"/>
    <col min="5383" max="5383" width="0" style="576" hidden="1" customWidth="1"/>
    <col min="5384" max="5384" width="15.44140625" style="576" customWidth="1"/>
    <col min="5385" max="5385" width="12.88671875" style="576" bestFit="1" customWidth="1"/>
    <col min="5386" max="5386" width="8.88671875" style="576"/>
    <col min="5387" max="5387" width="12.88671875" style="576" bestFit="1" customWidth="1"/>
    <col min="5388" max="5631" width="8.88671875" style="576"/>
    <col min="5632" max="5632" width="3.6640625" style="576" bestFit="1" customWidth="1"/>
    <col min="5633" max="5633" width="8.33203125" style="576" customWidth="1"/>
    <col min="5634" max="5634" width="46.109375" style="576" customWidth="1"/>
    <col min="5635" max="5635" width="11" style="576" customWidth="1"/>
    <col min="5636" max="5636" width="12.5546875" style="576" customWidth="1"/>
    <col min="5637" max="5637" width="10.88671875" style="576" customWidth="1"/>
    <col min="5638" max="5638" width="16.109375" style="576" customWidth="1"/>
    <col min="5639" max="5639" width="0" style="576" hidden="1" customWidth="1"/>
    <col min="5640" max="5640" width="15.44140625" style="576" customWidth="1"/>
    <col min="5641" max="5641" width="12.88671875" style="576" bestFit="1" customWidth="1"/>
    <col min="5642" max="5642" width="8.88671875" style="576"/>
    <col min="5643" max="5643" width="12.88671875" style="576" bestFit="1" customWidth="1"/>
    <col min="5644" max="5887" width="8.88671875" style="576"/>
    <col min="5888" max="5888" width="3.6640625" style="576" bestFit="1" customWidth="1"/>
    <col min="5889" max="5889" width="8.33203125" style="576" customWidth="1"/>
    <col min="5890" max="5890" width="46.109375" style="576" customWidth="1"/>
    <col min="5891" max="5891" width="11" style="576" customWidth="1"/>
    <col min="5892" max="5892" width="12.5546875" style="576" customWidth="1"/>
    <col min="5893" max="5893" width="10.88671875" style="576" customWidth="1"/>
    <col min="5894" max="5894" width="16.109375" style="576" customWidth="1"/>
    <col min="5895" max="5895" width="0" style="576" hidden="1" customWidth="1"/>
    <col min="5896" max="5896" width="15.44140625" style="576" customWidth="1"/>
    <col min="5897" max="5897" width="12.88671875" style="576" bestFit="1" customWidth="1"/>
    <col min="5898" max="5898" width="8.88671875" style="576"/>
    <col min="5899" max="5899" width="12.88671875" style="576" bestFit="1" customWidth="1"/>
    <col min="5900" max="6143" width="8.88671875" style="576"/>
    <col min="6144" max="6144" width="3.6640625" style="576" bestFit="1" customWidth="1"/>
    <col min="6145" max="6145" width="8.33203125" style="576" customWidth="1"/>
    <col min="6146" max="6146" width="46.109375" style="576" customWidth="1"/>
    <col min="6147" max="6147" width="11" style="576" customWidth="1"/>
    <col min="6148" max="6148" width="12.5546875" style="576" customWidth="1"/>
    <col min="6149" max="6149" width="10.88671875" style="576" customWidth="1"/>
    <col min="6150" max="6150" width="16.109375" style="576" customWidth="1"/>
    <col min="6151" max="6151" width="0" style="576" hidden="1" customWidth="1"/>
    <col min="6152" max="6152" width="15.44140625" style="576" customWidth="1"/>
    <col min="6153" max="6153" width="12.88671875" style="576" bestFit="1" customWidth="1"/>
    <col min="6154" max="6154" width="8.88671875" style="576"/>
    <col min="6155" max="6155" width="12.88671875" style="576" bestFit="1" customWidth="1"/>
    <col min="6156" max="6399" width="8.88671875" style="576"/>
    <col min="6400" max="6400" width="3.6640625" style="576" bestFit="1" customWidth="1"/>
    <col min="6401" max="6401" width="8.33203125" style="576" customWidth="1"/>
    <col min="6402" max="6402" width="46.109375" style="576" customWidth="1"/>
    <col min="6403" max="6403" width="11" style="576" customWidth="1"/>
    <col min="6404" max="6404" width="12.5546875" style="576" customWidth="1"/>
    <col min="6405" max="6405" width="10.88671875" style="576" customWidth="1"/>
    <col min="6406" max="6406" width="16.109375" style="576" customWidth="1"/>
    <col min="6407" max="6407" width="0" style="576" hidden="1" customWidth="1"/>
    <col min="6408" max="6408" width="15.44140625" style="576" customWidth="1"/>
    <col min="6409" max="6409" width="12.88671875" style="576" bestFit="1" customWidth="1"/>
    <col min="6410" max="6410" width="8.88671875" style="576"/>
    <col min="6411" max="6411" width="12.88671875" style="576" bestFit="1" customWidth="1"/>
    <col min="6412" max="6655" width="8.88671875" style="576"/>
    <col min="6656" max="6656" width="3.6640625" style="576" bestFit="1" customWidth="1"/>
    <col min="6657" max="6657" width="8.33203125" style="576" customWidth="1"/>
    <col min="6658" max="6658" width="46.109375" style="576" customWidth="1"/>
    <col min="6659" max="6659" width="11" style="576" customWidth="1"/>
    <col min="6660" max="6660" width="12.5546875" style="576" customWidth="1"/>
    <col min="6661" max="6661" width="10.88671875" style="576" customWidth="1"/>
    <col min="6662" max="6662" width="16.109375" style="576" customWidth="1"/>
    <col min="6663" max="6663" width="0" style="576" hidden="1" customWidth="1"/>
    <col min="6664" max="6664" width="15.44140625" style="576" customWidth="1"/>
    <col min="6665" max="6665" width="12.88671875" style="576" bestFit="1" customWidth="1"/>
    <col min="6666" max="6666" width="8.88671875" style="576"/>
    <col min="6667" max="6667" width="12.88671875" style="576" bestFit="1" customWidth="1"/>
    <col min="6668" max="6911" width="8.88671875" style="576"/>
    <col min="6912" max="6912" width="3.6640625" style="576" bestFit="1" customWidth="1"/>
    <col min="6913" max="6913" width="8.33203125" style="576" customWidth="1"/>
    <col min="6914" max="6914" width="46.109375" style="576" customWidth="1"/>
    <col min="6915" max="6915" width="11" style="576" customWidth="1"/>
    <col min="6916" max="6916" width="12.5546875" style="576" customWidth="1"/>
    <col min="6917" max="6917" width="10.88671875" style="576" customWidth="1"/>
    <col min="6918" max="6918" width="16.109375" style="576" customWidth="1"/>
    <col min="6919" max="6919" width="0" style="576" hidden="1" customWidth="1"/>
    <col min="6920" max="6920" width="15.44140625" style="576" customWidth="1"/>
    <col min="6921" max="6921" width="12.88671875" style="576" bestFit="1" customWidth="1"/>
    <col min="6922" max="6922" width="8.88671875" style="576"/>
    <col min="6923" max="6923" width="12.88671875" style="576" bestFit="1" customWidth="1"/>
    <col min="6924" max="7167" width="8.88671875" style="576"/>
    <col min="7168" max="7168" width="3.6640625" style="576" bestFit="1" customWidth="1"/>
    <col min="7169" max="7169" width="8.33203125" style="576" customWidth="1"/>
    <col min="7170" max="7170" width="46.109375" style="576" customWidth="1"/>
    <col min="7171" max="7171" width="11" style="576" customWidth="1"/>
    <col min="7172" max="7172" width="12.5546875" style="576" customWidth="1"/>
    <col min="7173" max="7173" width="10.88671875" style="576" customWidth="1"/>
    <col min="7174" max="7174" width="16.109375" style="576" customWidth="1"/>
    <col min="7175" max="7175" width="0" style="576" hidden="1" customWidth="1"/>
    <col min="7176" max="7176" width="15.44140625" style="576" customWidth="1"/>
    <col min="7177" max="7177" width="12.88671875" style="576" bestFit="1" customWidth="1"/>
    <col min="7178" max="7178" width="8.88671875" style="576"/>
    <col min="7179" max="7179" width="12.88671875" style="576" bestFit="1" customWidth="1"/>
    <col min="7180" max="7423" width="8.88671875" style="576"/>
    <col min="7424" max="7424" width="3.6640625" style="576" bestFit="1" customWidth="1"/>
    <col min="7425" max="7425" width="8.33203125" style="576" customWidth="1"/>
    <col min="7426" max="7426" width="46.109375" style="576" customWidth="1"/>
    <col min="7427" max="7427" width="11" style="576" customWidth="1"/>
    <col min="7428" max="7428" width="12.5546875" style="576" customWidth="1"/>
    <col min="7429" max="7429" width="10.88671875" style="576" customWidth="1"/>
    <col min="7430" max="7430" width="16.109375" style="576" customWidth="1"/>
    <col min="7431" max="7431" width="0" style="576" hidden="1" customWidth="1"/>
    <col min="7432" max="7432" width="15.44140625" style="576" customWidth="1"/>
    <col min="7433" max="7433" width="12.88671875" style="576" bestFit="1" customWidth="1"/>
    <col min="7434" max="7434" width="8.88671875" style="576"/>
    <col min="7435" max="7435" width="12.88671875" style="576" bestFit="1" customWidth="1"/>
    <col min="7436" max="7679" width="8.88671875" style="576"/>
    <col min="7680" max="7680" width="3.6640625" style="576" bestFit="1" customWidth="1"/>
    <col min="7681" max="7681" width="8.33203125" style="576" customWidth="1"/>
    <col min="7682" max="7682" width="46.109375" style="576" customWidth="1"/>
    <col min="7683" max="7683" width="11" style="576" customWidth="1"/>
    <col min="7684" max="7684" width="12.5546875" style="576" customWidth="1"/>
    <col min="7685" max="7685" width="10.88671875" style="576" customWidth="1"/>
    <col min="7686" max="7686" width="16.109375" style="576" customWidth="1"/>
    <col min="7687" max="7687" width="0" style="576" hidden="1" customWidth="1"/>
    <col min="7688" max="7688" width="15.44140625" style="576" customWidth="1"/>
    <col min="7689" max="7689" width="12.88671875" style="576" bestFit="1" customWidth="1"/>
    <col min="7690" max="7690" width="8.88671875" style="576"/>
    <col min="7691" max="7691" width="12.88671875" style="576" bestFit="1" customWidth="1"/>
    <col min="7692" max="7935" width="8.88671875" style="576"/>
    <col min="7936" max="7936" width="3.6640625" style="576" bestFit="1" customWidth="1"/>
    <col min="7937" max="7937" width="8.33203125" style="576" customWidth="1"/>
    <col min="7938" max="7938" width="46.109375" style="576" customWidth="1"/>
    <col min="7939" max="7939" width="11" style="576" customWidth="1"/>
    <col min="7940" max="7940" width="12.5546875" style="576" customWidth="1"/>
    <col min="7941" max="7941" width="10.88671875" style="576" customWidth="1"/>
    <col min="7942" max="7942" width="16.109375" style="576" customWidth="1"/>
    <col min="7943" max="7943" width="0" style="576" hidden="1" customWidth="1"/>
    <col min="7944" max="7944" width="15.44140625" style="576" customWidth="1"/>
    <col min="7945" max="7945" width="12.88671875" style="576" bestFit="1" customWidth="1"/>
    <col min="7946" max="7946" width="8.88671875" style="576"/>
    <col min="7947" max="7947" width="12.88671875" style="576" bestFit="1" customWidth="1"/>
    <col min="7948" max="8191" width="8.88671875" style="576"/>
    <col min="8192" max="8192" width="3.6640625" style="576" bestFit="1" customWidth="1"/>
    <col min="8193" max="8193" width="8.33203125" style="576" customWidth="1"/>
    <col min="8194" max="8194" width="46.109375" style="576" customWidth="1"/>
    <col min="8195" max="8195" width="11" style="576" customWidth="1"/>
    <col min="8196" max="8196" width="12.5546875" style="576" customWidth="1"/>
    <col min="8197" max="8197" width="10.88671875" style="576" customWidth="1"/>
    <col min="8198" max="8198" width="16.109375" style="576" customWidth="1"/>
    <col min="8199" max="8199" width="0" style="576" hidden="1" customWidth="1"/>
    <col min="8200" max="8200" width="15.44140625" style="576" customWidth="1"/>
    <col min="8201" max="8201" width="12.88671875" style="576" bestFit="1" customWidth="1"/>
    <col min="8202" max="8202" width="8.88671875" style="576"/>
    <col min="8203" max="8203" width="12.88671875" style="576" bestFit="1" customWidth="1"/>
    <col min="8204" max="8447" width="8.88671875" style="576"/>
    <col min="8448" max="8448" width="3.6640625" style="576" bestFit="1" customWidth="1"/>
    <col min="8449" max="8449" width="8.33203125" style="576" customWidth="1"/>
    <col min="8450" max="8450" width="46.109375" style="576" customWidth="1"/>
    <col min="8451" max="8451" width="11" style="576" customWidth="1"/>
    <col min="8452" max="8452" width="12.5546875" style="576" customWidth="1"/>
    <col min="8453" max="8453" width="10.88671875" style="576" customWidth="1"/>
    <col min="8454" max="8454" width="16.109375" style="576" customWidth="1"/>
    <col min="8455" max="8455" width="0" style="576" hidden="1" customWidth="1"/>
    <col min="8456" max="8456" width="15.44140625" style="576" customWidth="1"/>
    <col min="8457" max="8457" width="12.88671875" style="576" bestFit="1" customWidth="1"/>
    <col min="8458" max="8458" width="8.88671875" style="576"/>
    <col min="8459" max="8459" width="12.88671875" style="576" bestFit="1" customWidth="1"/>
    <col min="8460" max="8703" width="8.88671875" style="576"/>
    <col min="8704" max="8704" width="3.6640625" style="576" bestFit="1" customWidth="1"/>
    <col min="8705" max="8705" width="8.33203125" style="576" customWidth="1"/>
    <col min="8706" max="8706" width="46.109375" style="576" customWidth="1"/>
    <col min="8707" max="8707" width="11" style="576" customWidth="1"/>
    <col min="8708" max="8708" width="12.5546875" style="576" customWidth="1"/>
    <col min="8709" max="8709" width="10.88671875" style="576" customWidth="1"/>
    <col min="8710" max="8710" width="16.109375" style="576" customWidth="1"/>
    <col min="8711" max="8711" width="0" style="576" hidden="1" customWidth="1"/>
    <col min="8712" max="8712" width="15.44140625" style="576" customWidth="1"/>
    <col min="8713" max="8713" width="12.88671875" style="576" bestFit="1" customWidth="1"/>
    <col min="8714" max="8714" width="8.88671875" style="576"/>
    <col min="8715" max="8715" width="12.88671875" style="576" bestFit="1" customWidth="1"/>
    <col min="8716" max="8959" width="8.88671875" style="576"/>
    <col min="8960" max="8960" width="3.6640625" style="576" bestFit="1" customWidth="1"/>
    <col min="8961" max="8961" width="8.33203125" style="576" customWidth="1"/>
    <col min="8962" max="8962" width="46.109375" style="576" customWidth="1"/>
    <col min="8963" max="8963" width="11" style="576" customWidth="1"/>
    <col min="8964" max="8964" width="12.5546875" style="576" customWidth="1"/>
    <col min="8965" max="8965" width="10.88671875" style="576" customWidth="1"/>
    <col min="8966" max="8966" width="16.109375" style="576" customWidth="1"/>
    <col min="8967" max="8967" width="0" style="576" hidden="1" customWidth="1"/>
    <col min="8968" max="8968" width="15.44140625" style="576" customWidth="1"/>
    <col min="8969" max="8969" width="12.88671875" style="576" bestFit="1" customWidth="1"/>
    <col min="8970" max="8970" width="8.88671875" style="576"/>
    <col min="8971" max="8971" width="12.88671875" style="576" bestFit="1" customWidth="1"/>
    <col min="8972" max="9215" width="8.88671875" style="576"/>
    <col min="9216" max="9216" width="3.6640625" style="576" bestFit="1" customWidth="1"/>
    <col min="9217" max="9217" width="8.33203125" style="576" customWidth="1"/>
    <col min="9218" max="9218" width="46.109375" style="576" customWidth="1"/>
    <col min="9219" max="9219" width="11" style="576" customWidth="1"/>
    <col min="9220" max="9220" width="12.5546875" style="576" customWidth="1"/>
    <col min="9221" max="9221" width="10.88671875" style="576" customWidth="1"/>
    <col min="9222" max="9222" width="16.109375" style="576" customWidth="1"/>
    <col min="9223" max="9223" width="0" style="576" hidden="1" customWidth="1"/>
    <col min="9224" max="9224" width="15.44140625" style="576" customWidth="1"/>
    <col min="9225" max="9225" width="12.88671875" style="576" bestFit="1" customWidth="1"/>
    <col min="9226" max="9226" width="8.88671875" style="576"/>
    <col min="9227" max="9227" width="12.88671875" style="576" bestFit="1" customWidth="1"/>
    <col min="9228" max="9471" width="8.88671875" style="576"/>
    <col min="9472" max="9472" width="3.6640625" style="576" bestFit="1" customWidth="1"/>
    <col min="9473" max="9473" width="8.33203125" style="576" customWidth="1"/>
    <col min="9474" max="9474" width="46.109375" style="576" customWidth="1"/>
    <col min="9475" max="9475" width="11" style="576" customWidth="1"/>
    <col min="9476" max="9476" width="12.5546875" style="576" customWidth="1"/>
    <col min="9477" max="9477" width="10.88671875" style="576" customWidth="1"/>
    <col min="9478" max="9478" width="16.109375" style="576" customWidth="1"/>
    <col min="9479" max="9479" width="0" style="576" hidden="1" customWidth="1"/>
    <col min="9480" max="9480" width="15.44140625" style="576" customWidth="1"/>
    <col min="9481" max="9481" width="12.88671875" style="576" bestFit="1" customWidth="1"/>
    <col min="9482" max="9482" width="8.88671875" style="576"/>
    <col min="9483" max="9483" width="12.88671875" style="576" bestFit="1" customWidth="1"/>
    <col min="9484" max="9727" width="8.88671875" style="576"/>
    <col min="9728" max="9728" width="3.6640625" style="576" bestFit="1" customWidth="1"/>
    <col min="9729" max="9729" width="8.33203125" style="576" customWidth="1"/>
    <col min="9730" max="9730" width="46.109375" style="576" customWidth="1"/>
    <col min="9731" max="9731" width="11" style="576" customWidth="1"/>
    <col min="9732" max="9732" width="12.5546875" style="576" customWidth="1"/>
    <col min="9733" max="9733" width="10.88671875" style="576" customWidth="1"/>
    <col min="9734" max="9734" width="16.109375" style="576" customWidth="1"/>
    <col min="9735" max="9735" width="0" style="576" hidden="1" customWidth="1"/>
    <col min="9736" max="9736" width="15.44140625" style="576" customWidth="1"/>
    <col min="9737" max="9737" width="12.88671875" style="576" bestFit="1" customWidth="1"/>
    <col min="9738" max="9738" width="8.88671875" style="576"/>
    <col min="9739" max="9739" width="12.88671875" style="576" bestFit="1" customWidth="1"/>
    <col min="9740" max="9983" width="8.88671875" style="576"/>
    <col min="9984" max="9984" width="3.6640625" style="576" bestFit="1" customWidth="1"/>
    <col min="9985" max="9985" width="8.33203125" style="576" customWidth="1"/>
    <col min="9986" max="9986" width="46.109375" style="576" customWidth="1"/>
    <col min="9987" max="9987" width="11" style="576" customWidth="1"/>
    <col min="9988" max="9988" width="12.5546875" style="576" customWidth="1"/>
    <col min="9989" max="9989" width="10.88671875" style="576" customWidth="1"/>
    <col min="9990" max="9990" width="16.109375" style="576" customWidth="1"/>
    <col min="9991" max="9991" width="0" style="576" hidden="1" customWidth="1"/>
    <col min="9992" max="9992" width="15.44140625" style="576" customWidth="1"/>
    <col min="9993" max="9993" width="12.88671875" style="576" bestFit="1" customWidth="1"/>
    <col min="9994" max="9994" width="8.88671875" style="576"/>
    <col min="9995" max="9995" width="12.88671875" style="576" bestFit="1" customWidth="1"/>
    <col min="9996" max="10239" width="8.88671875" style="576"/>
    <col min="10240" max="10240" width="3.6640625" style="576" bestFit="1" customWidth="1"/>
    <col min="10241" max="10241" width="8.33203125" style="576" customWidth="1"/>
    <col min="10242" max="10242" width="46.109375" style="576" customWidth="1"/>
    <col min="10243" max="10243" width="11" style="576" customWidth="1"/>
    <col min="10244" max="10244" width="12.5546875" style="576" customWidth="1"/>
    <col min="10245" max="10245" width="10.88671875" style="576" customWidth="1"/>
    <col min="10246" max="10246" width="16.109375" style="576" customWidth="1"/>
    <col min="10247" max="10247" width="0" style="576" hidden="1" customWidth="1"/>
    <col min="10248" max="10248" width="15.44140625" style="576" customWidth="1"/>
    <col min="10249" max="10249" width="12.88671875" style="576" bestFit="1" customWidth="1"/>
    <col min="10250" max="10250" width="8.88671875" style="576"/>
    <col min="10251" max="10251" width="12.88671875" style="576" bestFit="1" customWidth="1"/>
    <col min="10252" max="10495" width="8.88671875" style="576"/>
    <col min="10496" max="10496" width="3.6640625" style="576" bestFit="1" customWidth="1"/>
    <col min="10497" max="10497" width="8.33203125" style="576" customWidth="1"/>
    <col min="10498" max="10498" width="46.109375" style="576" customWidth="1"/>
    <col min="10499" max="10499" width="11" style="576" customWidth="1"/>
    <col min="10500" max="10500" width="12.5546875" style="576" customWidth="1"/>
    <col min="10501" max="10501" width="10.88671875" style="576" customWidth="1"/>
    <col min="10502" max="10502" width="16.109375" style="576" customWidth="1"/>
    <col min="10503" max="10503" width="0" style="576" hidden="1" customWidth="1"/>
    <col min="10504" max="10504" width="15.44140625" style="576" customWidth="1"/>
    <col min="10505" max="10505" width="12.88671875" style="576" bestFit="1" customWidth="1"/>
    <col min="10506" max="10506" width="8.88671875" style="576"/>
    <col min="10507" max="10507" width="12.88671875" style="576" bestFit="1" customWidth="1"/>
    <col min="10508" max="10751" width="8.88671875" style="576"/>
    <col min="10752" max="10752" width="3.6640625" style="576" bestFit="1" customWidth="1"/>
    <col min="10753" max="10753" width="8.33203125" style="576" customWidth="1"/>
    <col min="10754" max="10754" width="46.109375" style="576" customWidth="1"/>
    <col min="10755" max="10755" width="11" style="576" customWidth="1"/>
    <col min="10756" max="10756" width="12.5546875" style="576" customWidth="1"/>
    <col min="10757" max="10757" width="10.88671875" style="576" customWidth="1"/>
    <col min="10758" max="10758" width="16.109375" style="576" customWidth="1"/>
    <col min="10759" max="10759" width="0" style="576" hidden="1" customWidth="1"/>
    <col min="10760" max="10760" width="15.44140625" style="576" customWidth="1"/>
    <col min="10761" max="10761" width="12.88671875" style="576" bestFit="1" customWidth="1"/>
    <col min="10762" max="10762" width="8.88671875" style="576"/>
    <col min="10763" max="10763" width="12.88671875" style="576" bestFit="1" customWidth="1"/>
    <col min="10764" max="11007" width="8.88671875" style="576"/>
    <col min="11008" max="11008" width="3.6640625" style="576" bestFit="1" customWidth="1"/>
    <col min="11009" max="11009" width="8.33203125" style="576" customWidth="1"/>
    <col min="11010" max="11010" width="46.109375" style="576" customWidth="1"/>
    <col min="11011" max="11011" width="11" style="576" customWidth="1"/>
    <col min="11012" max="11012" width="12.5546875" style="576" customWidth="1"/>
    <col min="11013" max="11013" width="10.88671875" style="576" customWidth="1"/>
    <col min="11014" max="11014" width="16.109375" style="576" customWidth="1"/>
    <col min="11015" max="11015" width="0" style="576" hidden="1" customWidth="1"/>
    <col min="11016" max="11016" width="15.44140625" style="576" customWidth="1"/>
    <col min="11017" max="11017" width="12.88671875" style="576" bestFit="1" customWidth="1"/>
    <col min="11018" max="11018" width="8.88671875" style="576"/>
    <col min="11019" max="11019" width="12.88671875" style="576" bestFit="1" customWidth="1"/>
    <col min="11020" max="11263" width="8.88671875" style="576"/>
    <col min="11264" max="11264" width="3.6640625" style="576" bestFit="1" customWidth="1"/>
    <col min="11265" max="11265" width="8.33203125" style="576" customWidth="1"/>
    <col min="11266" max="11266" width="46.109375" style="576" customWidth="1"/>
    <col min="11267" max="11267" width="11" style="576" customWidth="1"/>
    <col min="11268" max="11268" width="12.5546875" style="576" customWidth="1"/>
    <col min="11269" max="11269" width="10.88671875" style="576" customWidth="1"/>
    <col min="11270" max="11270" width="16.109375" style="576" customWidth="1"/>
    <col min="11271" max="11271" width="0" style="576" hidden="1" customWidth="1"/>
    <col min="11272" max="11272" width="15.44140625" style="576" customWidth="1"/>
    <col min="11273" max="11273" width="12.88671875" style="576" bestFit="1" customWidth="1"/>
    <col min="11274" max="11274" width="8.88671875" style="576"/>
    <col min="11275" max="11275" width="12.88671875" style="576" bestFit="1" customWidth="1"/>
    <col min="11276" max="11519" width="8.88671875" style="576"/>
    <col min="11520" max="11520" width="3.6640625" style="576" bestFit="1" customWidth="1"/>
    <col min="11521" max="11521" width="8.33203125" style="576" customWidth="1"/>
    <col min="11522" max="11522" width="46.109375" style="576" customWidth="1"/>
    <col min="11523" max="11523" width="11" style="576" customWidth="1"/>
    <col min="11524" max="11524" width="12.5546875" style="576" customWidth="1"/>
    <col min="11525" max="11525" width="10.88671875" style="576" customWidth="1"/>
    <col min="11526" max="11526" width="16.109375" style="576" customWidth="1"/>
    <col min="11527" max="11527" width="0" style="576" hidden="1" customWidth="1"/>
    <col min="11528" max="11528" width="15.44140625" style="576" customWidth="1"/>
    <col min="11529" max="11529" width="12.88671875" style="576" bestFit="1" customWidth="1"/>
    <col min="11530" max="11530" width="8.88671875" style="576"/>
    <col min="11531" max="11531" width="12.88671875" style="576" bestFit="1" customWidth="1"/>
    <col min="11532" max="11775" width="8.88671875" style="576"/>
    <col min="11776" max="11776" width="3.6640625" style="576" bestFit="1" customWidth="1"/>
    <col min="11777" max="11777" width="8.33203125" style="576" customWidth="1"/>
    <col min="11778" max="11778" width="46.109375" style="576" customWidth="1"/>
    <col min="11779" max="11779" width="11" style="576" customWidth="1"/>
    <col min="11780" max="11780" width="12.5546875" style="576" customWidth="1"/>
    <col min="11781" max="11781" width="10.88671875" style="576" customWidth="1"/>
    <col min="11782" max="11782" width="16.109375" style="576" customWidth="1"/>
    <col min="11783" max="11783" width="0" style="576" hidden="1" customWidth="1"/>
    <col min="11784" max="11784" width="15.44140625" style="576" customWidth="1"/>
    <col min="11785" max="11785" width="12.88671875" style="576" bestFit="1" customWidth="1"/>
    <col min="11786" max="11786" width="8.88671875" style="576"/>
    <col min="11787" max="11787" width="12.88671875" style="576" bestFit="1" customWidth="1"/>
    <col min="11788" max="12031" width="8.88671875" style="576"/>
    <col min="12032" max="12032" width="3.6640625" style="576" bestFit="1" customWidth="1"/>
    <col min="12033" max="12033" width="8.33203125" style="576" customWidth="1"/>
    <col min="12034" max="12034" width="46.109375" style="576" customWidth="1"/>
    <col min="12035" max="12035" width="11" style="576" customWidth="1"/>
    <col min="12036" max="12036" width="12.5546875" style="576" customWidth="1"/>
    <col min="12037" max="12037" width="10.88671875" style="576" customWidth="1"/>
    <col min="12038" max="12038" width="16.109375" style="576" customWidth="1"/>
    <col min="12039" max="12039" width="0" style="576" hidden="1" customWidth="1"/>
    <col min="12040" max="12040" width="15.44140625" style="576" customWidth="1"/>
    <col min="12041" max="12041" width="12.88671875" style="576" bestFit="1" customWidth="1"/>
    <col min="12042" max="12042" width="8.88671875" style="576"/>
    <col min="12043" max="12043" width="12.88671875" style="576" bestFit="1" customWidth="1"/>
    <col min="12044" max="12287" width="8.88671875" style="576"/>
    <col min="12288" max="12288" width="3.6640625" style="576" bestFit="1" customWidth="1"/>
    <col min="12289" max="12289" width="8.33203125" style="576" customWidth="1"/>
    <col min="12290" max="12290" width="46.109375" style="576" customWidth="1"/>
    <col min="12291" max="12291" width="11" style="576" customWidth="1"/>
    <col min="12292" max="12292" width="12.5546875" style="576" customWidth="1"/>
    <col min="12293" max="12293" width="10.88671875" style="576" customWidth="1"/>
    <col min="12294" max="12294" width="16.109375" style="576" customWidth="1"/>
    <col min="12295" max="12295" width="0" style="576" hidden="1" customWidth="1"/>
    <col min="12296" max="12296" width="15.44140625" style="576" customWidth="1"/>
    <col min="12297" max="12297" width="12.88671875" style="576" bestFit="1" customWidth="1"/>
    <col min="12298" max="12298" width="8.88671875" style="576"/>
    <col min="12299" max="12299" width="12.88671875" style="576" bestFit="1" customWidth="1"/>
    <col min="12300" max="12543" width="8.88671875" style="576"/>
    <col min="12544" max="12544" width="3.6640625" style="576" bestFit="1" customWidth="1"/>
    <col min="12545" max="12545" width="8.33203125" style="576" customWidth="1"/>
    <col min="12546" max="12546" width="46.109375" style="576" customWidth="1"/>
    <col min="12547" max="12547" width="11" style="576" customWidth="1"/>
    <col min="12548" max="12548" width="12.5546875" style="576" customWidth="1"/>
    <col min="12549" max="12549" width="10.88671875" style="576" customWidth="1"/>
    <col min="12550" max="12550" width="16.109375" style="576" customWidth="1"/>
    <col min="12551" max="12551" width="0" style="576" hidden="1" customWidth="1"/>
    <col min="12552" max="12552" width="15.44140625" style="576" customWidth="1"/>
    <col min="12553" max="12553" width="12.88671875" style="576" bestFit="1" customWidth="1"/>
    <col min="12554" max="12554" width="8.88671875" style="576"/>
    <col min="12555" max="12555" width="12.88671875" style="576" bestFit="1" customWidth="1"/>
    <col min="12556" max="12799" width="8.88671875" style="576"/>
    <col min="12800" max="12800" width="3.6640625" style="576" bestFit="1" customWidth="1"/>
    <col min="12801" max="12801" width="8.33203125" style="576" customWidth="1"/>
    <col min="12802" max="12802" width="46.109375" style="576" customWidth="1"/>
    <col min="12803" max="12803" width="11" style="576" customWidth="1"/>
    <col min="12804" max="12804" width="12.5546875" style="576" customWidth="1"/>
    <col min="12805" max="12805" width="10.88671875" style="576" customWidth="1"/>
    <col min="12806" max="12806" width="16.109375" style="576" customWidth="1"/>
    <col min="12807" max="12807" width="0" style="576" hidden="1" customWidth="1"/>
    <col min="12808" max="12808" width="15.44140625" style="576" customWidth="1"/>
    <col min="12809" max="12809" width="12.88671875" style="576" bestFit="1" customWidth="1"/>
    <col min="12810" max="12810" width="8.88671875" style="576"/>
    <col min="12811" max="12811" width="12.88671875" style="576" bestFit="1" customWidth="1"/>
    <col min="12812" max="13055" width="8.88671875" style="576"/>
    <col min="13056" max="13056" width="3.6640625" style="576" bestFit="1" customWidth="1"/>
    <col min="13057" max="13057" width="8.33203125" style="576" customWidth="1"/>
    <col min="13058" max="13058" width="46.109375" style="576" customWidth="1"/>
    <col min="13059" max="13059" width="11" style="576" customWidth="1"/>
    <col min="13060" max="13060" width="12.5546875" style="576" customWidth="1"/>
    <col min="13061" max="13061" width="10.88671875" style="576" customWidth="1"/>
    <col min="13062" max="13062" width="16.109375" style="576" customWidth="1"/>
    <col min="13063" max="13063" width="0" style="576" hidden="1" customWidth="1"/>
    <col min="13064" max="13064" width="15.44140625" style="576" customWidth="1"/>
    <col min="13065" max="13065" width="12.88671875" style="576" bestFit="1" customWidth="1"/>
    <col min="13066" max="13066" width="8.88671875" style="576"/>
    <col min="13067" max="13067" width="12.88671875" style="576" bestFit="1" customWidth="1"/>
    <col min="13068" max="13311" width="8.88671875" style="576"/>
    <col min="13312" max="13312" width="3.6640625" style="576" bestFit="1" customWidth="1"/>
    <col min="13313" max="13313" width="8.33203125" style="576" customWidth="1"/>
    <col min="13314" max="13314" width="46.109375" style="576" customWidth="1"/>
    <col min="13315" max="13315" width="11" style="576" customWidth="1"/>
    <col min="13316" max="13316" width="12.5546875" style="576" customWidth="1"/>
    <col min="13317" max="13317" width="10.88671875" style="576" customWidth="1"/>
    <col min="13318" max="13318" width="16.109375" style="576" customWidth="1"/>
    <col min="13319" max="13319" width="0" style="576" hidden="1" customWidth="1"/>
    <col min="13320" max="13320" width="15.44140625" style="576" customWidth="1"/>
    <col min="13321" max="13321" width="12.88671875" style="576" bestFit="1" customWidth="1"/>
    <col min="13322" max="13322" width="8.88671875" style="576"/>
    <col min="13323" max="13323" width="12.88671875" style="576" bestFit="1" customWidth="1"/>
    <col min="13324" max="13567" width="8.88671875" style="576"/>
    <col min="13568" max="13568" width="3.6640625" style="576" bestFit="1" customWidth="1"/>
    <col min="13569" max="13569" width="8.33203125" style="576" customWidth="1"/>
    <col min="13570" max="13570" width="46.109375" style="576" customWidth="1"/>
    <col min="13571" max="13571" width="11" style="576" customWidth="1"/>
    <col min="13572" max="13572" width="12.5546875" style="576" customWidth="1"/>
    <col min="13573" max="13573" width="10.88671875" style="576" customWidth="1"/>
    <col min="13574" max="13574" width="16.109375" style="576" customWidth="1"/>
    <col min="13575" max="13575" width="0" style="576" hidden="1" customWidth="1"/>
    <col min="13576" max="13576" width="15.44140625" style="576" customWidth="1"/>
    <col min="13577" max="13577" width="12.88671875" style="576" bestFit="1" customWidth="1"/>
    <col min="13578" max="13578" width="8.88671875" style="576"/>
    <col min="13579" max="13579" width="12.88671875" style="576" bestFit="1" customWidth="1"/>
    <col min="13580" max="13823" width="8.88671875" style="576"/>
    <col min="13824" max="13824" width="3.6640625" style="576" bestFit="1" customWidth="1"/>
    <col min="13825" max="13825" width="8.33203125" style="576" customWidth="1"/>
    <col min="13826" max="13826" width="46.109375" style="576" customWidth="1"/>
    <col min="13827" max="13827" width="11" style="576" customWidth="1"/>
    <col min="13828" max="13828" width="12.5546875" style="576" customWidth="1"/>
    <col min="13829" max="13829" width="10.88671875" style="576" customWidth="1"/>
    <col min="13830" max="13830" width="16.109375" style="576" customWidth="1"/>
    <col min="13831" max="13831" width="0" style="576" hidden="1" customWidth="1"/>
    <col min="13832" max="13832" width="15.44140625" style="576" customWidth="1"/>
    <col min="13833" max="13833" width="12.88671875" style="576" bestFit="1" customWidth="1"/>
    <col min="13834" max="13834" width="8.88671875" style="576"/>
    <col min="13835" max="13835" width="12.88671875" style="576" bestFit="1" customWidth="1"/>
    <col min="13836" max="14079" width="8.88671875" style="576"/>
    <col min="14080" max="14080" width="3.6640625" style="576" bestFit="1" customWidth="1"/>
    <col min="14081" max="14081" width="8.33203125" style="576" customWidth="1"/>
    <col min="14082" max="14082" width="46.109375" style="576" customWidth="1"/>
    <col min="14083" max="14083" width="11" style="576" customWidth="1"/>
    <col min="14084" max="14084" width="12.5546875" style="576" customWidth="1"/>
    <col min="14085" max="14085" width="10.88671875" style="576" customWidth="1"/>
    <col min="14086" max="14086" width="16.109375" style="576" customWidth="1"/>
    <col min="14087" max="14087" width="0" style="576" hidden="1" customWidth="1"/>
    <col min="14088" max="14088" width="15.44140625" style="576" customWidth="1"/>
    <col min="14089" max="14089" width="12.88671875" style="576" bestFit="1" customWidth="1"/>
    <col min="14090" max="14090" width="8.88671875" style="576"/>
    <col min="14091" max="14091" width="12.88671875" style="576" bestFit="1" customWidth="1"/>
    <col min="14092" max="14335" width="8.88671875" style="576"/>
    <col min="14336" max="14336" width="3.6640625" style="576" bestFit="1" customWidth="1"/>
    <col min="14337" max="14337" width="8.33203125" style="576" customWidth="1"/>
    <col min="14338" max="14338" width="46.109375" style="576" customWidth="1"/>
    <col min="14339" max="14339" width="11" style="576" customWidth="1"/>
    <col min="14340" max="14340" width="12.5546875" style="576" customWidth="1"/>
    <col min="14341" max="14341" width="10.88671875" style="576" customWidth="1"/>
    <col min="14342" max="14342" width="16.109375" style="576" customWidth="1"/>
    <col min="14343" max="14343" width="0" style="576" hidden="1" customWidth="1"/>
    <col min="14344" max="14344" width="15.44140625" style="576" customWidth="1"/>
    <col min="14345" max="14345" width="12.88671875" style="576" bestFit="1" customWidth="1"/>
    <col min="14346" max="14346" width="8.88671875" style="576"/>
    <col min="14347" max="14347" width="12.88671875" style="576" bestFit="1" customWidth="1"/>
    <col min="14348" max="14591" width="8.88671875" style="576"/>
    <col min="14592" max="14592" width="3.6640625" style="576" bestFit="1" customWidth="1"/>
    <col min="14593" max="14593" width="8.33203125" style="576" customWidth="1"/>
    <col min="14594" max="14594" width="46.109375" style="576" customWidth="1"/>
    <col min="14595" max="14595" width="11" style="576" customWidth="1"/>
    <col min="14596" max="14596" width="12.5546875" style="576" customWidth="1"/>
    <col min="14597" max="14597" width="10.88671875" style="576" customWidth="1"/>
    <col min="14598" max="14598" width="16.109375" style="576" customWidth="1"/>
    <col min="14599" max="14599" width="0" style="576" hidden="1" customWidth="1"/>
    <col min="14600" max="14600" width="15.44140625" style="576" customWidth="1"/>
    <col min="14601" max="14601" width="12.88671875" style="576" bestFit="1" customWidth="1"/>
    <col min="14602" max="14602" width="8.88671875" style="576"/>
    <col min="14603" max="14603" width="12.88671875" style="576" bestFit="1" customWidth="1"/>
    <col min="14604" max="14847" width="8.88671875" style="576"/>
    <col min="14848" max="14848" width="3.6640625" style="576" bestFit="1" customWidth="1"/>
    <col min="14849" max="14849" width="8.33203125" style="576" customWidth="1"/>
    <col min="14850" max="14850" width="46.109375" style="576" customWidth="1"/>
    <col min="14851" max="14851" width="11" style="576" customWidth="1"/>
    <col min="14852" max="14852" width="12.5546875" style="576" customWidth="1"/>
    <col min="14853" max="14853" width="10.88671875" style="576" customWidth="1"/>
    <col min="14854" max="14854" width="16.109375" style="576" customWidth="1"/>
    <col min="14855" max="14855" width="0" style="576" hidden="1" customWidth="1"/>
    <col min="14856" max="14856" width="15.44140625" style="576" customWidth="1"/>
    <col min="14857" max="14857" width="12.88671875" style="576" bestFit="1" customWidth="1"/>
    <col min="14858" max="14858" width="8.88671875" style="576"/>
    <col min="14859" max="14859" width="12.88671875" style="576" bestFit="1" customWidth="1"/>
    <col min="14860" max="15103" width="8.88671875" style="576"/>
    <col min="15104" max="15104" width="3.6640625" style="576" bestFit="1" customWidth="1"/>
    <col min="15105" max="15105" width="8.33203125" style="576" customWidth="1"/>
    <col min="15106" max="15106" width="46.109375" style="576" customWidth="1"/>
    <col min="15107" max="15107" width="11" style="576" customWidth="1"/>
    <col min="15108" max="15108" width="12.5546875" style="576" customWidth="1"/>
    <col min="15109" max="15109" width="10.88671875" style="576" customWidth="1"/>
    <col min="15110" max="15110" width="16.109375" style="576" customWidth="1"/>
    <col min="15111" max="15111" width="0" style="576" hidden="1" customWidth="1"/>
    <col min="15112" max="15112" width="15.44140625" style="576" customWidth="1"/>
    <col min="15113" max="15113" width="12.88671875" style="576" bestFit="1" customWidth="1"/>
    <col min="15114" max="15114" width="8.88671875" style="576"/>
    <col min="15115" max="15115" width="12.88671875" style="576" bestFit="1" customWidth="1"/>
    <col min="15116" max="15359" width="8.88671875" style="576"/>
    <col min="15360" max="15360" width="3.6640625" style="576" bestFit="1" customWidth="1"/>
    <col min="15361" max="15361" width="8.33203125" style="576" customWidth="1"/>
    <col min="15362" max="15362" width="46.109375" style="576" customWidth="1"/>
    <col min="15363" max="15363" width="11" style="576" customWidth="1"/>
    <col min="15364" max="15364" width="12.5546875" style="576" customWidth="1"/>
    <col min="15365" max="15365" width="10.88671875" style="576" customWidth="1"/>
    <col min="15366" max="15366" width="16.109375" style="576" customWidth="1"/>
    <col min="15367" max="15367" width="0" style="576" hidden="1" customWidth="1"/>
    <col min="15368" max="15368" width="15.44140625" style="576" customWidth="1"/>
    <col min="15369" max="15369" width="12.88671875" style="576" bestFit="1" customWidth="1"/>
    <col min="15370" max="15370" width="8.88671875" style="576"/>
    <col min="15371" max="15371" width="12.88671875" style="576" bestFit="1" customWidth="1"/>
    <col min="15372" max="15615" width="8.88671875" style="576"/>
    <col min="15616" max="15616" width="3.6640625" style="576" bestFit="1" customWidth="1"/>
    <col min="15617" max="15617" width="8.33203125" style="576" customWidth="1"/>
    <col min="15618" max="15618" width="46.109375" style="576" customWidth="1"/>
    <col min="15619" max="15619" width="11" style="576" customWidth="1"/>
    <col min="15620" max="15620" width="12.5546875" style="576" customWidth="1"/>
    <col min="15621" max="15621" width="10.88671875" style="576" customWidth="1"/>
    <col min="15622" max="15622" width="16.109375" style="576" customWidth="1"/>
    <col min="15623" max="15623" width="0" style="576" hidden="1" customWidth="1"/>
    <col min="15624" max="15624" width="15.44140625" style="576" customWidth="1"/>
    <col min="15625" max="15625" width="12.88671875" style="576" bestFit="1" customWidth="1"/>
    <col min="15626" max="15626" width="8.88671875" style="576"/>
    <col min="15627" max="15627" width="12.88671875" style="576" bestFit="1" customWidth="1"/>
    <col min="15628" max="15871" width="8.88671875" style="576"/>
    <col min="15872" max="15872" width="3.6640625" style="576" bestFit="1" customWidth="1"/>
    <col min="15873" max="15873" width="8.33203125" style="576" customWidth="1"/>
    <col min="15874" max="15874" width="46.109375" style="576" customWidth="1"/>
    <col min="15875" max="15875" width="11" style="576" customWidth="1"/>
    <col min="15876" max="15876" width="12.5546875" style="576" customWidth="1"/>
    <col min="15877" max="15877" width="10.88671875" style="576" customWidth="1"/>
    <col min="15878" max="15878" width="16.109375" style="576" customWidth="1"/>
    <col min="15879" max="15879" width="0" style="576" hidden="1" customWidth="1"/>
    <col min="15880" max="15880" width="15.44140625" style="576" customWidth="1"/>
    <col min="15881" max="15881" width="12.88671875" style="576" bestFit="1" customWidth="1"/>
    <col min="15882" max="15882" width="8.88671875" style="576"/>
    <col min="15883" max="15883" width="12.88671875" style="576" bestFit="1" customWidth="1"/>
    <col min="15884" max="16127" width="8.88671875" style="576"/>
    <col min="16128" max="16128" width="3.6640625" style="576" bestFit="1" customWidth="1"/>
    <col min="16129" max="16129" width="8.33203125" style="576" customWidth="1"/>
    <col min="16130" max="16130" width="46.109375" style="576" customWidth="1"/>
    <col min="16131" max="16131" width="11" style="576" customWidth="1"/>
    <col min="16132" max="16132" width="12.5546875" style="576" customWidth="1"/>
    <col min="16133" max="16133" width="10.88671875" style="576" customWidth="1"/>
    <col min="16134" max="16134" width="16.109375" style="576" customWidth="1"/>
    <col min="16135" max="16135" width="0" style="576" hidden="1" customWidth="1"/>
    <col min="16136" max="16136" width="15.44140625" style="576" customWidth="1"/>
    <col min="16137" max="16137" width="12.88671875" style="576" bestFit="1" customWidth="1"/>
    <col min="16138" max="16138" width="8.88671875" style="576"/>
    <col min="16139" max="16139" width="12.88671875" style="576" bestFit="1" customWidth="1"/>
    <col min="16140" max="16384" width="8.88671875" style="576"/>
  </cols>
  <sheetData>
    <row r="1" spans="1:10" s="27" customFormat="1" ht="96.6" customHeight="1" thickBot="1">
      <c r="A1" s="984" t="s">
        <v>1144</v>
      </c>
      <c r="B1" s="985"/>
      <c r="C1" s="985"/>
      <c r="D1" s="986" t="str">
        <f>'Bill No 8.1.1'!D1:G1</f>
        <v>BILL NO. 8.1  - REDUCTION OF LANDSLIDE VULNERABILITY BY MITIGATION MEASURES 
 PUNCHIMIRISKANDA- LOCATION 01 (SITE NO. 83 LOCATION 1)</v>
      </c>
      <c r="E1" s="986"/>
      <c r="F1" s="986"/>
      <c r="G1" s="987"/>
    </row>
    <row r="2" spans="1:10" s="582" customFormat="1" ht="15" customHeight="1">
      <c r="A2" s="988" t="s">
        <v>11</v>
      </c>
      <c r="B2" s="989" t="s">
        <v>12</v>
      </c>
      <c r="C2" s="886" t="s">
        <v>8</v>
      </c>
      <c r="D2" s="886" t="s">
        <v>13</v>
      </c>
      <c r="E2" s="994" t="s">
        <v>14</v>
      </c>
      <c r="F2" s="992" t="s">
        <v>15</v>
      </c>
      <c r="G2" s="993" t="s">
        <v>16</v>
      </c>
      <c r="I2" s="583"/>
    </row>
    <row r="3" spans="1:10" s="582" customFormat="1" ht="15" customHeight="1">
      <c r="A3" s="884"/>
      <c r="B3" s="886"/>
      <c r="C3" s="887"/>
      <c r="D3" s="887"/>
      <c r="E3" s="995"/>
      <c r="F3" s="888"/>
      <c r="G3" s="889"/>
      <c r="I3" s="584"/>
    </row>
    <row r="4" spans="1:10" s="582" customFormat="1" ht="24.9" customHeight="1">
      <c r="A4" s="434" t="s">
        <v>1145</v>
      </c>
      <c r="B4" s="723"/>
      <c r="C4" s="435" t="s">
        <v>1146</v>
      </c>
      <c r="D4" s="723"/>
      <c r="E4" s="695"/>
      <c r="F4" s="585"/>
      <c r="G4" s="792"/>
      <c r="H4" s="586"/>
      <c r="I4" s="584"/>
    </row>
    <row r="5" spans="1:10" s="588" customFormat="1" ht="35.1" customHeight="1">
      <c r="A5" s="222" t="s">
        <v>1147</v>
      </c>
      <c r="B5" s="350" t="s">
        <v>1148</v>
      </c>
      <c r="C5" s="353" t="s">
        <v>223</v>
      </c>
      <c r="D5" s="46" t="s">
        <v>28</v>
      </c>
      <c r="E5" s="238">
        <v>400</v>
      </c>
      <c r="F5" s="439"/>
      <c r="G5" s="793"/>
      <c r="H5" s="587"/>
      <c r="I5" s="584">
        <f>'QTY 83.1'!J33</f>
        <v>393.022311</v>
      </c>
    </row>
    <row r="6" spans="1:10" s="588" customFormat="1" ht="35.1" customHeight="1">
      <c r="A6" s="222" t="s">
        <v>1149</v>
      </c>
      <c r="B6" s="52" t="s">
        <v>224</v>
      </c>
      <c r="C6" s="353" t="s">
        <v>225</v>
      </c>
      <c r="D6" s="46" t="s">
        <v>28</v>
      </c>
      <c r="E6" s="238">
        <v>50</v>
      </c>
      <c r="F6" s="439"/>
      <c r="G6" s="793"/>
      <c r="H6" s="587">
        <f t="shared" ref="H6:H7" si="0">F6*0.897728</f>
        <v>0</v>
      </c>
      <c r="I6" s="584"/>
    </row>
    <row r="7" spans="1:10" s="588" customFormat="1" ht="35.1" customHeight="1">
      <c r="A7" s="222" t="s">
        <v>1150</v>
      </c>
      <c r="B7" s="52" t="s">
        <v>226</v>
      </c>
      <c r="C7" s="353" t="s">
        <v>1151</v>
      </c>
      <c r="D7" s="46" t="s">
        <v>28</v>
      </c>
      <c r="E7" s="238">
        <v>50</v>
      </c>
      <c r="F7" s="439"/>
      <c r="G7" s="793"/>
      <c r="H7" s="587">
        <f t="shared" si="0"/>
        <v>0</v>
      </c>
      <c r="I7" s="584"/>
    </row>
    <row r="8" spans="1:10" s="588" customFormat="1" ht="24.9" customHeight="1">
      <c r="A8" s="222" t="s">
        <v>1152</v>
      </c>
      <c r="B8" s="52" t="s">
        <v>228</v>
      </c>
      <c r="C8" s="589" t="s">
        <v>35</v>
      </c>
      <c r="D8" s="46" t="s">
        <v>28</v>
      </c>
      <c r="E8" s="238">
        <v>350</v>
      </c>
      <c r="F8" s="439"/>
      <c r="G8" s="793"/>
      <c r="H8" s="587"/>
      <c r="I8" s="584" t="e">
        <f>E5-#REF!</f>
        <v>#REF!</v>
      </c>
    </row>
    <row r="9" spans="1:10" s="588" customFormat="1" ht="24.9" customHeight="1">
      <c r="A9" s="794" t="s">
        <v>1153</v>
      </c>
      <c r="B9" s="46"/>
      <c r="C9" s="591" t="s">
        <v>29</v>
      </c>
      <c r="D9" s="46"/>
      <c r="E9" s="539"/>
      <c r="F9" s="57"/>
      <c r="G9" s="367"/>
      <c r="I9" s="584"/>
    </row>
    <row r="10" spans="1:10" s="588" customFormat="1" ht="35.1" customHeight="1">
      <c r="A10" s="736" t="s">
        <v>1154</v>
      </c>
      <c r="B10" s="46" t="s">
        <v>30</v>
      </c>
      <c r="C10" s="589" t="s">
        <v>1155</v>
      </c>
      <c r="D10" s="46" t="s">
        <v>28</v>
      </c>
      <c r="E10" s="539">
        <v>180</v>
      </c>
      <c r="F10" s="57"/>
      <c r="G10" s="367"/>
      <c r="I10" s="584">
        <f>'Drains 83.1'!H109+'Drains 83.1'!H112+'Drains 83.1'!H113+'Drains 83.1'!H165</f>
        <v>178.90660000000003</v>
      </c>
    </row>
    <row r="11" spans="1:10" s="588" customFormat="1" ht="35.1" customHeight="1">
      <c r="A11" s="736" t="s">
        <v>1156</v>
      </c>
      <c r="B11" s="46" t="s">
        <v>1157</v>
      </c>
      <c r="C11" s="589" t="s">
        <v>1158</v>
      </c>
      <c r="D11" s="46" t="s">
        <v>28</v>
      </c>
      <c r="E11" s="539">
        <v>1032</v>
      </c>
      <c r="F11" s="57"/>
      <c r="G11" s="367"/>
      <c r="I11" s="584">
        <f>'QTY 83.1'!J44</f>
        <v>1031.83872</v>
      </c>
    </row>
    <row r="12" spans="1:10" s="588" customFormat="1" ht="35.1" customHeight="1">
      <c r="A12" s="736" t="s">
        <v>1159</v>
      </c>
      <c r="B12" s="46" t="s">
        <v>224</v>
      </c>
      <c r="C12" s="353" t="s">
        <v>225</v>
      </c>
      <c r="D12" s="46" t="s">
        <v>28</v>
      </c>
      <c r="E12" s="238">
        <v>50</v>
      </c>
      <c r="F12" s="439"/>
      <c r="G12" s="367"/>
      <c r="I12" s="584"/>
    </row>
    <row r="13" spans="1:10" s="588" customFormat="1" ht="35.1" customHeight="1">
      <c r="A13" s="736" t="s">
        <v>1160</v>
      </c>
      <c r="B13" s="46" t="s">
        <v>226</v>
      </c>
      <c r="C13" s="353" t="s">
        <v>1151</v>
      </c>
      <c r="D13" s="46" t="s">
        <v>28</v>
      </c>
      <c r="E13" s="238">
        <v>50</v>
      </c>
      <c r="F13" s="439"/>
      <c r="G13" s="367"/>
      <c r="I13" s="584"/>
    </row>
    <row r="14" spans="1:10" s="27" customFormat="1" ht="30.75" customHeight="1">
      <c r="A14" s="736" t="s">
        <v>1161</v>
      </c>
      <c r="B14" s="52" t="s">
        <v>418</v>
      </c>
      <c r="C14" s="795" t="s">
        <v>1162</v>
      </c>
      <c r="D14" s="52" t="s">
        <v>28</v>
      </c>
      <c r="E14" s="539">
        <v>465</v>
      </c>
      <c r="F14" s="57"/>
      <c r="G14" s="367"/>
      <c r="I14" s="569">
        <f>'QTY 83.1'!J53</f>
        <v>461.37773000000004</v>
      </c>
      <c r="J14" s="592"/>
    </row>
    <row r="15" spans="1:10" s="588" customFormat="1" ht="30.75" customHeight="1">
      <c r="A15" s="736" t="s">
        <v>1163</v>
      </c>
      <c r="B15" s="52" t="s">
        <v>34</v>
      </c>
      <c r="C15" s="795" t="s">
        <v>1164</v>
      </c>
      <c r="D15" s="52" t="s">
        <v>28</v>
      </c>
      <c r="E15" s="539">
        <v>750</v>
      </c>
      <c r="F15" s="57"/>
      <c r="G15" s="367"/>
      <c r="I15" s="584">
        <f>(I10+I11)-I14</f>
        <v>749.36758999999995</v>
      </c>
    </row>
    <row r="16" spans="1:10" s="595" customFormat="1" ht="49.5" customHeight="1" thickBot="1">
      <c r="A16" s="570"/>
      <c r="B16" s="981" t="s">
        <v>1165</v>
      </c>
      <c r="C16" s="982"/>
      <c r="D16" s="982"/>
      <c r="E16" s="982"/>
      <c r="F16" s="983"/>
      <c r="G16" s="571"/>
      <c r="H16" s="593"/>
      <c r="I16" s="594"/>
    </row>
    <row r="17" spans="1:7" ht="13.2">
      <c r="A17" s="574"/>
      <c r="B17" s="574"/>
      <c r="C17" s="565"/>
      <c r="D17" s="574"/>
      <c r="E17" s="701"/>
      <c r="F17" s="575"/>
      <c r="G17" s="575"/>
    </row>
    <row r="18" spans="1:7" ht="13.2">
      <c r="A18" s="577"/>
      <c r="B18" s="574"/>
      <c r="C18" s="565"/>
      <c r="D18" s="574"/>
      <c r="E18" s="701"/>
      <c r="F18" s="575"/>
      <c r="G18" s="575"/>
    </row>
    <row r="19" spans="1:7" ht="13.2">
      <c r="A19" s="574"/>
      <c r="B19" s="574"/>
      <c r="C19" s="565"/>
      <c r="D19" s="574"/>
      <c r="E19" s="701"/>
      <c r="F19" s="575"/>
      <c r="G19" s="575"/>
    </row>
    <row r="20" spans="1:7">
      <c r="A20" s="578"/>
      <c r="B20" s="574"/>
      <c r="C20" s="565"/>
      <c r="D20" s="574"/>
      <c r="E20" s="701"/>
      <c r="F20" s="575"/>
      <c r="G20" s="575"/>
    </row>
    <row r="21" spans="1:7">
      <c r="A21" s="579"/>
      <c r="B21" s="574"/>
      <c r="C21" s="565"/>
      <c r="D21" s="574"/>
      <c r="E21" s="701"/>
      <c r="F21" s="575"/>
      <c r="G21" s="575"/>
    </row>
    <row r="22" spans="1:7">
      <c r="A22" s="578"/>
      <c r="B22" s="574"/>
      <c r="C22" s="565"/>
      <c r="D22" s="574"/>
      <c r="E22" s="701"/>
      <c r="F22" s="575"/>
      <c r="G22" s="575"/>
    </row>
    <row r="23" spans="1:7">
      <c r="B23" s="574"/>
      <c r="C23" s="565"/>
      <c r="D23" s="574"/>
      <c r="E23" s="701"/>
      <c r="F23" s="575"/>
      <c r="G23" s="575"/>
    </row>
    <row r="24" spans="1:7">
      <c r="B24" s="574"/>
      <c r="C24" s="565"/>
      <c r="D24" s="574"/>
      <c r="E24" s="701"/>
      <c r="F24" s="575"/>
      <c r="G24" s="575"/>
    </row>
    <row r="25" spans="1:7">
      <c r="B25" s="574"/>
      <c r="C25" s="565"/>
      <c r="D25" s="574"/>
      <c r="E25" s="701"/>
      <c r="F25" s="575"/>
      <c r="G25" s="575"/>
    </row>
    <row r="26" spans="1:7">
      <c r="B26" s="574"/>
      <c r="C26" s="565"/>
      <c r="D26" s="574"/>
      <c r="E26" s="701"/>
      <c r="F26" s="575"/>
      <c r="G26" s="575"/>
    </row>
    <row r="27" spans="1:7">
      <c r="B27" s="574"/>
      <c r="C27" s="565"/>
      <c r="D27" s="574"/>
      <c r="E27" s="701"/>
      <c r="F27" s="575"/>
      <c r="G27" s="575"/>
    </row>
    <row r="28" spans="1:7">
      <c r="B28" s="574"/>
      <c r="C28" s="565"/>
      <c r="D28" s="574"/>
      <c r="E28" s="701"/>
      <c r="F28" s="575"/>
      <c r="G28" s="575"/>
    </row>
    <row r="29" spans="1:7">
      <c r="B29" s="574"/>
      <c r="C29" s="565"/>
      <c r="D29" s="574"/>
      <c r="E29" s="701"/>
      <c r="F29" s="575"/>
      <c r="G29" s="575"/>
    </row>
    <row r="30" spans="1:7">
      <c r="B30" s="574"/>
      <c r="C30" s="565"/>
      <c r="D30" s="574"/>
      <c r="E30" s="701"/>
      <c r="F30" s="575"/>
      <c r="G30" s="575"/>
    </row>
    <row r="31" spans="1:7">
      <c r="B31" s="574"/>
      <c r="C31" s="565"/>
      <c r="D31" s="574"/>
      <c r="E31" s="701"/>
      <c r="F31" s="575"/>
      <c r="G31" s="575"/>
    </row>
    <row r="32" spans="1:7">
      <c r="B32" s="574"/>
      <c r="C32" s="565"/>
      <c r="D32" s="574"/>
      <c r="E32" s="701"/>
      <c r="F32" s="575"/>
      <c r="G32" s="575"/>
    </row>
    <row r="33" spans="2:7">
      <c r="B33" s="574"/>
      <c r="C33" s="565"/>
      <c r="D33" s="574"/>
      <c r="E33" s="701"/>
      <c r="F33" s="575"/>
      <c r="G33" s="575"/>
    </row>
  </sheetData>
  <mergeCells count="10">
    <mergeCell ref="B16:F16"/>
    <mergeCell ref="A1:C1"/>
    <mergeCell ref="D1:G1"/>
    <mergeCell ref="A2:A3"/>
    <mergeCell ref="B2:B3"/>
    <mergeCell ref="C2:C3"/>
    <mergeCell ref="D2:D3"/>
    <mergeCell ref="E2:E3"/>
    <mergeCell ref="F2:F3"/>
    <mergeCell ref="G2:G3"/>
  </mergeCells>
  <printOptions horizontalCentered="1"/>
  <pageMargins left="0.75" right="0.4" top="0.75" bottom="0.5" header="0" footer="0"/>
  <pageSetup paperSize="9" scale="70" fitToHeight="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9D3C1-9773-426C-81DD-B532B63490CA}">
  <sheetPr>
    <tabColor rgb="FF00B0F0"/>
  </sheetPr>
  <dimension ref="A1:U25"/>
  <sheetViews>
    <sheetView view="pageBreakPreview" zoomScale="91" zoomScaleNormal="100" zoomScaleSheetLayoutView="91" workbookViewId="0">
      <pane ySplit="3" topLeftCell="A16" activePane="bottomLeft" state="frozen"/>
      <selection activeCell="E36" sqref="E36"/>
      <selection pane="bottomLeft" activeCell="I1" sqref="I1:I1048576"/>
    </sheetView>
  </sheetViews>
  <sheetFormatPr defaultColWidth="8.88671875" defaultRowHeight="13.8"/>
  <cols>
    <col min="1" max="1" width="8.6640625" style="596" customWidth="1"/>
    <col min="2" max="2" width="10.6640625" style="580" customWidth="1"/>
    <col min="3" max="3" width="50.6640625" style="576" customWidth="1"/>
    <col min="4" max="4" width="7.6640625" style="580" customWidth="1"/>
    <col min="5" max="5" width="8.6640625" style="704" customWidth="1"/>
    <col min="6" max="6" width="14.5546875" style="581" customWidth="1"/>
    <col min="7" max="7" width="19" style="581" customWidth="1"/>
    <col min="8" max="8" width="12.109375" style="576" hidden="1" customWidth="1"/>
    <col min="9" max="9" width="12.88671875" style="612" hidden="1" customWidth="1"/>
    <col min="10" max="10" width="11.88671875" style="613" customWidth="1"/>
    <col min="11" max="11" width="8.88671875" style="576"/>
    <col min="12" max="12" width="9.109375" style="576" bestFit="1" customWidth="1"/>
    <col min="13" max="255" width="8.88671875" style="576"/>
    <col min="256" max="256" width="3.6640625" style="576" bestFit="1" customWidth="1"/>
    <col min="257" max="257" width="8.33203125" style="576" customWidth="1"/>
    <col min="258" max="258" width="46.109375" style="576" customWidth="1"/>
    <col min="259" max="259" width="11" style="576" customWidth="1"/>
    <col min="260" max="260" width="12.5546875" style="576" customWidth="1"/>
    <col min="261" max="261" width="10.88671875" style="576" customWidth="1"/>
    <col min="262" max="262" width="16.109375" style="576" customWidth="1"/>
    <col min="263" max="263" width="0" style="576" hidden="1" customWidth="1"/>
    <col min="264" max="264" width="15.44140625" style="576" customWidth="1"/>
    <col min="265" max="265" width="12.88671875" style="576" bestFit="1" customWidth="1"/>
    <col min="266" max="266" width="8.88671875" style="576"/>
    <col min="267" max="267" width="12.88671875" style="576" bestFit="1" customWidth="1"/>
    <col min="268" max="511" width="8.88671875" style="576"/>
    <col min="512" max="512" width="3.6640625" style="576" bestFit="1" customWidth="1"/>
    <col min="513" max="513" width="8.33203125" style="576" customWidth="1"/>
    <col min="514" max="514" width="46.109375" style="576" customWidth="1"/>
    <col min="515" max="515" width="11" style="576" customWidth="1"/>
    <col min="516" max="516" width="12.5546875" style="576" customWidth="1"/>
    <col min="517" max="517" width="10.88671875" style="576" customWidth="1"/>
    <col min="518" max="518" width="16.109375" style="576" customWidth="1"/>
    <col min="519" max="519" width="0" style="576" hidden="1" customWidth="1"/>
    <col min="520" max="520" width="15.44140625" style="576" customWidth="1"/>
    <col min="521" max="521" width="12.88671875" style="576" bestFit="1" customWidth="1"/>
    <col min="522" max="522" width="8.88671875" style="576"/>
    <col min="523" max="523" width="12.88671875" style="576" bestFit="1" customWidth="1"/>
    <col min="524" max="767" width="8.88671875" style="576"/>
    <col min="768" max="768" width="3.6640625" style="576" bestFit="1" customWidth="1"/>
    <col min="769" max="769" width="8.33203125" style="576" customWidth="1"/>
    <col min="770" max="770" width="46.109375" style="576" customWidth="1"/>
    <col min="771" max="771" width="11" style="576" customWidth="1"/>
    <col min="772" max="772" width="12.5546875" style="576" customWidth="1"/>
    <col min="773" max="773" width="10.88671875" style="576" customWidth="1"/>
    <col min="774" max="774" width="16.109375" style="576" customWidth="1"/>
    <col min="775" max="775" width="0" style="576" hidden="1" customWidth="1"/>
    <col min="776" max="776" width="15.44140625" style="576" customWidth="1"/>
    <col min="777" max="777" width="12.88671875" style="576" bestFit="1" customWidth="1"/>
    <col min="778" max="778" width="8.88671875" style="576"/>
    <col min="779" max="779" width="12.88671875" style="576" bestFit="1" customWidth="1"/>
    <col min="780" max="1023" width="8.88671875" style="576"/>
    <col min="1024" max="1024" width="3.6640625" style="576" bestFit="1" customWidth="1"/>
    <col min="1025" max="1025" width="8.33203125" style="576" customWidth="1"/>
    <col min="1026" max="1026" width="46.109375" style="576" customWidth="1"/>
    <col min="1027" max="1027" width="11" style="576" customWidth="1"/>
    <col min="1028" max="1028" width="12.5546875" style="576" customWidth="1"/>
    <col min="1029" max="1029" width="10.88671875" style="576" customWidth="1"/>
    <col min="1030" max="1030" width="16.109375" style="576" customWidth="1"/>
    <col min="1031" max="1031" width="0" style="576" hidden="1" customWidth="1"/>
    <col min="1032" max="1032" width="15.44140625" style="576" customWidth="1"/>
    <col min="1033" max="1033" width="12.88671875" style="576" bestFit="1" customWidth="1"/>
    <col min="1034" max="1034" width="8.88671875" style="576"/>
    <col min="1035" max="1035" width="12.88671875" style="576" bestFit="1" customWidth="1"/>
    <col min="1036" max="1279" width="8.88671875" style="576"/>
    <col min="1280" max="1280" width="3.6640625" style="576" bestFit="1" customWidth="1"/>
    <col min="1281" max="1281" width="8.33203125" style="576" customWidth="1"/>
    <col min="1282" max="1282" width="46.109375" style="576" customWidth="1"/>
    <col min="1283" max="1283" width="11" style="576" customWidth="1"/>
    <col min="1284" max="1284" width="12.5546875" style="576" customWidth="1"/>
    <col min="1285" max="1285" width="10.88671875" style="576" customWidth="1"/>
    <col min="1286" max="1286" width="16.109375" style="576" customWidth="1"/>
    <col min="1287" max="1287" width="0" style="576" hidden="1" customWidth="1"/>
    <col min="1288" max="1288" width="15.44140625" style="576" customWidth="1"/>
    <col min="1289" max="1289" width="12.88671875" style="576" bestFit="1" customWidth="1"/>
    <col min="1290" max="1290" width="8.88671875" style="576"/>
    <col min="1291" max="1291" width="12.88671875" style="576" bestFit="1" customWidth="1"/>
    <col min="1292" max="1535" width="8.88671875" style="576"/>
    <col min="1536" max="1536" width="3.6640625" style="576" bestFit="1" customWidth="1"/>
    <col min="1537" max="1537" width="8.33203125" style="576" customWidth="1"/>
    <col min="1538" max="1538" width="46.109375" style="576" customWidth="1"/>
    <col min="1539" max="1539" width="11" style="576" customWidth="1"/>
    <col min="1540" max="1540" width="12.5546875" style="576" customWidth="1"/>
    <col min="1541" max="1541" width="10.88671875" style="576" customWidth="1"/>
    <col min="1542" max="1542" width="16.109375" style="576" customWidth="1"/>
    <col min="1543" max="1543" width="0" style="576" hidden="1" customWidth="1"/>
    <col min="1544" max="1544" width="15.44140625" style="576" customWidth="1"/>
    <col min="1545" max="1545" width="12.88671875" style="576" bestFit="1" customWidth="1"/>
    <col min="1546" max="1546" width="8.88671875" style="576"/>
    <col min="1547" max="1547" width="12.88671875" style="576" bestFit="1" customWidth="1"/>
    <col min="1548" max="1791" width="8.88671875" style="576"/>
    <col min="1792" max="1792" width="3.6640625" style="576" bestFit="1" customWidth="1"/>
    <col min="1793" max="1793" width="8.33203125" style="576" customWidth="1"/>
    <col min="1794" max="1794" width="46.109375" style="576" customWidth="1"/>
    <col min="1795" max="1795" width="11" style="576" customWidth="1"/>
    <col min="1796" max="1796" width="12.5546875" style="576" customWidth="1"/>
    <col min="1797" max="1797" width="10.88671875" style="576" customWidth="1"/>
    <col min="1798" max="1798" width="16.109375" style="576" customWidth="1"/>
    <col min="1799" max="1799" width="0" style="576" hidden="1" customWidth="1"/>
    <col min="1800" max="1800" width="15.44140625" style="576" customWidth="1"/>
    <col min="1801" max="1801" width="12.88671875" style="576" bestFit="1" customWidth="1"/>
    <col min="1802" max="1802" width="8.88671875" style="576"/>
    <col min="1803" max="1803" width="12.88671875" style="576" bestFit="1" customWidth="1"/>
    <col min="1804" max="2047" width="8.88671875" style="576"/>
    <col min="2048" max="2048" width="3.6640625" style="576" bestFit="1" customWidth="1"/>
    <col min="2049" max="2049" width="8.33203125" style="576" customWidth="1"/>
    <col min="2050" max="2050" width="46.109375" style="576" customWidth="1"/>
    <col min="2051" max="2051" width="11" style="576" customWidth="1"/>
    <col min="2052" max="2052" width="12.5546875" style="576" customWidth="1"/>
    <col min="2053" max="2053" width="10.88671875" style="576" customWidth="1"/>
    <col min="2054" max="2054" width="16.109375" style="576" customWidth="1"/>
    <col min="2055" max="2055" width="0" style="576" hidden="1" customWidth="1"/>
    <col min="2056" max="2056" width="15.44140625" style="576" customWidth="1"/>
    <col min="2057" max="2057" width="12.88671875" style="576" bestFit="1" customWidth="1"/>
    <col min="2058" max="2058" width="8.88671875" style="576"/>
    <col min="2059" max="2059" width="12.88671875" style="576" bestFit="1" customWidth="1"/>
    <col min="2060" max="2303" width="8.88671875" style="576"/>
    <col min="2304" max="2304" width="3.6640625" style="576" bestFit="1" customWidth="1"/>
    <col min="2305" max="2305" width="8.33203125" style="576" customWidth="1"/>
    <col min="2306" max="2306" width="46.109375" style="576" customWidth="1"/>
    <col min="2307" max="2307" width="11" style="576" customWidth="1"/>
    <col min="2308" max="2308" width="12.5546875" style="576" customWidth="1"/>
    <col min="2309" max="2309" width="10.88671875" style="576" customWidth="1"/>
    <col min="2310" max="2310" width="16.109375" style="576" customWidth="1"/>
    <col min="2311" max="2311" width="0" style="576" hidden="1" customWidth="1"/>
    <col min="2312" max="2312" width="15.44140625" style="576" customWidth="1"/>
    <col min="2313" max="2313" width="12.88671875" style="576" bestFit="1" customWidth="1"/>
    <col min="2314" max="2314" width="8.88671875" style="576"/>
    <col min="2315" max="2315" width="12.88671875" style="576" bestFit="1" customWidth="1"/>
    <col min="2316" max="2559" width="8.88671875" style="576"/>
    <col min="2560" max="2560" width="3.6640625" style="576" bestFit="1" customWidth="1"/>
    <col min="2561" max="2561" width="8.33203125" style="576" customWidth="1"/>
    <col min="2562" max="2562" width="46.109375" style="576" customWidth="1"/>
    <col min="2563" max="2563" width="11" style="576" customWidth="1"/>
    <col min="2564" max="2564" width="12.5546875" style="576" customWidth="1"/>
    <col min="2565" max="2565" width="10.88671875" style="576" customWidth="1"/>
    <col min="2566" max="2566" width="16.109375" style="576" customWidth="1"/>
    <col min="2567" max="2567" width="0" style="576" hidden="1" customWidth="1"/>
    <col min="2568" max="2568" width="15.44140625" style="576" customWidth="1"/>
    <col min="2569" max="2569" width="12.88671875" style="576" bestFit="1" customWidth="1"/>
    <col min="2570" max="2570" width="8.88671875" style="576"/>
    <col min="2571" max="2571" width="12.88671875" style="576" bestFit="1" customWidth="1"/>
    <col min="2572" max="2815" width="8.88671875" style="576"/>
    <col min="2816" max="2816" width="3.6640625" style="576" bestFit="1" customWidth="1"/>
    <col min="2817" max="2817" width="8.33203125" style="576" customWidth="1"/>
    <col min="2818" max="2818" width="46.109375" style="576" customWidth="1"/>
    <col min="2819" max="2819" width="11" style="576" customWidth="1"/>
    <col min="2820" max="2820" width="12.5546875" style="576" customWidth="1"/>
    <col min="2821" max="2821" width="10.88671875" style="576" customWidth="1"/>
    <col min="2822" max="2822" width="16.109375" style="576" customWidth="1"/>
    <col min="2823" max="2823" width="0" style="576" hidden="1" customWidth="1"/>
    <col min="2824" max="2824" width="15.44140625" style="576" customWidth="1"/>
    <col min="2825" max="2825" width="12.88671875" style="576" bestFit="1" customWidth="1"/>
    <col min="2826" max="2826" width="8.88671875" style="576"/>
    <col min="2827" max="2827" width="12.88671875" style="576" bestFit="1" customWidth="1"/>
    <col min="2828" max="3071" width="8.88671875" style="576"/>
    <col min="3072" max="3072" width="3.6640625" style="576" bestFit="1" customWidth="1"/>
    <col min="3073" max="3073" width="8.33203125" style="576" customWidth="1"/>
    <col min="3074" max="3074" width="46.109375" style="576" customWidth="1"/>
    <col min="3075" max="3075" width="11" style="576" customWidth="1"/>
    <col min="3076" max="3076" width="12.5546875" style="576" customWidth="1"/>
    <col min="3077" max="3077" width="10.88671875" style="576" customWidth="1"/>
    <col min="3078" max="3078" width="16.109375" style="576" customWidth="1"/>
    <col min="3079" max="3079" width="0" style="576" hidden="1" customWidth="1"/>
    <col min="3080" max="3080" width="15.44140625" style="576" customWidth="1"/>
    <col min="3081" max="3081" width="12.88671875" style="576" bestFit="1" customWidth="1"/>
    <col min="3082" max="3082" width="8.88671875" style="576"/>
    <col min="3083" max="3083" width="12.88671875" style="576" bestFit="1" customWidth="1"/>
    <col min="3084" max="3327" width="8.88671875" style="576"/>
    <col min="3328" max="3328" width="3.6640625" style="576" bestFit="1" customWidth="1"/>
    <col min="3329" max="3329" width="8.33203125" style="576" customWidth="1"/>
    <col min="3330" max="3330" width="46.109375" style="576" customWidth="1"/>
    <col min="3331" max="3331" width="11" style="576" customWidth="1"/>
    <col min="3332" max="3332" width="12.5546875" style="576" customWidth="1"/>
    <col min="3333" max="3333" width="10.88671875" style="576" customWidth="1"/>
    <col min="3334" max="3334" width="16.109375" style="576" customWidth="1"/>
    <col min="3335" max="3335" width="0" style="576" hidden="1" customWidth="1"/>
    <col min="3336" max="3336" width="15.44140625" style="576" customWidth="1"/>
    <col min="3337" max="3337" width="12.88671875" style="576" bestFit="1" customWidth="1"/>
    <col min="3338" max="3338" width="8.88671875" style="576"/>
    <col min="3339" max="3339" width="12.88671875" style="576" bestFit="1" customWidth="1"/>
    <col min="3340" max="3583" width="8.88671875" style="576"/>
    <col min="3584" max="3584" width="3.6640625" style="576" bestFit="1" customWidth="1"/>
    <col min="3585" max="3585" width="8.33203125" style="576" customWidth="1"/>
    <col min="3586" max="3586" width="46.109375" style="576" customWidth="1"/>
    <col min="3587" max="3587" width="11" style="576" customWidth="1"/>
    <col min="3588" max="3588" width="12.5546875" style="576" customWidth="1"/>
    <col min="3589" max="3589" width="10.88671875" style="576" customWidth="1"/>
    <col min="3590" max="3590" width="16.109375" style="576" customWidth="1"/>
    <col min="3591" max="3591" width="0" style="576" hidden="1" customWidth="1"/>
    <col min="3592" max="3592" width="15.44140625" style="576" customWidth="1"/>
    <col min="3593" max="3593" width="12.88671875" style="576" bestFit="1" customWidth="1"/>
    <col min="3594" max="3594" width="8.88671875" style="576"/>
    <col min="3595" max="3595" width="12.88671875" style="576" bestFit="1" customWidth="1"/>
    <col min="3596" max="3839" width="8.88671875" style="576"/>
    <col min="3840" max="3840" width="3.6640625" style="576" bestFit="1" customWidth="1"/>
    <col min="3841" max="3841" width="8.33203125" style="576" customWidth="1"/>
    <col min="3842" max="3842" width="46.109375" style="576" customWidth="1"/>
    <col min="3843" max="3843" width="11" style="576" customWidth="1"/>
    <col min="3844" max="3844" width="12.5546875" style="576" customWidth="1"/>
    <col min="3845" max="3845" width="10.88671875" style="576" customWidth="1"/>
    <col min="3846" max="3846" width="16.109375" style="576" customWidth="1"/>
    <col min="3847" max="3847" width="0" style="576" hidden="1" customWidth="1"/>
    <col min="3848" max="3848" width="15.44140625" style="576" customWidth="1"/>
    <col min="3849" max="3849" width="12.88671875" style="576" bestFit="1" customWidth="1"/>
    <col min="3850" max="3850" width="8.88671875" style="576"/>
    <col min="3851" max="3851" width="12.88671875" style="576" bestFit="1" customWidth="1"/>
    <col min="3852" max="4095" width="8.88671875" style="576"/>
    <col min="4096" max="4096" width="3.6640625" style="576" bestFit="1" customWidth="1"/>
    <col min="4097" max="4097" width="8.33203125" style="576" customWidth="1"/>
    <col min="4098" max="4098" width="46.109375" style="576" customWidth="1"/>
    <col min="4099" max="4099" width="11" style="576" customWidth="1"/>
    <col min="4100" max="4100" width="12.5546875" style="576" customWidth="1"/>
    <col min="4101" max="4101" width="10.88671875" style="576" customWidth="1"/>
    <col min="4102" max="4102" width="16.109375" style="576" customWidth="1"/>
    <col min="4103" max="4103" width="0" style="576" hidden="1" customWidth="1"/>
    <col min="4104" max="4104" width="15.44140625" style="576" customWidth="1"/>
    <col min="4105" max="4105" width="12.88671875" style="576" bestFit="1" customWidth="1"/>
    <col min="4106" max="4106" width="8.88671875" style="576"/>
    <col min="4107" max="4107" width="12.88671875" style="576" bestFit="1" customWidth="1"/>
    <col min="4108" max="4351" width="8.88671875" style="576"/>
    <col min="4352" max="4352" width="3.6640625" style="576" bestFit="1" customWidth="1"/>
    <col min="4353" max="4353" width="8.33203125" style="576" customWidth="1"/>
    <col min="4354" max="4354" width="46.109375" style="576" customWidth="1"/>
    <col min="4355" max="4355" width="11" style="576" customWidth="1"/>
    <col min="4356" max="4356" width="12.5546875" style="576" customWidth="1"/>
    <col min="4357" max="4357" width="10.88671875" style="576" customWidth="1"/>
    <col min="4358" max="4358" width="16.109375" style="576" customWidth="1"/>
    <col min="4359" max="4359" width="0" style="576" hidden="1" customWidth="1"/>
    <col min="4360" max="4360" width="15.44140625" style="576" customWidth="1"/>
    <col min="4361" max="4361" width="12.88671875" style="576" bestFit="1" customWidth="1"/>
    <col min="4362" max="4362" width="8.88671875" style="576"/>
    <col min="4363" max="4363" width="12.88671875" style="576" bestFit="1" customWidth="1"/>
    <col min="4364" max="4607" width="8.88671875" style="576"/>
    <col min="4608" max="4608" width="3.6640625" style="576" bestFit="1" customWidth="1"/>
    <col min="4609" max="4609" width="8.33203125" style="576" customWidth="1"/>
    <col min="4610" max="4610" width="46.109375" style="576" customWidth="1"/>
    <col min="4611" max="4611" width="11" style="576" customWidth="1"/>
    <col min="4612" max="4612" width="12.5546875" style="576" customWidth="1"/>
    <col min="4613" max="4613" width="10.88671875" style="576" customWidth="1"/>
    <col min="4614" max="4614" width="16.109375" style="576" customWidth="1"/>
    <col min="4615" max="4615" width="0" style="576" hidden="1" customWidth="1"/>
    <col min="4616" max="4616" width="15.44140625" style="576" customWidth="1"/>
    <col min="4617" max="4617" width="12.88671875" style="576" bestFit="1" customWidth="1"/>
    <col min="4618" max="4618" width="8.88671875" style="576"/>
    <col min="4619" max="4619" width="12.88671875" style="576" bestFit="1" customWidth="1"/>
    <col min="4620" max="4863" width="8.88671875" style="576"/>
    <col min="4864" max="4864" width="3.6640625" style="576" bestFit="1" customWidth="1"/>
    <col min="4865" max="4865" width="8.33203125" style="576" customWidth="1"/>
    <col min="4866" max="4866" width="46.109375" style="576" customWidth="1"/>
    <col min="4867" max="4867" width="11" style="576" customWidth="1"/>
    <col min="4868" max="4868" width="12.5546875" style="576" customWidth="1"/>
    <col min="4869" max="4869" width="10.88671875" style="576" customWidth="1"/>
    <col min="4870" max="4870" width="16.109375" style="576" customWidth="1"/>
    <col min="4871" max="4871" width="0" style="576" hidden="1" customWidth="1"/>
    <col min="4872" max="4872" width="15.44140625" style="576" customWidth="1"/>
    <col min="4873" max="4873" width="12.88671875" style="576" bestFit="1" customWidth="1"/>
    <col min="4874" max="4874" width="8.88671875" style="576"/>
    <col min="4875" max="4875" width="12.88671875" style="576" bestFit="1" customWidth="1"/>
    <col min="4876" max="5119" width="8.88671875" style="576"/>
    <col min="5120" max="5120" width="3.6640625" style="576" bestFit="1" customWidth="1"/>
    <col min="5121" max="5121" width="8.33203125" style="576" customWidth="1"/>
    <col min="5122" max="5122" width="46.109375" style="576" customWidth="1"/>
    <col min="5123" max="5123" width="11" style="576" customWidth="1"/>
    <col min="5124" max="5124" width="12.5546875" style="576" customWidth="1"/>
    <col min="5125" max="5125" width="10.88671875" style="576" customWidth="1"/>
    <col min="5126" max="5126" width="16.109375" style="576" customWidth="1"/>
    <col min="5127" max="5127" width="0" style="576" hidden="1" customWidth="1"/>
    <col min="5128" max="5128" width="15.44140625" style="576" customWidth="1"/>
    <col min="5129" max="5129" width="12.88671875" style="576" bestFit="1" customWidth="1"/>
    <col min="5130" max="5130" width="8.88671875" style="576"/>
    <col min="5131" max="5131" width="12.88671875" style="576" bestFit="1" customWidth="1"/>
    <col min="5132" max="5375" width="8.88671875" style="576"/>
    <col min="5376" max="5376" width="3.6640625" style="576" bestFit="1" customWidth="1"/>
    <col min="5377" max="5377" width="8.33203125" style="576" customWidth="1"/>
    <col min="5378" max="5378" width="46.109375" style="576" customWidth="1"/>
    <col min="5379" max="5379" width="11" style="576" customWidth="1"/>
    <col min="5380" max="5380" width="12.5546875" style="576" customWidth="1"/>
    <col min="5381" max="5381" width="10.88671875" style="576" customWidth="1"/>
    <col min="5382" max="5382" width="16.109375" style="576" customWidth="1"/>
    <col min="5383" max="5383" width="0" style="576" hidden="1" customWidth="1"/>
    <col min="5384" max="5384" width="15.44140625" style="576" customWidth="1"/>
    <col min="5385" max="5385" width="12.88671875" style="576" bestFit="1" customWidth="1"/>
    <col min="5386" max="5386" width="8.88671875" style="576"/>
    <col min="5387" max="5387" width="12.88671875" style="576" bestFit="1" customWidth="1"/>
    <col min="5388" max="5631" width="8.88671875" style="576"/>
    <col min="5632" max="5632" width="3.6640625" style="576" bestFit="1" customWidth="1"/>
    <col min="5633" max="5633" width="8.33203125" style="576" customWidth="1"/>
    <col min="5634" max="5634" width="46.109375" style="576" customWidth="1"/>
    <col min="5635" max="5635" width="11" style="576" customWidth="1"/>
    <col min="5636" max="5636" width="12.5546875" style="576" customWidth="1"/>
    <col min="5637" max="5637" width="10.88671875" style="576" customWidth="1"/>
    <col min="5638" max="5638" width="16.109375" style="576" customWidth="1"/>
    <col min="5639" max="5639" width="0" style="576" hidden="1" customWidth="1"/>
    <col min="5640" max="5640" width="15.44140625" style="576" customWidth="1"/>
    <col min="5641" max="5641" width="12.88671875" style="576" bestFit="1" customWidth="1"/>
    <col min="5642" max="5642" width="8.88671875" style="576"/>
    <col min="5643" max="5643" width="12.88671875" style="576" bestFit="1" customWidth="1"/>
    <col min="5644" max="5887" width="8.88671875" style="576"/>
    <col min="5888" max="5888" width="3.6640625" style="576" bestFit="1" customWidth="1"/>
    <col min="5889" max="5889" width="8.33203125" style="576" customWidth="1"/>
    <col min="5890" max="5890" width="46.109375" style="576" customWidth="1"/>
    <col min="5891" max="5891" width="11" style="576" customWidth="1"/>
    <col min="5892" max="5892" width="12.5546875" style="576" customWidth="1"/>
    <col min="5893" max="5893" width="10.88671875" style="576" customWidth="1"/>
    <col min="5894" max="5894" width="16.109375" style="576" customWidth="1"/>
    <col min="5895" max="5895" width="0" style="576" hidden="1" customWidth="1"/>
    <col min="5896" max="5896" width="15.44140625" style="576" customWidth="1"/>
    <col min="5897" max="5897" width="12.88671875" style="576" bestFit="1" customWidth="1"/>
    <col min="5898" max="5898" width="8.88671875" style="576"/>
    <col min="5899" max="5899" width="12.88671875" style="576" bestFit="1" customWidth="1"/>
    <col min="5900" max="6143" width="8.88671875" style="576"/>
    <col min="6144" max="6144" width="3.6640625" style="576" bestFit="1" customWidth="1"/>
    <col min="6145" max="6145" width="8.33203125" style="576" customWidth="1"/>
    <col min="6146" max="6146" width="46.109375" style="576" customWidth="1"/>
    <col min="6147" max="6147" width="11" style="576" customWidth="1"/>
    <col min="6148" max="6148" width="12.5546875" style="576" customWidth="1"/>
    <col min="6149" max="6149" width="10.88671875" style="576" customWidth="1"/>
    <col min="6150" max="6150" width="16.109375" style="576" customWidth="1"/>
    <col min="6151" max="6151" width="0" style="576" hidden="1" customWidth="1"/>
    <col min="6152" max="6152" width="15.44140625" style="576" customWidth="1"/>
    <col min="6153" max="6153" width="12.88671875" style="576" bestFit="1" customWidth="1"/>
    <col min="6154" max="6154" width="8.88671875" style="576"/>
    <col min="6155" max="6155" width="12.88671875" style="576" bestFit="1" customWidth="1"/>
    <col min="6156" max="6399" width="8.88671875" style="576"/>
    <col min="6400" max="6400" width="3.6640625" style="576" bestFit="1" customWidth="1"/>
    <col min="6401" max="6401" width="8.33203125" style="576" customWidth="1"/>
    <col min="6402" max="6402" width="46.109375" style="576" customWidth="1"/>
    <col min="6403" max="6403" width="11" style="576" customWidth="1"/>
    <col min="6404" max="6404" width="12.5546875" style="576" customWidth="1"/>
    <col min="6405" max="6405" width="10.88671875" style="576" customWidth="1"/>
    <col min="6406" max="6406" width="16.109375" style="576" customWidth="1"/>
    <col min="6407" max="6407" width="0" style="576" hidden="1" customWidth="1"/>
    <col min="6408" max="6408" width="15.44140625" style="576" customWidth="1"/>
    <col min="6409" max="6409" width="12.88671875" style="576" bestFit="1" customWidth="1"/>
    <col min="6410" max="6410" width="8.88671875" style="576"/>
    <col min="6411" max="6411" width="12.88671875" style="576" bestFit="1" customWidth="1"/>
    <col min="6412" max="6655" width="8.88671875" style="576"/>
    <col min="6656" max="6656" width="3.6640625" style="576" bestFit="1" customWidth="1"/>
    <col min="6657" max="6657" width="8.33203125" style="576" customWidth="1"/>
    <col min="6658" max="6658" width="46.109375" style="576" customWidth="1"/>
    <col min="6659" max="6659" width="11" style="576" customWidth="1"/>
    <col min="6660" max="6660" width="12.5546875" style="576" customWidth="1"/>
    <col min="6661" max="6661" width="10.88671875" style="576" customWidth="1"/>
    <col min="6662" max="6662" width="16.109375" style="576" customWidth="1"/>
    <col min="6663" max="6663" width="0" style="576" hidden="1" customWidth="1"/>
    <col min="6664" max="6664" width="15.44140625" style="576" customWidth="1"/>
    <col min="6665" max="6665" width="12.88671875" style="576" bestFit="1" customWidth="1"/>
    <col min="6666" max="6666" width="8.88671875" style="576"/>
    <col min="6667" max="6667" width="12.88671875" style="576" bestFit="1" customWidth="1"/>
    <col min="6668" max="6911" width="8.88671875" style="576"/>
    <col min="6912" max="6912" width="3.6640625" style="576" bestFit="1" customWidth="1"/>
    <col min="6913" max="6913" width="8.33203125" style="576" customWidth="1"/>
    <col min="6914" max="6914" width="46.109375" style="576" customWidth="1"/>
    <col min="6915" max="6915" width="11" style="576" customWidth="1"/>
    <col min="6916" max="6916" width="12.5546875" style="576" customWidth="1"/>
    <col min="6917" max="6917" width="10.88671875" style="576" customWidth="1"/>
    <col min="6918" max="6918" width="16.109375" style="576" customWidth="1"/>
    <col min="6919" max="6919" width="0" style="576" hidden="1" customWidth="1"/>
    <col min="6920" max="6920" width="15.44140625" style="576" customWidth="1"/>
    <col min="6921" max="6921" width="12.88671875" style="576" bestFit="1" customWidth="1"/>
    <col min="6922" max="6922" width="8.88671875" style="576"/>
    <col min="6923" max="6923" width="12.88671875" style="576" bestFit="1" customWidth="1"/>
    <col min="6924" max="7167" width="8.88671875" style="576"/>
    <col min="7168" max="7168" width="3.6640625" style="576" bestFit="1" customWidth="1"/>
    <col min="7169" max="7169" width="8.33203125" style="576" customWidth="1"/>
    <col min="7170" max="7170" width="46.109375" style="576" customWidth="1"/>
    <col min="7171" max="7171" width="11" style="576" customWidth="1"/>
    <col min="7172" max="7172" width="12.5546875" style="576" customWidth="1"/>
    <col min="7173" max="7173" width="10.88671875" style="576" customWidth="1"/>
    <col min="7174" max="7174" width="16.109375" style="576" customWidth="1"/>
    <col min="7175" max="7175" width="0" style="576" hidden="1" customWidth="1"/>
    <col min="7176" max="7176" width="15.44140625" style="576" customWidth="1"/>
    <col min="7177" max="7177" width="12.88671875" style="576" bestFit="1" customWidth="1"/>
    <col min="7178" max="7178" width="8.88671875" style="576"/>
    <col min="7179" max="7179" width="12.88671875" style="576" bestFit="1" customWidth="1"/>
    <col min="7180" max="7423" width="8.88671875" style="576"/>
    <col min="7424" max="7424" width="3.6640625" style="576" bestFit="1" customWidth="1"/>
    <col min="7425" max="7425" width="8.33203125" style="576" customWidth="1"/>
    <col min="7426" max="7426" width="46.109375" style="576" customWidth="1"/>
    <col min="7427" max="7427" width="11" style="576" customWidth="1"/>
    <col min="7428" max="7428" width="12.5546875" style="576" customWidth="1"/>
    <col min="7429" max="7429" width="10.88671875" style="576" customWidth="1"/>
    <col min="7430" max="7430" width="16.109375" style="576" customWidth="1"/>
    <col min="7431" max="7431" width="0" style="576" hidden="1" customWidth="1"/>
    <col min="7432" max="7432" width="15.44140625" style="576" customWidth="1"/>
    <col min="7433" max="7433" width="12.88671875" style="576" bestFit="1" customWidth="1"/>
    <col min="7434" max="7434" width="8.88671875" style="576"/>
    <col min="7435" max="7435" width="12.88671875" style="576" bestFit="1" customWidth="1"/>
    <col min="7436" max="7679" width="8.88671875" style="576"/>
    <col min="7680" max="7680" width="3.6640625" style="576" bestFit="1" customWidth="1"/>
    <col min="7681" max="7681" width="8.33203125" style="576" customWidth="1"/>
    <col min="7682" max="7682" width="46.109375" style="576" customWidth="1"/>
    <col min="7683" max="7683" width="11" style="576" customWidth="1"/>
    <col min="7684" max="7684" width="12.5546875" style="576" customWidth="1"/>
    <col min="7685" max="7685" width="10.88671875" style="576" customWidth="1"/>
    <col min="7686" max="7686" width="16.109375" style="576" customWidth="1"/>
    <col min="7687" max="7687" width="0" style="576" hidden="1" customWidth="1"/>
    <col min="7688" max="7688" width="15.44140625" style="576" customWidth="1"/>
    <col min="7689" max="7689" width="12.88671875" style="576" bestFit="1" customWidth="1"/>
    <col min="7690" max="7690" width="8.88671875" style="576"/>
    <col min="7691" max="7691" width="12.88671875" style="576" bestFit="1" customWidth="1"/>
    <col min="7692" max="7935" width="8.88671875" style="576"/>
    <col min="7936" max="7936" width="3.6640625" style="576" bestFit="1" customWidth="1"/>
    <col min="7937" max="7937" width="8.33203125" style="576" customWidth="1"/>
    <col min="7938" max="7938" width="46.109375" style="576" customWidth="1"/>
    <col min="7939" max="7939" width="11" style="576" customWidth="1"/>
    <col min="7940" max="7940" width="12.5546875" style="576" customWidth="1"/>
    <col min="7941" max="7941" width="10.88671875" style="576" customWidth="1"/>
    <col min="7942" max="7942" width="16.109375" style="576" customWidth="1"/>
    <col min="7943" max="7943" width="0" style="576" hidden="1" customWidth="1"/>
    <col min="7944" max="7944" width="15.44140625" style="576" customWidth="1"/>
    <col min="7945" max="7945" width="12.88671875" style="576" bestFit="1" customWidth="1"/>
    <col min="7946" max="7946" width="8.88671875" style="576"/>
    <col min="7947" max="7947" width="12.88671875" style="576" bestFit="1" customWidth="1"/>
    <col min="7948" max="8191" width="8.88671875" style="576"/>
    <col min="8192" max="8192" width="3.6640625" style="576" bestFit="1" customWidth="1"/>
    <col min="8193" max="8193" width="8.33203125" style="576" customWidth="1"/>
    <col min="8194" max="8194" width="46.109375" style="576" customWidth="1"/>
    <col min="8195" max="8195" width="11" style="576" customWidth="1"/>
    <col min="8196" max="8196" width="12.5546875" style="576" customWidth="1"/>
    <col min="8197" max="8197" width="10.88671875" style="576" customWidth="1"/>
    <col min="8198" max="8198" width="16.109375" style="576" customWidth="1"/>
    <col min="8199" max="8199" width="0" style="576" hidden="1" customWidth="1"/>
    <col min="8200" max="8200" width="15.44140625" style="576" customWidth="1"/>
    <col min="8201" max="8201" width="12.88671875" style="576" bestFit="1" customWidth="1"/>
    <col min="8202" max="8202" width="8.88671875" style="576"/>
    <col min="8203" max="8203" width="12.88671875" style="576" bestFit="1" customWidth="1"/>
    <col min="8204" max="8447" width="8.88671875" style="576"/>
    <col min="8448" max="8448" width="3.6640625" style="576" bestFit="1" customWidth="1"/>
    <col min="8449" max="8449" width="8.33203125" style="576" customWidth="1"/>
    <col min="8450" max="8450" width="46.109375" style="576" customWidth="1"/>
    <col min="8451" max="8451" width="11" style="576" customWidth="1"/>
    <col min="8452" max="8452" width="12.5546875" style="576" customWidth="1"/>
    <col min="8453" max="8453" width="10.88671875" style="576" customWidth="1"/>
    <col min="8454" max="8454" width="16.109375" style="576" customWidth="1"/>
    <col min="8455" max="8455" width="0" style="576" hidden="1" customWidth="1"/>
    <col min="8456" max="8456" width="15.44140625" style="576" customWidth="1"/>
    <col min="8457" max="8457" width="12.88671875" style="576" bestFit="1" customWidth="1"/>
    <col min="8458" max="8458" width="8.88671875" style="576"/>
    <col min="8459" max="8459" width="12.88671875" style="576" bestFit="1" customWidth="1"/>
    <col min="8460" max="8703" width="8.88671875" style="576"/>
    <col min="8704" max="8704" width="3.6640625" style="576" bestFit="1" customWidth="1"/>
    <col min="8705" max="8705" width="8.33203125" style="576" customWidth="1"/>
    <col min="8706" max="8706" width="46.109375" style="576" customWidth="1"/>
    <col min="8707" max="8707" width="11" style="576" customWidth="1"/>
    <col min="8708" max="8708" width="12.5546875" style="576" customWidth="1"/>
    <col min="8709" max="8709" width="10.88671875" style="576" customWidth="1"/>
    <col min="8710" max="8710" width="16.109375" style="576" customWidth="1"/>
    <col min="8711" max="8711" width="0" style="576" hidden="1" customWidth="1"/>
    <col min="8712" max="8712" width="15.44140625" style="576" customWidth="1"/>
    <col min="8713" max="8713" width="12.88671875" style="576" bestFit="1" customWidth="1"/>
    <col min="8714" max="8714" width="8.88671875" style="576"/>
    <col min="8715" max="8715" width="12.88671875" style="576" bestFit="1" customWidth="1"/>
    <col min="8716" max="8959" width="8.88671875" style="576"/>
    <col min="8960" max="8960" width="3.6640625" style="576" bestFit="1" customWidth="1"/>
    <col min="8961" max="8961" width="8.33203125" style="576" customWidth="1"/>
    <col min="8962" max="8962" width="46.109375" style="576" customWidth="1"/>
    <col min="8963" max="8963" width="11" style="576" customWidth="1"/>
    <col min="8964" max="8964" width="12.5546875" style="576" customWidth="1"/>
    <col min="8965" max="8965" width="10.88671875" style="576" customWidth="1"/>
    <col min="8966" max="8966" width="16.109375" style="576" customWidth="1"/>
    <col min="8967" max="8967" width="0" style="576" hidden="1" customWidth="1"/>
    <col min="8968" max="8968" width="15.44140625" style="576" customWidth="1"/>
    <col min="8969" max="8969" width="12.88671875" style="576" bestFit="1" customWidth="1"/>
    <col min="8970" max="8970" width="8.88671875" style="576"/>
    <col min="8971" max="8971" width="12.88671875" style="576" bestFit="1" customWidth="1"/>
    <col min="8972" max="9215" width="8.88671875" style="576"/>
    <col min="9216" max="9216" width="3.6640625" style="576" bestFit="1" customWidth="1"/>
    <col min="9217" max="9217" width="8.33203125" style="576" customWidth="1"/>
    <col min="9218" max="9218" width="46.109375" style="576" customWidth="1"/>
    <col min="9219" max="9219" width="11" style="576" customWidth="1"/>
    <col min="9220" max="9220" width="12.5546875" style="576" customWidth="1"/>
    <col min="9221" max="9221" width="10.88671875" style="576" customWidth="1"/>
    <col min="9222" max="9222" width="16.109375" style="576" customWidth="1"/>
    <col min="9223" max="9223" width="0" style="576" hidden="1" customWidth="1"/>
    <col min="9224" max="9224" width="15.44140625" style="576" customWidth="1"/>
    <col min="9225" max="9225" width="12.88671875" style="576" bestFit="1" customWidth="1"/>
    <col min="9226" max="9226" width="8.88671875" style="576"/>
    <col min="9227" max="9227" width="12.88671875" style="576" bestFit="1" customWidth="1"/>
    <col min="9228" max="9471" width="8.88671875" style="576"/>
    <col min="9472" max="9472" width="3.6640625" style="576" bestFit="1" customWidth="1"/>
    <col min="9473" max="9473" width="8.33203125" style="576" customWidth="1"/>
    <col min="9474" max="9474" width="46.109375" style="576" customWidth="1"/>
    <col min="9475" max="9475" width="11" style="576" customWidth="1"/>
    <col min="9476" max="9476" width="12.5546875" style="576" customWidth="1"/>
    <col min="9477" max="9477" width="10.88671875" style="576" customWidth="1"/>
    <col min="9478" max="9478" width="16.109375" style="576" customWidth="1"/>
    <col min="9479" max="9479" width="0" style="576" hidden="1" customWidth="1"/>
    <col min="9480" max="9480" width="15.44140625" style="576" customWidth="1"/>
    <col min="9481" max="9481" width="12.88671875" style="576" bestFit="1" customWidth="1"/>
    <col min="9482" max="9482" width="8.88671875" style="576"/>
    <col min="9483" max="9483" width="12.88671875" style="576" bestFit="1" customWidth="1"/>
    <col min="9484" max="9727" width="8.88671875" style="576"/>
    <col min="9728" max="9728" width="3.6640625" style="576" bestFit="1" customWidth="1"/>
    <col min="9729" max="9729" width="8.33203125" style="576" customWidth="1"/>
    <col min="9730" max="9730" width="46.109375" style="576" customWidth="1"/>
    <col min="9731" max="9731" width="11" style="576" customWidth="1"/>
    <col min="9732" max="9732" width="12.5546875" style="576" customWidth="1"/>
    <col min="9733" max="9733" width="10.88671875" style="576" customWidth="1"/>
    <col min="9734" max="9734" width="16.109375" style="576" customWidth="1"/>
    <col min="9735" max="9735" width="0" style="576" hidden="1" customWidth="1"/>
    <col min="9736" max="9736" width="15.44140625" style="576" customWidth="1"/>
    <col min="9737" max="9737" width="12.88671875" style="576" bestFit="1" customWidth="1"/>
    <col min="9738" max="9738" width="8.88671875" style="576"/>
    <col min="9739" max="9739" width="12.88671875" style="576" bestFit="1" customWidth="1"/>
    <col min="9740" max="9983" width="8.88671875" style="576"/>
    <col min="9984" max="9984" width="3.6640625" style="576" bestFit="1" customWidth="1"/>
    <col min="9985" max="9985" width="8.33203125" style="576" customWidth="1"/>
    <col min="9986" max="9986" width="46.109375" style="576" customWidth="1"/>
    <col min="9987" max="9987" width="11" style="576" customWidth="1"/>
    <col min="9988" max="9988" width="12.5546875" style="576" customWidth="1"/>
    <col min="9989" max="9989" width="10.88671875" style="576" customWidth="1"/>
    <col min="9990" max="9990" width="16.109375" style="576" customWidth="1"/>
    <col min="9991" max="9991" width="0" style="576" hidden="1" customWidth="1"/>
    <col min="9992" max="9992" width="15.44140625" style="576" customWidth="1"/>
    <col min="9993" max="9993" width="12.88671875" style="576" bestFit="1" customWidth="1"/>
    <col min="9994" max="9994" width="8.88671875" style="576"/>
    <col min="9995" max="9995" width="12.88671875" style="576" bestFit="1" customWidth="1"/>
    <col min="9996" max="10239" width="8.88671875" style="576"/>
    <col min="10240" max="10240" width="3.6640625" style="576" bestFit="1" customWidth="1"/>
    <col min="10241" max="10241" width="8.33203125" style="576" customWidth="1"/>
    <col min="10242" max="10242" width="46.109375" style="576" customWidth="1"/>
    <col min="10243" max="10243" width="11" style="576" customWidth="1"/>
    <col min="10244" max="10244" width="12.5546875" style="576" customWidth="1"/>
    <col min="10245" max="10245" width="10.88671875" style="576" customWidth="1"/>
    <col min="10246" max="10246" width="16.109375" style="576" customWidth="1"/>
    <col min="10247" max="10247" width="0" style="576" hidden="1" customWidth="1"/>
    <col min="10248" max="10248" width="15.44140625" style="576" customWidth="1"/>
    <col min="10249" max="10249" width="12.88671875" style="576" bestFit="1" customWidth="1"/>
    <col min="10250" max="10250" width="8.88671875" style="576"/>
    <col min="10251" max="10251" width="12.88671875" style="576" bestFit="1" customWidth="1"/>
    <col min="10252" max="10495" width="8.88671875" style="576"/>
    <col min="10496" max="10496" width="3.6640625" style="576" bestFit="1" customWidth="1"/>
    <col min="10497" max="10497" width="8.33203125" style="576" customWidth="1"/>
    <col min="10498" max="10498" width="46.109375" style="576" customWidth="1"/>
    <col min="10499" max="10499" width="11" style="576" customWidth="1"/>
    <col min="10500" max="10500" width="12.5546875" style="576" customWidth="1"/>
    <col min="10501" max="10501" width="10.88671875" style="576" customWidth="1"/>
    <col min="10502" max="10502" width="16.109375" style="576" customWidth="1"/>
    <col min="10503" max="10503" width="0" style="576" hidden="1" customWidth="1"/>
    <col min="10504" max="10504" width="15.44140625" style="576" customWidth="1"/>
    <col min="10505" max="10505" width="12.88671875" style="576" bestFit="1" customWidth="1"/>
    <col min="10506" max="10506" width="8.88671875" style="576"/>
    <col min="10507" max="10507" width="12.88671875" style="576" bestFit="1" customWidth="1"/>
    <col min="10508" max="10751" width="8.88671875" style="576"/>
    <col min="10752" max="10752" width="3.6640625" style="576" bestFit="1" customWidth="1"/>
    <col min="10753" max="10753" width="8.33203125" style="576" customWidth="1"/>
    <col min="10754" max="10754" width="46.109375" style="576" customWidth="1"/>
    <col min="10755" max="10755" width="11" style="576" customWidth="1"/>
    <col min="10756" max="10756" width="12.5546875" style="576" customWidth="1"/>
    <col min="10757" max="10757" width="10.88671875" style="576" customWidth="1"/>
    <col min="10758" max="10758" width="16.109375" style="576" customWidth="1"/>
    <col min="10759" max="10759" width="0" style="576" hidden="1" customWidth="1"/>
    <col min="10760" max="10760" width="15.44140625" style="576" customWidth="1"/>
    <col min="10761" max="10761" width="12.88671875" style="576" bestFit="1" customWidth="1"/>
    <col min="10762" max="10762" width="8.88671875" style="576"/>
    <col min="10763" max="10763" width="12.88671875" style="576" bestFit="1" customWidth="1"/>
    <col min="10764" max="11007" width="8.88671875" style="576"/>
    <col min="11008" max="11008" width="3.6640625" style="576" bestFit="1" customWidth="1"/>
    <col min="11009" max="11009" width="8.33203125" style="576" customWidth="1"/>
    <col min="11010" max="11010" width="46.109375" style="576" customWidth="1"/>
    <col min="11011" max="11011" width="11" style="576" customWidth="1"/>
    <col min="11012" max="11012" width="12.5546875" style="576" customWidth="1"/>
    <col min="11013" max="11013" width="10.88671875" style="576" customWidth="1"/>
    <col min="11014" max="11014" width="16.109375" style="576" customWidth="1"/>
    <col min="11015" max="11015" width="0" style="576" hidden="1" customWidth="1"/>
    <col min="11016" max="11016" width="15.44140625" style="576" customWidth="1"/>
    <col min="11017" max="11017" width="12.88671875" style="576" bestFit="1" customWidth="1"/>
    <col min="11018" max="11018" width="8.88671875" style="576"/>
    <col min="11019" max="11019" width="12.88671875" style="576" bestFit="1" customWidth="1"/>
    <col min="11020" max="11263" width="8.88671875" style="576"/>
    <col min="11264" max="11264" width="3.6640625" style="576" bestFit="1" customWidth="1"/>
    <col min="11265" max="11265" width="8.33203125" style="576" customWidth="1"/>
    <col min="11266" max="11266" width="46.109375" style="576" customWidth="1"/>
    <col min="11267" max="11267" width="11" style="576" customWidth="1"/>
    <col min="11268" max="11268" width="12.5546875" style="576" customWidth="1"/>
    <col min="11269" max="11269" width="10.88671875" style="576" customWidth="1"/>
    <col min="11270" max="11270" width="16.109375" style="576" customWidth="1"/>
    <col min="11271" max="11271" width="0" style="576" hidden="1" customWidth="1"/>
    <col min="11272" max="11272" width="15.44140625" style="576" customWidth="1"/>
    <col min="11273" max="11273" width="12.88671875" style="576" bestFit="1" customWidth="1"/>
    <col min="11274" max="11274" width="8.88671875" style="576"/>
    <col min="11275" max="11275" width="12.88671875" style="576" bestFit="1" customWidth="1"/>
    <col min="11276" max="11519" width="8.88671875" style="576"/>
    <col min="11520" max="11520" width="3.6640625" style="576" bestFit="1" customWidth="1"/>
    <col min="11521" max="11521" width="8.33203125" style="576" customWidth="1"/>
    <col min="11522" max="11522" width="46.109375" style="576" customWidth="1"/>
    <col min="11523" max="11523" width="11" style="576" customWidth="1"/>
    <col min="11524" max="11524" width="12.5546875" style="576" customWidth="1"/>
    <col min="11525" max="11525" width="10.88671875" style="576" customWidth="1"/>
    <col min="11526" max="11526" width="16.109375" style="576" customWidth="1"/>
    <col min="11527" max="11527" width="0" style="576" hidden="1" customWidth="1"/>
    <col min="11528" max="11528" width="15.44140625" style="576" customWidth="1"/>
    <col min="11529" max="11529" width="12.88671875" style="576" bestFit="1" customWidth="1"/>
    <col min="11530" max="11530" width="8.88671875" style="576"/>
    <col min="11531" max="11531" width="12.88671875" style="576" bestFit="1" customWidth="1"/>
    <col min="11532" max="11775" width="8.88671875" style="576"/>
    <col min="11776" max="11776" width="3.6640625" style="576" bestFit="1" customWidth="1"/>
    <col min="11777" max="11777" width="8.33203125" style="576" customWidth="1"/>
    <col min="11778" max="11778" width="46.109375" style="576" customWidth="1"/>
    <col min="11779" max="11779" width="11" style="576" customWidth="1"/>
    <col min="11780" max="11780" width="12.5546875" style="576" customWidth="1"/>
    <col min="11781" max="11781" width="10.88671875" style="576" customWidth="1"/>
    <col min="11782" max="11782" width="16.109375" style="576" customWidth="1"/>
    <col min="11783" max="11783" width="0" style="576" hidden="1" customWidth="1"/>
    <col min="11784" max="11784" width="15.44140625" style="576" customWidth="1"/>
    <col min="11785" max="11785" width="12.88671875" style="576" bestFit="1" customWidth="1"/>
    <col min="11786" max="11786" width="8.88671875" style="576"/>
    <col min="11787" max="11787" width="12.88671875" style="576" bestFit="1" customWidth="1"/>
    <col min="11788" max="12031" width="8.88671875" style="576"/>
    <col min="12032" max="12032" width="3.6640625" style="576" bestFit="1" customWidth="1"/>
    <col min="12033" max="12033" width="8.33203125" style="576" customWidth="1"/>
    <col min="12034" max="12034" width="46.109375" style="576" customWidth="1"/>
    <col min="12035" max="12035" width="11" style="576" customWidth="1"/>
    <col min="12036" max="12036" width="12.5546875" style="576" customWidth="1"/>
    <col min="12037" max="12037" width="10.88671875" style="576" customWidth="1"/>
    <col min="12038" max="12038" width="16.109375" style="576" customWidth="1"/>
    <col min="12039" max="12039" width="0" style="576" hidden="1" customWidth="1"/>
    <col min="12040" max="12040" width="15.44140625" style="576" customWidth="1"/>
    <col min="12041" max="12041" width="12.88671875" style="576" bestFit="1" customWidth="1"/>
    <col min="12042" max="12042" width="8.88671875" style="576"/>
    <col min="12043" max="12043" width="12.88671875" style="576" bestFit="1" customWidth="1"/>
    <col min="12044" max="12287" width="8.88671875" style="576"/>
    <col min="12288" max="12288" width="3.6640625" style="576" bestFit="1" customWidth="1"/>
    <col min="12289" max="12289" width="8.33203125" style="576" customWidth="1"/>
    <col min="12290" max="12290" width="46.109375" style="576" customWidth="1"/>
    <col min="12291" max="12291" width="11" style="576" customWidth="1"/>
    <col min="12292" max="12292" width="12.5546875" style="576" customWidth="1"/>
    <col min="12293" max="12293" width="10.88671875" style="576" customWidth="1"/>
    <col min="12294" max="12294" width="16.109375" style="576" customWidth="1"/>
    <col min="12295" max="12295" width="0" style="576" hidden="1" customWidth="1"/>
    <col min="12296" max="12296" width="15.44140625" style="576" customWidth="1"/>
    <col min="12297" max="12297" width="12.88671875" style="576" bestFit="1" customWidth="1"/>
    <col min="12298" max="12298" width="8.88671875" style="576"/>
    <col min="12299" max="12299" width="12.88671875" style="576" bestFit="1" customWidth="1"/>
    <col min="12300" max="12543" width="8.88671875" style="576"/>
    <col min="12544" max="12544" width="3.6640625" style="576" bestFit="1" customWidth="1"/>
    <col min="12545" max="12545" width="8.33203125" style="576" customWidth="1"/>
    <col min="12546" max="12546" width="46.109375" style="576" customWidth="1"/>
    <col min="12547" max="12547" width="11" style="576" customWidth="1"/>
    <col min="12548" max="12548" width="12.5546875" style="576" customWidth="1"/>
    <col min="12549" max="12549" width="10.88671875" style="576" customWidth="1"/>
    <col min="12550" max="12550" width="16.109375" style="576" customWidth="1"/>
    <col min="12551" max="12551" width="0" style="576" hidden="1" customWidth="1"/>
    <col min="12552" max="12552" width="15.44140625" style="576" customWidth="1"/>
    <col min="12553" max="12553" width="12.88671875" style="576" bestFit="1" customWidth="1"/>
    <col min="12554" max="12554" width="8.88671875" style="576"/>
    <col min="12555" max="12555" width="12.88671875" style="576" bestFit="1" customWidth="1"/>
    <col min="12556" max="12799" width="8.88671875" style="576"/>
    <col min="12800" max="12800" width="3.6640625" style="576" bestFit="1" customWidth="1"/>
    <col min="12801" max="12801" width="8.33203125" style="576" customWidth="1"/>
    <col min="12802" max="12802" width="46.109375" style="576" customWidth="1"/>
    <col min="12803" max="12803" width="11" style="576" customWidth="1"/>
    <col min="12804" max="12804" width="12.5546875" style="576" customWidth="1"/>
    <col min="12805" max="12805" width="10.88671875" style="576" customWidth="1"/>
    <col min="12806" max="12806" width="16.109375" style="576" customWidth="1"/>
    <col min="12807" max="12807" width="0" style="576" hidden="1" customWidth="1"/>
    <col min="12808" max="12808" width="15.44140625" style="576" customWidth="1"/>
    <col min="12809" max="12809" width="12.88671875" style="576" bestFit="1" customWidth="1"/>
    <col min="12810" max="12810" width="8.88671875" style="576"/>
    <col min="12811" max="12811" width="12.88671875" style="576" bestFit="1" customWidth="1"/>
    <col min="12812" max="13055" width="8.88671875" style="576"/>
    <col min="13056" max="13056" width="3.6640625" style="576" bestFit="1" customWidth="1"/>
    <col min="13057" max="13057" width="8.33203125" style="576" customWidth="1"/>
    <col min="13058" max="13058" width="46.109375" style="576" customWidth="1"/>
    <col min="13059" max="13059" width="11" style="576" customWidth="1"/>
    <col min="13060" max="13060" width="12.5546875" style="576" customWidth="1"/>
    <col min="13061" max="13061" width="10.88671875" style="576" customWidth="1"/>
    <col min="13062" max="13062" width="16.109375" style="576" customWidth="1"/>
    <col min="13063" max="13063" width="0" style="576" hidden="1" customWidth="1"/>
    <col min="13064" max="13064" width="15.44140625" style="576" customWidth="1"/>
    <col min="13065" max="13065" width="12.88671875" style="576" bestFit="1" customWidth="1"/>
    <col min="13066" max="13066" width="8.88671875" style="576"/>
    <col min="13067" max="13067" width="12.88671875" style="576" bestFit="1" customWidth="1"/>
    <col min="13068" max="13311" width="8.88671875" style="576"/>
    <col min="13312" max="13312" width="3.6640625" style="576" bestFit="1" customWidth="1"/>
    <col min="13313" max="13313" width="8.33203125" style="576" customWidth="1"/>
    <col min="13314" max="13314" width="46.109375" style="576" customWidth="1"/>
    <col min="13315" max="13315" width="11" style="576" customWidth="1"/>
    <col min="13316" max="13316" width="12.5546875" style="576" customWidth="1"/>
    <col min="13317" max="13317" width="10.88671875" style="576" customWidth="1"/>
    <col min="13318" max="13318" width="16.109375" style="576" customWidth="1"/>
    <col min="13319" max="13319" width="0" style="576" hidden="1" customWidth="1"/>
    <col min="13320" max="13320" width="15.44140625" style="576" customWidth="1"/>
    <col min="13321" max="13321" width="12.88671875" style="576" bestFit="1" customWidth="1"/>
    <col min="13322" max="13322" width="8.88671875" style="576"/>
    <col min="13323" max="13323" width="12.88671875" style="576" bestFit="1" customWidth="1"/>
    <col min="13324" max="13567" width="8.88671875" style="576"/>
    <col min="13568" max="13568" width="3.6640625" style="576" bestFit="1" customWidth="1"/>
    <col min="13569" max="13569" width="8.33203125" style="576" customWidth="1"/>
    <col min="13570" max="13570" width="46.109375" style="576" customWidth="1"/>
    <col min="13571" max="13571" width="11" style="576" customWidth="1"/>
    <col min="13572" max="13572" width="12.5546875" style="576" customWidth="1"/>
    <col min="13573" max="13573" width="10.88671875" style="576" customWidth="1"/>
    <col min="13574" max="13574" width="16.109375" style="576" customWidth="1"/>
    <col min="13575" max="13575" width="0" style="576" hidden="1" customWidth="1"/>
    <col min="13576" max="13576" width="15.44140625" style="576" customWidth="1"/>
    <col min="13577" max="13577" width="12.88671875" style="576" bestFit="1" customWidth="1"/>
    <col min="13578" max="13578" width="8.88671875" style="576"/>
    <col min="13579" max="13579" width="12.88671875" style="576" bestFit="1" customWidth="1"/>
    <col min="13580" max="13823" width="8.88671875" style="576"/>
    <col min="13824" max="13824" width="3.6640625" style="576" bestFit="1" customWidth="1"/>
    <col min="13825" max="13825" width="8.33203125" style="576" customWidth="1"/>
    <col min="13826" max="13826" width="46.109375" style="576" customWidth="1"/>
    <col min="13827" max="13827" width="11" style="576" customWidth="1"/>
    <col min="13828" max="13828" width="12.5546875" style="576" customWidth="1"/>
    <col min="13829" max="13829" width="10.88671875" style="576" customWidth="1"/>
    <col min="13830" max="13830" width="16.109375" style="576" customWidth="1"/>
    <col min="13831" max="13831" width="0" style="576" hidden="1" customWidth="1"/>
    <col min="13832" max="13832" width="15.44140625" style="576" customWidth="1"/>
    <col min="13833" max="13833" width="12.88671875" style="576" bestFit="1" customWidth="1"/>
    <col min="13834" max="13834" width="8.88671875" style="576"/>
    <col min="13835" max="13835" width="12.88671875" style="576" bestFit="1" customWidth="1"/>
    <col min="13836" max="14079" width="8.88671875" style="576"/>
    <col min="14080" max="14080" width="3.6640625" style="576" bestFit="1" customWidth="1"/>
    <col min="14081" max="14081" width="8.33203125" style="576" customWidth="1"/>
    <col min="14082" max="14082" width="46.109375" style="576" customWidth="1"/>
    <col min="14083" max="14083" width="11" style="576" customWidth="1"/>
    <col min="14084" max="14084" width="12.5546875" style="576" customWidth="1"/>
    <col min="14085" max="14085" width="10.88671875" style="576" customWidth="1"/>
    <col min="14086" max="14086" width="16.109375" style="576" customWidth="1"/>
    <col min="14087" max="14087" width="0" style="576" hidden="1" customWidth="1"/>
    <col min="14088" max="14088" width="15.44140625" style="576" customWidth="1"/>
    <col min="14089" max="14089" width="12.88671875" style="576" bestFit="1" customWidth="1"/>
    <col min="14090" max="14090" width="8.88671875" style="576"/>
    <col min="14091" max="14091" width="12.88671875" style="576" bestFit="1" customWidth="1"/>
    <col min="14092" max="14335" width="8.88671875" style="576"/>
    <col min="14336" max="14336" width="3.6640625" style="576" bestFit="1" customWidth="1"/>
    <col min="14337" max="14337" width="8.33203125" style="576" customWidth="1"/>
    <col min="14338" max="14338" width="46.109375" style="576" customWidth="1"/>
    <col min="14339" max="14339" width="11" style="576" customWidth="1"/>
    <col min="14340" max="14340" width="12.5546875" style="576" customWidth="1"/>
    <col min="14341" max="14341" width="10.88671875" style="576" customWidth="1"/>
    <col min="14342" max="14342" width="16.109375" style="576" customWidth="1"/>
    <col min="14343" max="14343" width="0" style="576" hidden="1" customWidth="1"/>
    <col min="14344" max="14344" width="15.44140625" style="576" customWidth="1"/>
    <col min="14345" max="14345" width="12.88671875" style="576" bestFit="1" customWidth="1"/>
    <col min="14346" max="14346" width="8.88671875" style="576"/>
    <col min="14347" max="14347" width="12.88671875" style="576" bestFit="1" customWidth="1"/>
    <col min="14348" max="14591" width="8.88671875" style="576"/>
    <col min="14592" max="14592" width="3.6640625" style="576" bestFit="1" customWidth="1"/>
    <col min="14593" max="14593" width="8.33203125" style="576" customWidth="1"/>
    <col min="14594" max="14594" width="46.109375" style="576" customWidth="1"/>
    <col min="14595" max="14595" width="11" style="576" customWidth="1"/>
    <col min="14596" max="14596" width="12.5546875" style="576" customWidth="1"/>
    <col min="14597" max="14597" width="10.88671875" style="576" customWidth="1"/>
    <col min="14598" max="14598" width="16.109375" style="576" customWidth="1"/>
    <col min="14599" max="14599" width="0" style="576" hidden="1" customWidth="1"/>
    <col min="14600" max="14600" width="15.44140625" style="576" customWidth="1"/>
    <col min="14601" max="14601" width="12.88671875" style="576" bestFit="1" customWidth="1"/>
    <col min="14602" max="14602" width="8.88671875" style="576"/>
    <col min="14603" max="14603" width="12.88671875" style="576" bestFit="1" customWidth="1"/>
    <col min="14604" max="14847" width="8.88671875" style="576"/>
    <col min="14848" max="14848" width="3.6640625" style="576" bestFit="1" customWidth="1"/>
    <col min="14849" max="14849" width="8.33203125" style="576" customWidth="1"/>
    <col min="14850" max="14850" width="46.109375" style="576" customWidth="1"/>
    <col min="14851" max="14851" width="11" style="576" customWidth="1"/>
    <col min="14852" max="14852" width="12.5546875" style="576" customWidth="1"/>
    <col min="14853" max="14853" width="10.88671875" style="576" customWidth="1"/>
    <col min="14854" max="14854" width="16.109375" style="576" customWidth="1"/>
    <col min="14855" max="14855" width="0" style="576" hidden="1" customWidth="1"/>
    <col min="14856" max="14856" width="15.44140625" style="576" customWidth="1"/>
    <col min="14857" max="14857" width="12.88671875" style="576" bestFit="1" customWidth="1"/>
    <col min="14858" max="14858" width="8.88671875" style="576"/>
    <col min="14859" max="14859" width="12.88671875" style="576" bestFit="1" customWidth="1"/>
    <col min="14860" max="15103" width="8.88671875" style="576"/>
    <col min="15104" max="15104" width="3.6640625" style="576" bestFit="1" customWidth="1"/>
    <col min="15105" max="15105" width="8.33203125" style="576" customWidth="1"/>
    <col min="15106" max="15106" width="46.109375" style="576" customWidth="1"/>
    <col min="15107" max="15107" width="11" style="576" customWidth="1"/>
    <col min="15108" max="15108" width="12.5546875" style="576" customWidth="1"/>
    <col min="15109" max="15109" width="10.88671875" style="576" customWidth="1"/>
    <col min="15110" max="15110" width="16.109375" style="576" customWidth="1"/>
    <col min="15111" max="15111" width="0" style="576" hidden="1" customWidth="1"/>
    <col min="15112" max="15112" width="15.44140625" style="576" customWidth="1"/>
    <col min="15113" max="15113" width="12.88671875" style="576" bestFit="1" customWidth="1"/>
    <col min="15114" max="15114" width="8.88671875" style="576"/>
    <col min="15115" max="15115" width="12.88671875" style="576" bestFit="1" customWidth="1"/>
    <col min="15116" max="15359" width="8.88671875" style="576"/>
    <col min="15360" max="15360" width="3.6640625" style="576" bestFit="1" customWidth="1"/>
    <col min="15361" max="15361" width="8.33203125" style="576" customWidth="1"/>
    <col min="15362" max="15362" width="46.109375" style="576" customWidth="1"/>
    <col min="15363" max="15363" width="11" style="576" customWidth="1"/>
    <col min="15364" max="15364" width="12.5546875" style="576" customWidth="1"/>
    <col min="15365" max="15365" width="10.88671875" style="576" customWidth="1"/>
    <col min="15366" max="15366" width="16.109375" style="576" customWidth="1"/>
    <col min="15367" max="15367" width="0" style="576" hidden="1" customWidth="1"/>
    <col min="15368" max="15368" width="15.44140625" style="576" customWidth="1"/>
    <col min="15369" max="15369" width="12.88671875" style="576" bestFit="1" customWidth="1"/>
    <col min="15370" max="15370" width="8.88671875" style="576"/>
    <col min="15371" max="15371" width="12.88671875" style="576" bestFit="1" customWidth="1"/>
    <col min="15372" max="15615" width="8.88671875" style="576"/>
    <col min="15616" max="15616" width="3.6640625" style="576" bestFit="1" customWidth="1"/>
    <col min="15617" max="15617" width="8.33203125" style="576" customWidth="1"/>
    <col min="15618" max="15618" width="46.109375" style="576" customWidth="1"/>
    <col min="15619" max="15619" width="11" style="576" customWidth="1"/>
    <col min="15620" max="15620" width="12.5546875" style="576" customWidth="1"/>
    <col min="15621" max="15621" width="10.88671875" style="576" customWidth="1"/>
    <col min="15622" max="15622" width="16.109375" style="576" customWidth="1"/>
    <col min="15623" max="15623" width="0" style="576" hidden="1" customWidth="1"/>
    <col min="15624" max="15624" width="15.44140625" style="576" customWidth="1"/>
    <col min="15625" max="15625" width="12.88671875" style="576" bestFit="1" customWidth="1"/>
    <col min="15626" max="15626" width="8.88671875" style="576"/>
    <col min="15627" max="15627" width="12.88671875" style="576" bestFit="1" customWidth="1"/>
    <col min="15628" max="15871" width="8.88671875" style="576"/>
    <col min="15872" max="15872" width="3.6640625" style="576" bestFit="1" customWidth="1"/>
    <col min="15873" max="15873" width="8.33203125" style="576" customWidth="1"/>
    <col min="15874" max="15874" width="46.109375" style="576" customWidth="1"/>
    <col min="15875" max="15875" width="11" style="576" customWidth="1"/>
    <col min="15876" max="15876" width="12.5546875" style="576" customWidth="1"/>
    <col min="15877" max="15877" width="10.88671875" style="576" customWidth="1"/>
    <col min="15878" max="15878" width="16.109375" style="576" customWidth="1"/>
    <col min="15879" max="15879" width="0" style="576" hidden="1" customWidth="1"/>
    <col min="15880" max="15880" width="15.44140625" style="576" customWidth="1"/>
    <col min="15881" max="15881" width="12.88671875" style="576" bestFit="1" customWidth="1"/>
    <col min="15882" max="15882" width="8.88671875" style="576"/>
    <col min="15883" max="15883" width="12.88671875" style="576" bestFit="1" customWidth="1"/>
    <col min="15884" max="16127" width="8.88671875" style="576"/>
    <col min="16128" max="16128" width="3.6640625" style="576" bestFit="1" customWidth="1"/>
    <col min="16129" max="16129" width="8.33203125" style="576" customWidth="1"/>
    <col min="16130" max="16130" width="46.109375" style="576" customWidth="1"/>
    <col min="16131" max="16131" width="11" style="576" customWidth="1"/>
    <col min="16132" max="16132" width="12.5546875" style="576" customWidth="1"/>
    <col min="16133" max="16133" width="10.88671875" style="576" customWidth="1"/>
    <col min="16134" max="16134" width="16.109375" style="576" customWidth="1"/>
    <col min="16135" max="16135" width="0" style="576" hidden="1" customWidth="1"/>
    <col min="16136" max="16136" width="15.44140625" style="576" customWidth="1"/>
    <col min="16137" max="16137" width="12.88671875" style="576" bestFit="1" customWidth="1"/>
    <col min="16138" max="16138" width="8.88671875" style="576"/>
    <col min="16139" max="16139" width="12.88671875" style="576" bestFit="1" customWidth="1"/>
    <col min="16140" max="16384" width="8.88671875" style="576"/>
  </cols>
  <sheetData>
    <row r="1" spans="1:10" s="27" customFormat="1" ht="85.8" customHeight="1" thickBot="1">
      <c r="A1" s="984" t="s">
        <v>1166</v>
      </c>
      <c r="B1" s="985"/>
      <c r="C1" s="985"/>
      <c r="D1" s="986" t="str">
        <f>'Bill No 8.1.1'!D1:G1</f>
        <v>BILL NO. 8.1  - REDUCTION OF LANDSLIDE VULNERABILITY BY MITIGATION MEASURES 
 PUNCHIMIRISKANDA- LOCATION 01 (SITE NO. 83 LOCATION 1)</v>
      </c>
      <c r="E1" s="986"/>
      <c r="F1" s="986"/>
      <c r="G1" s="987"/>
    </row>
    <row r="2" spans="1:10" s="582" customFormat="1" ht="18" customHeight="1">
      <c r="A2" s="988" t="s">
        <v>11</v>
      </c>
      <c r="B2" s="989" t="s">
        <v>12</v>
      </c>
      <c r="C2" s="886" t="s">
        <v>8</v>
      </c>
      <c r="D2" s="886" t="s">
        <v>13</v>
      </c>
      <c r="E2" s="996" t="s">
        <v>14</v>
      </c>
      <c r="F2" s="992" t="s">
        <v>15</v>
      </c>
      <c r="G2" s="993" t="s">
        <v>16</v>
      </c>
      <c r="I2" s="598"/>
      <c r="J2" s="599"/>
    </row>
    <row r="3" spans="1:10" s="582" customFormat="1" ht="18" customHeight="1">
      <c r="A3" s="884"/>
      <c r="B3" s="886"/>
      <c r="C3" s="887"/>
      <c r="D3" s="887"/>
      <c r="E3" s="997"/>
      <c r="F3" s="888"/>
      <c r="G3" s="889"/>
      <c r="I3" s="598"/>
      <c r="J3" s="599"/>
    </row>
    <row r="4" spans="1:10" s="27" customFormat="1" ht="33" customHeight="1">
      <c r="A4" s="600" t="s">
        <v>1167</v>
      </c>
      <c r="B4" s="46"/>
      <c r="C4" s="362" t="s">
        <v>1168</v>
      </c>
      <c r="D4" s="46"/>
      <c r="E4" s="696"/>
      <c r="F4" s="57"/>
      <c r="G4" s="601"/>
      <c r="I4" s="602"/>
      <c r="J4" s="592"/>
    </row>
    <row r="5" spans="1:10" s="27" customFormat="1" ht="33" customHeight="1">
      <c r="A5" s="603" t="s">
        <v>1169</v>
      </c>
      <c r="B5" s="46" t="s">
        <v>37</v>
      </c>
      <c r="C5" s="47" t="s">
        <v>1170</v>
      </c>
      <c r="D5" s="46" t="s">
        <v>28</v>
      </c>
      <c r="E5" s="696">
        <v>4</v>
      </c>
      <c r="F5" s="57"/>
      <c r="G5" s="367"/>
      <c r="I5" s="602">
        <f>'Drains 83.1'!I109</f>
        <v>3.4732750000000006</v>
      </c>
      <c r="J5" s="592"/>
    </row>
    <row r="6" spans="1:10" s="27" customFormat="1" ht="33" customHeight="1">
      <c r="A6" s="603" t="s">
        <v>1171</v>
      </c>
      <c r="B6" s="46" t="s">
        <v>39</v>
      </c>
      <c r="C6" s="47" t="s">
        <v>1172</v>
      </c>
      <c r="D6" s="46" t="s">
        <v>28</v>
      </c>
      <c r="E6" s="696">
        <v>17</v>
      </c>
      <c r="F6" s="57"/>
      <c r="G6" s="367"/>
      <c r="I6" s="602">
        <f>'Drains 83.1'!J109+'Drains 83.1'!J110</f>
        <v>16.640787500000002</v>
      </c>
      <c r="J6" s="592"/>
    </row>
    <row r="7" spans="1:10" s="27" customFormat="1" ht="33" customHeight="1">
      <c r="A7" s="603" t="s">
        <v>1173</v>
      </c>
      <c r="B7" s="46" t="s">
        <v>41</v>
      </c>
      <c r="C7" s="47" t="s">
        <v>42</v>
      </c>
      <c r="D7" s="46" t="s">
        <v>43</v>
      </c>
      <c r="E7" s="696">
        <v>1085</v>
      </c>
      <c r="F7" s="57"/>
      <c r="G7" s="367"/>
      <c r="I7" s="602">
        <f>'Drains 83.1'!S109+'Drains 83.1'!S110</f>
        <v>1083.3374485596707</v>
      </c>
      <c r="J7" s="592"/>
    </row>
    <row r="8" spans="1:10" s="27" customFormat="1" ht="33" customHeight="1">
      <c r="A8" s="603" t="s">
        <v>1174</v>
      </c>
      <c r="B8" s="46" t="s">
        <v>44</v>
      </c>
      <c r="C8" s="47" t="s">
        <v>45</v>
      </c>
      <c r="D8" s="46" t="s">
        <v>312</v>
      </c>
      <c r="E8" s="696">
        <v>217</v>
      </c>
      <c r="F8" s="57"/>
      <c r="G8" s="367"/>
      <c r="I8" s="602">
        <f>'Drains 83.1'!K109+'Drains 83.1'!K110</f>
        <v>216.251</v>
      </c>
      <c r="J8" s="592"/>
    </row>
    <row r="9" spans="1:10" s="27" customFormat="1" ht="33" customHeight="1">
      <c r="A9" s="600" t="s">
        <v>1175</v>
      </c>
      <c r="B9" s="46"/>
      <c r="C9" s="362" t="s">
        <v>1176</v>
      </c>
      <c r="D9" s="46"/>
      <c r="E9" s="696"/>
      <c r="F9" s="57"/>
      <c r="G9" s="601"/>
      <c r="I9" s="602"/>
      <c r="J9" s="592"/>
    </row>
    <row r="10" spans="1:10" s="27" customFormat="1" ht="33" customHeight="1">
      <c r="A10" s="603" t="s">
        <v>1177</v>
      </c>
      <c r="B10" s="46" t="s">
        <v>37</v>
      </c>
      <c r="C10" s="47" t="s">
        <v>1170</v>
      </c>
      <c r="D10" s="46" t="s">
        <v>28</v>
      </c>
      <c r="E10" s="696">
        <v>6</v>
      </c>
      <c r="F10" s="57"/>
      <c r="G10" s="367"/>
      <c r="I10" s="602">
        <f>'Drains 83.1'!I112</f>
        <v>5.6560000000000006</v>
      </c>
      <c r="J10" s="592"/>
    </row>
    <row r="11" spans="1:10" s="27" customFormat="1" ht="33" customHeight="1">
      <c r="A11" s="603" t="s">
        <v>1178</v>
      </c>
      <c r="B11" s="46" t="s">
        <v>39</v>
      </c>
      <c r="C11" s="47" t="s">
        <v>1172</v>
      </c>
      <c r="D11" s="46" t="s">
        <v>28</v>
      </c>
      <c r="E11" s="696">
        <v>29</v>
      </c>
      <c r="F11" s="57"/>
      <c r="G11" s="367"/>
      <c r="I11" s="602">
        <f>'Drains 83.1'!J112+'Drains 83.1'!J113</f>
        <v>28.415000000000003</v>
      </c>
      <c r="J11" s="592"/>
    </row>
    <row r="12" spans="1:10" s="27" customFormat="1" ht="33" customHeight="1">
      <c r="A12" s="603" t="s">
        <v>1179</v>
      </c>
      <c r="B12" s="46" t="s">
        <v>41</v>
      </c>
      <c r="C12" s="47" t="s">
        <v>42</v>
      </c>
      <c r="D12" s="46" t="s">
        <v>43</v>
      </c>
      <c r="E12" s="696">
        <v>1730</v>
      </c>
      <c r="F12" s="57"/>
      <c r="G12" s="367"/>
      <c r="I12" s="602">
        <f>'Drains 83.1'!S112+'Drains 83.1'!S113</f>
        <v>1728.0555555555552</v>
      </c>
      <c r="J12" s="592"/>
    </row>
    <row r="13" spans="1:10" s="27" customFormat="1" ht="33" customHeight="1">
      <c r="A13" s="603" t="s">
        <v>1180</v>
      </c>
      <c r="B13" s="46" t="s">
        <v>44</v>
      </c>
      <c r="C13" s="47" t="s">
        <v>45</v>
      </c>
      <c r="D13" s="46" t="s">
        <v>312</v>
      </c>
      <c r="E13" s="696">
        <v>373</v>
      </c>
      <c r="F13" s="57"/>
      <c r="G13" s="367"/>
      <c r="I13" s="602">
        <f>'Drains 83.1'!K112+'Drains 83.1'!K113</f>
        <v>372.10399999999998</v>
      </c>
      <c r="J13" s="592"/>
    </row>
    <row r="14" spans="1:10" s="27" customFormat="1" ht="33" customHeight="1">
      <c r="A14" s="600" t="s">
        <v>1181</v>
      </c>
      <c r="B14" s="46"/>
      <c r="C14" s="362" t="s">
        <v>1182</v>
      </c>
      <c r="D14" s="46"/>
      <c r="E14" s="696"/>
      <c r="F14" s="57"/>
      <c r="G14" s="601"/>
      <c r="I14" s="602"/>
      <c r="J14" s="592"/>
    </row>
    <row r="15" spans="1:10" s="27" customFormat="1" ht="33" customHeight="1">
      <c r="A15" s="603" t="s">
        <v>1183</v>
      </c>
      <c r="B15" s="46" t="s">
        <v>37</v>
      </c>
      <c r="C15" s="47" t="s">
        <v>1170</v>
      </c>
      <c r="D15" s="46" t="s">
        <v>28</v>
      </c>
      <c r="E15" s="696">
        <v>1</v>
      </c>
      <c r="F15" s="57"/>
      <c r="G15" s="367"/>
      <c r="I15" s="602">
        <f>'Drains 83.1'!I165</f>
        <v>0.21189999999999998</v>
      </c>
      <c r="J15" s="592"/>
    </row>
    <row r="16" spans="1:10" s="27" customFormat="1" ht="33" customHeight="1">
      <c r="A16" s="603" t="s">
        <v>1184</v>
      </c>
      <c r="B16" s="46" t="s">
        <v>39</v>
      </c>
      <c r="C16" s="47" t="s">
        <v>1172</v>
      </c>
      <c r="D16" s="46" t="s">
        <v>28</v>
      </c>
      <c r="E16" s="696">
        <v>2</v>
      </c>
      <c r="F16" s="57"/>
      <c r="G16" s="367"/>
      <c r="I16" s="602">
        <f>'Drains 83.1'!J165+'Drains 83.1'!J166</f>
        <v>1.281179375</v>
      </c>
      <c r="J16" s="592"/>
    </row>
    <row r="17" spans="1:21" s="27" customFormat="1" ht="33" customHeight="1">
      <c r="A17" s="603" t="s">
        <v>1185</v>
      </c>
      <c r="B17" s="46" t="s">
        <v>41</v>
      </c>
      <c r="C17" s="47" t="s">
        <v>42</v>
      </c>
      <c r="D17" s="46" t="s">
        <v>43</v>
      </c>
      <c r="E17" s="696">
        <v>71</v>
      </c>
      <c r="F17" s="57"/>
      <c r="G17" s="367"/>
      <c r="I17" s="602">
        <f>'Drains 83.1'!S165</f>
        <v>70.524691358024683</v>
      </c>
      <c r="J17" s="592"/>
    </row>
    <row r="18" spans="1:21" s="27" customFormat="1" ht="33" customHeight="1">
      <c r="A18" s="603" t="s">
        <v>1186</v>
      </c>
      <c r="B18" s="46" t="s">
        <v>44</v>
      </c>
      <c r="C18" s="47" t="s">
        <v>45</v>
      </c>
      <c r="D18" s="46" t="s">
        <v>312</v>
      </c>
      <c r="E18" s="696">
        <v>20</v>
      </c>
      <c r="F18" s="57"/>
      <c r="G18" s="367"/>
      <c r="I18" s="602">
        <f>'Drains 83.1'!K165+'Drains 83.1'!K166</f>
        <v>19.05575</v>
      </c>
      <c r="J18" s="592"/>
    </row>
    <row r="19" spans="1:21" s="27" customFormat="1" ht="33" customHeight="1">
      <c r="A19" s="600" t="s">
        <v>1187</v>
      </c>
      <c r="B19" s="46"/>
      <c r="C19" s="66" t="s">
        <v>1188</v>
      </c>
      <c r="D19" s="46"/>
      <c r="E19" s="238"/>
      <c r="F19" s="57"/>
      <c r="G19" s="604"/>
      <c r="I19" s="602"/>
      <c r="J19" s="592"/>
    </row>
    <row r="20" spans="1:21" s="27" customFormat="1" ht="33" customHeight="1">
      <c r="A20" s="603" t="s">
        <v>1189</v>
      </c>
      <c r="B20" s="46" t="s">
        <v>49</v>
      </c>
      <c r="C20" s="47" t="s">
        <v>448</v>
      </c>
      <c r="D20" s="46" t="s">
        <v>5</v>
      </c>
      <c r="E20" s="238">
        <v>7</v>
      </c>
      <c r="F20" s="57"/>
      <c r="G20" s="604"/>
      <c r="I20" s="602">
        <f>'Drains 83.1'!D167</f>
        <v>7</v>
      </c>
      <c r="J20" s="592"/>
    </row>
    <row r="21" spans="1:21" s="27" customFormat="1" ht="33" customHeight="1">
      <c r="A21" s="600" t="s">
        <v>1190</v>
      </c>
      <c r="B21" s="36"/>
      <c r="C21" s="605" t="s">
        <v>450</v>
      </c>
      <c r="D21" s="36"/>
      <c r="E21" s="239"/>
      <c r="F21" s="606"/>
      <c r="G21" s="604"/>
      <c r="I21" s="602"/>
      <c r="J21" s="592"/>
    </row>
    <row r="22" spans="1:21" s="27" customFormat="1" ht="33" customHeight="1">
      <c r="A22" s="603" t="s">
        <v>1191</v>
      </c>
      <c r="B22" s="56" t="s">
        <v>452</v>
      </c>
      <c r="C22" s="607" t="s">
        <v>1192</v>
      </c>
      <c r="D22" s="56" t="s">
        <v>28</v>
      </c>
      <c r="E22" s="703">
        <v>761</v>
      </c>
      <c r="F22" s="57"/>
      <c r="G22" s="367"/>
      <c r="I22" s="602">
        <f>'QTY 83.1'!J57</f>
        <v>760.15499999999997</v>
      </c>
      <c r="J22" s="592"/>
    </row>
    <row r="23" spans="1:21" s="27" customFormat="1" ht="33" customHeight="1">
      <c r="A23" s="603" t="s">
        <v>1193</v>
      </c>
      <c r="B23" s="56" t="s">
        <v>1194</v>
      </c>
      <c r="C23" s="47" t="s">
        <v>457</v>
      </c>
      <c r="D23" s="56" t="s">
        <v>28</v>
      </c>
      <c r="E23" s="703">
        <v>141</v>
      </c>
      <c r="F23" s="57"/>
      <c r="G23" s="367"/>
      <c r="I23" s="602">
        <f>'QTY 83.1'!J58</f>
        <v>140.85225</v>
      </c>
      <c r="J23" s="592"/>
    </row>
    <row r="24" spans="1:21" s="27" customFormat="1" ht="33" customHeight="1">
      <c r="A24" s="603" t="s">
        <v>1195</v>
      </c>
      <c r="B24" s="56" t="s">
        <v>50</v>
      </c>
      <c r="C24" s="223" t="s">
        <v>51</v>
      </c>
      <c r="D24" s="56" t="s">
        <v>312</v>
      </c>
      <c r="E24" s="703">
        <v>957</v>
      </c>
      <c r="F24" s="57"/>
      <c r="G24" s="367"/>
      <c r="I24" s="602">
        <f>'QTY 83.1'!J60</f>
        <v>956.90100000000007</v>
      </c>
      <c r="J24" s="592"/>
    </row>
    <row r="25" spans="1:21" s="573" customFormat="1" ht="33" customHeight="1" thickBot="1">
      <c r="A25" s="608"/>
      <c r="B25" s="981" t="s">
        <v>1196</v>
      </c>
      <c r="C25" s="982"/>
      <c r="D25" s="982"/>
      <c r="E25" s="982"/>
      <c r="F25" s="983"/>
      <c r="G25" s="571"/>
      <c r="H25" s="572"/>
      <c r="I25" s="609"/>
      <c r="J25" s="610"/>
      <c r="K25" s="611"/>
      <c r="L25" s="611"/>
      <c r="M25" s="611"/>
      <c r="N25" s="611"/>
      <c r="O25" s="611"/>
      <c r="P25" s="611"/>
      <c r="Q25" s="611"/>
      <c r="R25" s="611"/>
      <c r="S25" s="611"/>
      <c r="T25" s="611"/>
      <c r="U25" s="611"/>
    </row>
  </sheetData>
  <mergeCells count="10">
    <mergeCell ref="B25:F25"/>
    <mergeCell ref="A1:C1"/>
    <mergeCell ref="D1:G1"/>
    <mergeCell ref="A2:A3"/>
    <mergeCell ref="B2:B3"/>
    <mergeCell ref="C2:C3"/>
    <mergeCell ref="D2:D3"/>
    <mergeCell ref="E2:E3"/>
    <mergeCell ref="F2:F3"/>
    <mergeCell ref="G2:G3"/>
  </mergeCells>
  <printOptions horizontalCentered="1"/>
  <pageMargins left="0.75" right="0.4" top="0.75" bottom="0.5" header="0" footer="0"/>
  <pageSetup paperSize="9" scale="70"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D735C-2149-43ED-8D6A-1664E6A9C08C}">
  <sheetPr>
    <tabColor rgb="FF00B0F0"/>
  </sheetPr>
  <dimension ref="A1:J25"/>
  <sheetViews>
    <sheetView view="pageBreakPreview" zoomScale="95" zoomScaleNormal="100" zoomScaleSheetLayoutView="95" workbookViewId="0">
      <selection activeCell="I1" sqref="I1:I1048576"/>
    </sheetView>
  </sheetViews>
  <sheetFormatPr defaultColWidth="8.88671875" defaultRowHeight="13.8"/>
  <cols>
    <col min="1" max="1" width="8.6640625" style="596" customWidth="1"/>
    <col min="2" max="2" width="10.6640625" style="580" customWidth="1"/>
    <col min="3" max="3" width="50.6640625" style="576" customWidth="1"/>
    <col min="4" max="4" width="7.6640625" style="580" customWidth="1"/>
    <col min="5" max="5" width="8.6640625" style="704" customWidth="1"/>
    <col min="6" max="6" width="15.6640625" style="581" customWidth="1"/>
    <col min="7" max="7" width="19.88671875" style="581" customWidth="1"/>
    <col min="8" max="8" width="12.109375" style="576" hidden="1" customWidth="1"/>
    <col min="9" max="9" width="12.88671875" style="616" hidden="1" customWidth="1"/>
    <col min="10" max="16384" width="8.88671875" style="576"/>
  </cols>
  <sheetData>
    <row r="1" spans="1:10" s="27" customFormat="1" ht="83.25" customHeight="1" thickBot="1">
      <c r="A1" s="984" t="s">
        <v>1197</v>
      </c>
      <c r="B1" s="985"/>
      <c r="C1" s="985"/>
      <c r="D1" s="986" t="str">
        <f>'Bill No 8.1.1'!D1:G1</f>
        <v>BILL NO. 8.1  - REDUCTION OF LANDSLIDE VULNERABILITY BY MITIGATION MEASURES 
 PUNCHIMIRISKANDA- LOCATION 01 (SITE NO. 83 LOCATION 1)</v>
      </c>
      <c r="E1" s="986"/>
      <c r="F1" s="986"/>
      <c r="G1" s="987"/>
    </row>
    <row r="2" spans="1:10" s="582" customFormat="1" ht="18" customHeight="1">
      <c r="A2" s="883" t="s">
        <v>11</v>
      </c>
      <c r="B2" s="885" t="s">
        <v>12</v>
      </c>
      <c r="C2" s="887" t="s">
        <v>8</v>
      </c>
      <c r="D2" s="887" t="s">
        <v>13</v>
      </c>
      <c r="E2" s="997" t="s">
        <v>14</v>
      </c>
      <c r="F2" s="888" t="s">
        <v>15</v>
      </c>
      <c r="G2" s="889" t="s">
        <v>16</v>
      </c>
      <c r="I2" s="614"/>
    </row>
    <row r="3" spans="1:10" s="582" customFormat="1" ht="18" customHeight="1">
      <c r="A3" s="884"/>
      <c r="B3" s="886"/>
      <c r="C3" s="887"/>
      <c r="D3" s="887"/>
      <c r="E3" s="997"/>
      <c r="F3" s="888"/>
      <c r="G3" s="889"/>
      <c r="I3" s="414"/>
      <c r="J3" s="27"/>
    </row>
    <row r="4" spans="1:10" s="27" customFormat="1" ht="30" customHeight="1">
      <c r="A4" s="615" t="s">
        <v>1198</v>
      </c>
      <c r="B4" s="46"/>
      <c r="C4" s="362" t="s">
        <v>465</v>
      </c>
      <c r="D4" s="46"/>
      <c r="E4" s="696"/>
      <c r="F4" s="57"/>
      <c r="G4" s="367"/>
      <c r="I4" s="616"/>
      <c r="J4" s="576"/>
    </row>
    <row r="5" spans="1:10" s="27" customFormat="1" ht="53.4" customHeight="1">
      <c r="A5" s="617" t="s">
        <v>1199</v>
      </c>
      <c r="B5" s="46" t="s">
        <v>467</v>
      </c>
      <c r="C5" s="618" t="s">
        <v>1200</v>
      </c>
      <c r="D5" s="46" t="s">
        <v>5</v>
      </c>
      <c r="E5" s="696">
        <v>270</v>
      </c>
      <c r="F5" s="447"/>
      <c r="G5" s="367"/>
      <c r="I5" s="414">
        <f>'QTY 83.1'!J101</f>
        <v>240</v>
      </c>
    </row>
    <row r="6" spans="1:10" s="27" customFormat="1" ht="30" customHeight="1">
      <c r="A6" s="615" t="s">
        <v>1201</v>
      </c>
      <c r="B6" s="46"/>
      <c r="C6" s="619" t="s">
        <v>461</v>
      </c>
      <c r="D6" s="46"/>
      <c r="E6" s="696"/>
      <c r="F6" s="447"/>
      <c r="G6" s="367"/>
      <c r="I6" s="414"/>
    </row>
    <row r="7" spans="1:10" s="27" customFormat="1" ht="30" customHeight="1">
      <c r="A7" s="222" t="s">
        <v>1202</v>
      </c>
      <c r="B7" s="289" t="s">
        <v>732</v>
      </c>
      <c r="C7" s="353" t="s">
        <v>1203</v>
      </c>
      <c r="D7" s="46" t="s">
        <v>312</v>
      </c>
      <c r="E7" s="238">
        <v>1480</v>
      </c>
      <c r="F7" s="57"/>
      <c r="G7" s="367"/>
      <c r="I7" s="414">
        <f>'QTY 83.1'!J125</f>
        <v>1477.9490549999998</v>
      </c>
    </row>
    <row r="8" spans="1:10" s="27" customFormat="1" ht="19.5" customHeight="1">
      <c r="A8" s="617"/>
      <c r="B8" s="46"/>
      <c r="C8" s="618"/>
      <c r="D8" s="46"/>
      <c r="E8" s="696"/>
      <c r="F8" s="447"/>
      <c r="G8" s="367"/>
      <c r="I8" s="414"/>
    </row>
    <row r="9" spans="1:10" s="573" customFormat="1" ht="33.75" customHeight="1" thickBot="1">
      <c r="A9" s="620"/>
      <c r="B9" s="981" t="s">
        <v>1204</v>
      </c>
      <c r="C9" s="982"/>
      <c r="D9" s="982"/>
      <c r="E9" s="982"/>
      <c r="F9" s="983"/>
      <c r="G9" s="571"/>
      <c r="H9" s="572"/>
      <c r="I9" s="616"/>
      <c r="J9" s="576"/>
    </row>
    <row r="10" spans="1:10" ht="13.2">
      <c r="A10" s="577"/>
      <c r="B10" s="574"/>
      <c r="C10" s="565"/>
      <c r="D10" s="574"/>
      <c r="E10" s="705"/>
      <c r="F10" s="575"/>
      <c r="G10" s="575"/>
    </row>
    <row r="11" spans="1:10" ht="13.2">
      <c r="A11" s="574"/>
      <c r="B11" s="574"/>
      <c r="C11" s="565"/>
      <c r="D11" s="574"/>
      <c r="E11" s="705"/>
      <c r="F11" s="575"/>
      <c r="G11" s="575"/>
    </row>
    <row r="12" spans="1:10" ht="13.2">
      <c r="A12" s="574"/>
      <c r="B12" s="574"/>
      <c r="C12" s="565"/>
      <c r="D12" s="574"/>
      <c r="E12" s="705"/>
      <c r="F12" s="575"/>
      <c r="G12" s="575"/>
    </row>
    <row r="13" spans="1:10">
      <c r="A13" s="579"/>
      <c r="B13" s="574"/>
      <c r="C13" s="565"/>
      <c r="D13" s="574"/>
      <c r="E13" s="705"/>
      <c r="F13" s="575"/>
      <c r="G13" s="575"/>
    </row>
    <row r="14" spans="1:10" ht="13.2">
      <c r="A14" s="574"/>
      <c r="B14" s="574"/>
      <c r="C14" s="565"/>
      <c r="D14" s="574"/>
      <c r="E14" s="705"/>
      <c r="F14" s="575"/>
      <c r="G14" s="575"/>
      <c r="I14" s="597"/>
    </row>
    <row r="15" spans="1:10" ht="13.2">
      <c r="A15" s="577"/>
      <c r="B15" s="574"/>
      <c r="C15" s="565"/>
      <c r="D15" s="574"/>
      <c r="E15" s="705"/>
      <c r="F15" s="575"/>
      <c r="G15" s="575"/>
      <c r="I15" s="597"/>
    </row>
    <row r="16" spans="1:10" ht="13.2">
      <c r="A16" s="574"/>
      <c r="B16" s="574"/>
      <c r="C16" s="565"/>
      <c r="D16" s="574"/>
      <c r="E16" s="705"/>
      <c r="F16" s="575"/>
      <c r="G16" s="575"/>
      <c r="I16" s="597"/>
    </row>
    <row r="17" spans="1:9">
      <c r="A17" s="578"/>
      <c r="B17" s="574"/>
      <c r="C17" s="565"/>
      <c r="D17" s="574"/>
      <c r="E17" s="705"/>
      <c r="F17" s="575"/>
      <c r="G17" s="575"/>
      <c r="I17" s="597"/>
    </row>
    <row r="18" spans="1:9">
      <c r="A18" s="579"/>
      <c r="B18" s="574"/>
      <c r="C18" s="565"/>
      <c r="D18" s="574"/>
      <c r="E18" s="705"/>
      <c r="F18" s="575"/>
      <c r="G18" s="575"/>
      <c r="I18" s="597"/>
    </row>
    <row r="19" spans="1:9">
      <c r="A19" s="578"/>
      <c r="B19" s="574"/>
      <c r="C19" s="565"/>
      <c r="D19" s="574"/>
      <c r="E19" s="705"/>
      <c r="F19" s="575"/>
      <c r="G19" s="575"/>
      <c r="I19" s="597"/>
    </row>
    <row r="20" spans="1:9">
      <c r="B20" s="574"/>
      <c r="C20" s="565"/>
      <c r="D20" s="574"/>
      <c r="E20" s="705"/>
      <c r="F20" s="575"/>
      <c r="G20" s="575"/>
      <c r="I20" s="597"/>
    </row>
    <row r="21" spans="1:9">
      <c r="B21" s="574"/>
      <c r="C21" s="565"/>
      <c r="D21" s="574"/>
      <c r="E21" s="705"/>
      <c r="F21" s="575"/>
      <c r="G21" s="575"/>
      <c r="I21" s="597"/>
    </row>
    <row r="22" spans="1:9">
      <c r="B22" s="574"/>
      <c r="C22" s="565"/>
      <c r="D22" s="574"/>
      <c r="E22" s="705"/>
      <c r="F22" s="575"/>
      <c r="G22" s="575"/>
      <c r="I22" s="597"/>
    </row>
    <row r="23" spans="1:9">
      <c r="B23" s="574"/>
      <c r="C23" s="565"/>
      <c r="D23" s="574"/>
      <c r="E23" s="705"/>
      <c r="F23" s="575"/>
      <c r="G23" s="575"/>
      <c r="I23" s="597"/>
    </row>
    <row r="24" spans="1:9">
      <c r="B24" s="574"/>
      <c r="C24" s="565"/>
      <c r="D24" s="574"/>
      <c r="E24" s="705"/>
      <c r="F24" s="575"/>
      <c r="G24" s="575"/>
      <c r="I24" s="597"/>
    </row>
    <row r="25" spans="1:9">
      <c r="B25" s="574"/>
      <c r="C25" s="565"/>
      <c r="D25" s="574"/>
      <c r="E25" s="705"/>
      <c r="F25" s="575"/>
      <c r="G25" s="575"/>
      <c r="I25" s="597"/>
    </row>
  </sheetData>
  <mergeCells count="10">
    <mergeCell ref="B9:F9"/>
    <mergeCell ref="A1:C1"/>
    <mergeCell ref="D1:G1"/>
    <mergeCell ref="A2:A3"/>
    <mergeCell ref="B2:B3"/>
    <mergeCell ref="C2:C3"/>
    <mergeCell ref="D2:D3"/>
    <mergeCell ref="E2:E3"/>
    <mergeCell ref="F2:F3"/>
    <mergeCell ref="G2:G3"/>
  </mergeCells>
  <printOptions horizontalCentered="1"/>
  <pageMargins left="0.75" right="0.4" top="0.75" bottom="0.5" header="0" footer="0"/>
  <pageSetup paperSize="9" scale="70" fitToHeight="0" orientation="portrait" r:id="rId1"/>
  <colBreaks count="1" manualBreakCount="1">
    <brk id="7" max="27"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08BC6-A1AB-471B-BF45-08E7880E2913}">
  <sheetPr>
    <tabColor rgb="FF00B050"/>
  </sheetPr>
  <dimension ref="A1:L135"/>
  <sheetViews>
    <sheetView view="pageBreakPreview" zoomScale="90" zoomScaleNormal="100" zoomScaleSheetLayoutView="90" workbookViewId="0">
      <pane ySplit="2" topLeftCell="A99" activePane="bottomLeft" state="frozen"/>
      <selection activeCell="B5" sqref="B5:E5"/>
      <selection pane="bottomLeft" activeCell="B5" sqref="B5:E5"/>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5" width="9.109375" style="68"/>
    <col min="16" max="16" width="11.109375" style="68" bestFit="1" customWidth="1"/>
    <col min="17" max="16384" width="9.109375" style="68"/>
  </cols>
  <sheetData>
    <row r="1" spans="1:12" ht="20.100000000000001" customHeight="1">
      <c r="A1" s="902" t="s">
        <v>948</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08" t="s">
        <v>62</v>
      </c>
      <c r="B4" s="909"/>
      <c r="C4" s="909"/>
      <c r="D4" s="909"/>
      <c r="E4" s="909"/>
      <c r="F4" s="910"/>
      <c r="G4" s="73"/>
      <c r="H4" s="74"/>
      <c r="I4" s="73"/>
      <c r="J4" s="73"/>
    </row>
    <row r="5" spans="1:12" ht="15">
      <c r="A5" s="75" t="s">
        <v>1205</v>
      </c>
      <c r="B5" s="76"/>
      <c r="C5" s="77"/>
      <c r="D5" s="78"/>
      <c r="E5" s="77"/>
      <c r="F5" s="76"/>
      <c r="G5" s="77"/>
      <c r="H5" s="77"/>
      <c r="I5" s="77"/>
      <c r="J5" s="79"/>
      <c r="L5" s="80"/>
    </row>
    <row r="6" spans="1:12" ht="15">
      <c r="A6" s="84"/>
      <c r="B6" s="82"/>
      <c r="C6" s="82"/>
      <c r="D6" s="78"/>
      <c r="E6" s="77"/>
      <c r="F6" s="76"/>
      <c r="G6" s="77"/>
      <c r="H6" s="77"/>
      <c r="I6" s="79"/>
      <c r="J6" s="79"/>
      <c r="L6" s="80"/>
    </row>
    <row r="7" spans="1:12" ht="15">
      <c r="A7" s="84"/>
      <c r="B7" s="76"/>
      <c r="C7" s="76"/>
      <c r="D7" s="78"/>
      <c r="E7" s="77"/>
      <c r="F7" s="76"/>
      <c r="G7" s="77"/>
      <c r="H7" s="77"/>
      <c r="I7" s="79"/>
      <c r="J7" s="101"/>
    </row>
    <row r="8" spans="1:12" ht="15">
      <c r="A8" s="84"/>
      <c r="B8" s="76"/>
      <c r="C8" s="76"/>
      <c r="D8" s="78"/>
      <c r="E8" s="77"/>
      <c r="F8" s="76"/>
      <c r="G8" s="77"/>
      <c r="H8" s="77"/>
      <c r="I8" s="79"/>
      <c r="J8" s="101"/>
    </row>
    <row r="9" spans="1:12" ht="15">
      <c r="A9" s="84"/>
      <c r="B9" s="76"/>
      <c r="C9" s="76"/>
      <c r="D9" s="78"/>
      <c r="E9" s="77"/>
      <c r="F9" s="76"/>
      <c r="G9" s="77"/>
      <c r="H9" s="77"/>
      <c r="I9" s="79"/>
      <c r="J9" s="101"/>
    </row>
    <row r="10" spans="1:12" ht="15">
      <c r="A10" s="84"/>
      <c r="B10" s="76"/>
      <c r="C10" s="76"/>
      <c r="D10" s="78"/>
      <c r="E10" s="77"/>
      <c r="F10" s="76"/>
      <c r="G10" s="77"/>
      <c r="H10" s="77"/>
      <c r="I10" s="79"/>
      <c r="J10" s="101"/>
    </row>
    <row r="11" spans="1:12" ht="15">
      <c r="A11" s="87"/>
      <c r="B11" s="88"/>
      <c r="C11" s="89"/>
      <c r="D11" s="90"/>
      <c r="E11" s="91"/>
      <c r="F11" s="88"/>
      <c r="G11" s="91"/>
      <c r="H11" s="91"/>
      <c r="I11" s="92"/>
      <c r="J11" s="93"/>
    </row>
    <row r="12" spans="1:12" ht="15">
      <c r="A12" s="905" t="s">
        <v>64</v>
      </c>
      <c r="B12" s="906"/>
      <c r="C12" s="906"/>
      <c r="D12" s="906"/>
      <c r="E12" s="906"/>
      <c r="F12" s="906"/>
      <c r="G12" s="906"/>
      <c r="H12" s="906"/>
      <c r="I12" s="906"/>
      <c r="J12" s="907"/>
    </row>
    <row r="13" spans="1:12" ht="15">
      <c r="A13" s="911" t="s">
        <v>65</v>
      </c>
      <c r="B13" s="912"/>
      <c r="C13" s="912"/>
      <c r="D13" s="912"/>
      <c r="E13" s="912"/>
      <c r="F13" s="913"/>
      <c r="G13" s="73"/>
      <c r="H13" s="74"/>
      <c r="I13" s="74"/>
      <c r="J13" s="73"/>
      <c r="K13" s="94"/>
    </row>
    <row r="14" spans="1:12" ht="15">
      <c r="A14" s="911" t="s">
        <v>66</v>
      </c>
      <c r="B14" s="912"/>
      <c r="C14" s="912"/>
      <c r="D14" s="912"/>
      <c r="E14" s="912"/>
      <c r="F14" s="913"/>
      <c r="G14" s="73"/>
      <c r="H14" s="74"/>
      <c r="I14" s="73"/>
      <c r="J14" s="73"/>
      <c r="L14" s="80"/>
    </row>
    <row r="15" spans="1:12" ht="15">
      <c r="A15" s="911" t="s">
        <v>67</v>
      </c>
      <c r="B15" s="912"/>
      <c r="C15" s="912"/>
      <c r="D15" s="912"/>
      <c r="E15" s="912"/>
      <c r="F15" s="913"/>
      <c r="G15" s="95"/>
      <c r="H15" s="96"/>
      <c r="I15" s="95"/>
      <c r="J15" s="95"/>
      <c r="L15" s="80"/>
    </row>
    <row r="16" spans="1:12" ht="15">
      <c r="A16" s="75" t="s">
        <v>89</v>
      </c>
      <c r="B16" s="118"/>
      <c r="C16" s="99"/>
      <c r="D16" s="100"/>
      <c r="E16" s="100"/>
      <c r="F16" s="82"/>
      <c r="G16" s="92"/>
      <c r="H16" s="100"/>
      <c r="I16" s="92"/>
      <c r="J16" s="92"/>
      <c r="K16" s="94"/>
      <c r="L16" s="80"/>
    </row>
    <row r="17" spans="1:12" ht="15">
      <c r="A17" s="84"/>
      <c r="B17" s="82"/>
      <c r="C17" s="82"/>
      <c r="D17" s="78"/>
      <c r="E17" s="77"/>
      <c r="F17" s="76"/>
      <c r="G17" s="77"/>
      <c r="H17" s="77"/>
      <c r="I17" s="79"/>
      <c r="J17" s="79"/>
      <c r="K17" s="94"/>
      <c r="L17" s="80"/>
    </row>
    <row r="18" spans="1:12" ht="15">
      <c r="A18" s="84" t="s">
        <v>1206</v>
      </c>
      <c r="B18" s="76"/>
      <c r="C18" s="76"/>
      <c r="D18" s="78"/>
      <c r="E18" s="77"/>
      <c r="F18" s="76"/>
      <c r="G18" s="77"/>
      <c r="H18" s="77"/>
      <c r="I18" s="79"/>
      <c r="J18" s="79"/>
      <c r="K18" s="94"/>
      <c r="L18" s="80"/>
    </row>
    <row r="19" spans="1:12" ht="15">
      <c r="A19" s="87" t="s">
        <v>1207</v>
      </c>
      <c r="B19" s="76">
        <v>25.75</v>
      </c>
      <c r="C19" s="76">
        <f>0.66/2</f>
        <v>0.33</v>
      </c>
      <c r="D19" s="78"/>
      <c r="E19" s="77"/>
      <c r="F19" s="76">
        <f>PRODUCT(B19:E19)</f>
        <v>8.4975000000000005</v>
      </c>
      <c r="G19" s="79">
        <f>F19</f>
        <v>8.4975000000000005</v>
      </c>
      <c r="H19" s="77"/>
      <c r="I19" s="79">
        <f>G19*1.1</f>
        <v>9.3472500000000007</v>
      </c>
      <c r="J19" s="128">
        <f>I19</f>
        <v>9.3472500000000007</v>
      </c>
      <c r="K19" s="94"/>
      <c r="L19" s="80"/>
    </row>
    <row r="20" spans="1:12" ht="15">
      <c r="A20" s="87" t="s">
        <v>597</v>
      </c>
      <c r="B20" s="76">
        <v>12.06</v>
      </c>
      <c r="C20" s="76">
        <f>(0.66+1.95)/2</f>
        <v>1.3049999999999999</v>
      </c>
      <c r="D20" s="78"/>
      <c r="E20" s="77"/>
      <c r="F20" s="76">
        <f t="shared" ref="F20:F22" si="0">PRODUCT(B20:E20)</f>
        <v>15.738300000000001</v>
      </c>
      <c r="G20" s="79">
        <f t="shared" ref="G20:G22" si="1">F20</f>
        <v>15.738300000000001</v>
      </c>
      <c r="H20" s="77"/>
      <c r="I20" s="79">
        <f t="shared" ref="I20:I22" si="2">G20*1.1</f>
        <v>17.312130000000003</v>
      </c>
      <c r="J20" s="128">
        <f t="shared" ref="J20:J22" si="3">I20</f>
        <v>17.312130000000003</v>
      </c>
      <c r="K20" s="94"/>
      <c r="L20" s="80"/>
    </row>
    <row r="21" spans="1:12" ht="15">
      <c r="A21" s="87" t="s">
        <v>1208</v>
      </c>
      <c r="B21" s="76">
        <v>23.07</v>
      </c>
      <c r="C21" s="76">
        <f>(1.95+3.61)/2</f>
        <v>2.78</v>
      </c>
      <c r="D21" s="78"/>
      <c r="E21" s="77"/>
      <c r="F21" s="76">
        <f t="shared" si="0"/>
        <v>64.134599999999992</v>
      </c>
      <c r="G21" s="79">
        <f t="shared" si="1"/>
        <v>64.134599999999992</v>
      </c>
      <c r="H21" s="77"/>
      <c r="I21" s="79">
        <f t="shared" si="2"/>
        <v>70.548059999999992</v>
      </c>
      <c r="J21" s="128">
        <f t="shared" si="3"/>
        <v>70.548059999999992</v>
      </c>
      <c r="K21" s="94"/>
      <c r="L21" s="80"/>
    </row>
    <row r="22" spans="1:12" ht="15">
      <c r="A22" s="87" t="s">
        <v>1209</v>
      </c>
      <c r="B22" s="76">
        <v>32.76</v>
      </c>
      <c r="C22" s="76">
        <f>3.61/2</f>
        <v>1.8049999999999999</v>
      </c>
      <c r="D22" s="78"/>
      <c r="E22" s="77"/>
      <c r="F22" s="76">
        <f t="shared" si="0"/>
        <v>59.131799999999991</v>
      </c>
      <c r="G22" s="79">
        <f t="shared" si="1"/>
        <v>59.131799999999991</v>
      </c>
      <c r="H22" s="77"/>
      <c r="I22" s="79">
        <f t="shared" si="2"/>
        <v>65.044979999999995</v>
      </c>
      <c r="J22" s="128">
        <f t="shared" si="3"/>
        <v>65.044979999999995</v>
      </c>
      <c r="K22" s="94"/>
      <c r="L22" s="80"/>
    </row>
    <row r="23" spans="1:12" ht="15">
      <c r="A23" s="75"/>
      <c r="B23" s="76"/>
      <c r="C23" s="76"/>
      <c r="D23" s="78"/>
      <c r="E23" s="77"/>
      <c r="F23" s="76"/>
      <c r="G23" s="77"/>
      <c r="H23" s="77"/>
      <c r="I23" s="79"/>
      <c r="J23" s="79"/>
      <c r="K23" s="94"/>
      <c r="L23" s="80"/>
    </row>
    <row r="24" spans="1:12" ht="15">
      <c r="A24" s="84" t="s">
        <v>1210</v>
      </c>
      <c r="B24" s="76"/>
      <c r="C24" s="76"/>
      <c r="D24" s="78"/>
      <c r="E24" s="77"/>
      <c r="F24" s="76"/>
      <c r="G24" s="77"/>
      <c r="H24" s="77"/>
      <c r="I24" s="79"/>
      <c r="J24" s="79"/>
      <c r="K24" s="94"/>
      <c r="L24" s="80"/>
    </row>
    <row r="25" spans="1:12" ht="15">
      <c r="A25" s="87" t="s">
        <v>1207</v>
      </c>
      <c r="B25" s="76">
        <v>25.38</v>
      </c>
      <c r="C25" s="76">
        <f>2.98/2</f>
        <v>1.49</v>
      </c>
      <c r="D25" s="78"/>
      <c r="E25" s="77"/>
      <c r="F25" s="76">
        <f t="shared" ref="F25:F28" si="4">PRODUCT(B25:E25)</f>
        <v>37.816199999999995</v>
      </c>
      <c r="G25" s="79">
        <f t="shared" ref="G25:G28" si="5">F25</f>
        <v>37.816199999999995</v>
      </c>
      <c r="H25" s="77"/>
      <c r="I25" s="79">
        <f t="shared" ref="I25:I28" si="6">G25*1.1</f>
        <v>41.597819999999999</v>
      </c>
      <c r="J25" s="128">
        <f t="shared" ref="J25:J28" si="7">I25</f>
        <v>41.597819999999999</v>
      </c>
      <c r="K25" s="94"/>
      <c r="L25" s="80"/>
    </row>
    <row r="26" spans="1:12" ht="15">
      <c r="A26" s="87" t="s">
        <v>597</v>
      </c>
      <c r="B26" s="76">
        <v>12</v>
      </c>
      <c r="C26" s="76">
        <f>(2.98+0.096)/2</f>
        <v>1.538</v>
      </c>
      <c r="D26" s="78"/>
      <c r="E26" s="77"/>
      <c r="F26" s="76">
        <f t="shared" si="4"/>
        <v>18.456</v>
      </c>
      <c r="G26" s="79">
        <f t="shared" si="5"/>
        <v>18.456</v>
      </c>
      <c r="H26" s="77"/>
      <c r="I26" s="79">
        <f t="shared" si="6"/>
        <v>20.301600000000001</v>
      </c>
      <c r="J26" s="128">
        <f t="shared" si="7"/>
        <v>20.301600000000001</v>
      </c>
      <c r="K26" s="94"/>
      <c r="L26" s="80"/>
    </row>
    <row r="27" spans="1:12" ht="15">
      <c r="A27" s="87" t="s">
        <v>1208</v>
      </c>
      <c r="B27" s="76">
        <v>18.48</v>
      </c>
      <c r="C27" s="76">
        <f>(0.096+7.34)/2</f>
        <v>3.718</v>
      </c>
      <c r="D27" s="78"/>
      <c r="E27" s="77"/>
      <c r="F27" s="76">
        <f t="shared" si="4"/>
        <v>68.708640000000003</v>
      </c>
      <c r="G27" s="79">
        <f t="shared" si="5"/>
        <v>68.708640000000003</v>
      </c>
      <c r="H27" s="77"/>
      <c r="I27" s="79">
        <f t="shared" si="6"/>
        <v>75.579504000000014</v>
      </c>
      <c r="J27" s="128">
        <f t="shared" si="7"/>
        <v>75.579504000000014</v>
      </c>
      <c r="K27" s="94"/>
      <c r="L27" s="80"/>
    </row>
    <row r="28" spans="1:12" ht="15">
      <c r="A28" s="87" t="s">
        <v>1209</v>
      </c>
      <c r="B28" s="76">
        <v>22.45</v>
      </c>
      <c r="C28" s="76">
        <f>7.34/2</f>
        <v>3.67</v>
      </c>
      <c r="D28" s="78"/>
      <c r="E28" s="77"/>
      <c r="F28" s="76">
        <f t="shared" si="4"/>
        <v>82.391499999999994</v>
      </c>
      <c r="G28" s="79">
        <f t="shared" si="5"/>
        <v>82.391499999999994</v>
      </c>
      <c r="H28" s="77"/>
      <c r="I28" s="79">
        <f t="shared" si="6"/>
        <v>90.630650000000003</v>
      </c>
      <c r="J28" s="128">
        <f t="shared" si="7"/>
        <v>90.630650000000003</v>
      </c>
      <c r="K28" s="94"/>
      <c r="L28" s="80"/>
    </row>
    <row r="29" spans="1:12" ht="15">
      <c r="A29" s="75"/>
      <c r="B29" s="76"/>
      <c r="C29" s="76"/>
      <c r="D29" s="78"/>
      <c r="E29" s="77"/>
      <c r="F29" s="76"/>
      <c r="G29" s="77"/>
      <c r="H29" s="77"/>
      <c r="I29" s="79"/>
      <c r="J29" s="79"/>
      <c r="K29" s="94"/>
      <c r="L29" s="80"/>
    </row>
    <row r="30" spans="1:12" ht="15">
      <c r="A30" s="84" t="s">
        <v>1211</v>
      </c>
      <c r="B30" s="76"/>
      <c r="C30" s="76"/>
      <c r="D30" s="78"/>
      <c r="E30" s="77"/>
      <c r="F30" s="76"/>
      <c r="G30" s="77"/>
      <c r="H30" s="77"/>
      <c r="I30" s="79"/>
      <c r="J30" s="79"/>
      <c r="K30" s="94"/>
      <c r="L30" s="80"/>
    </row>
    <row r="31" spans="1:12" ht="15">
      <c r="A31" s="87" t="s">
        <v>1207</v>
      </c>
      <c r="B31" s="76">
        <v>25.77</v>
      </c>
      <c r="C31" s="76">
        <f>0.114/2</f>
        <v>5.7000000000000002E-2</v>
      </c>
      <c r="D31" s="78"/>
      <c r="E31" s="77"/>
      <c r="F31" s="76">
        <f t="shared" ref="F31:F32" si="8">PRODUCT(B31:E31)</f>
        <v>1.46889</v>
      </c>
      <c r="G31" s="79">
        <f t="shared" ref="G31:G32" si="9">F31</f>
        <v>1.46889</v>
      </c>
      <c r="H31" s="77"/>
      <c r="I31" s="79">
        <f t="shared" ref="I31:I32" si="10">G31*1.1</f>
        <v>1.6157790000000001</v>
      </c>
      <c r="J31" s="128">
        <f t="shared" ref="J31:J32" si="11">I31</f>
        <v>1.6157790000000001</v>
      </c>
      <c r="K31" s="94"/>
      <c r="L31" s="80"/>
    </row>
    <row r="32" spans="1:12" ht="15">
      <c r="A32" s="87" t="s">
        <v>597</v>
      </c>
      <c r="B32" s="76">
        <v>12.02</v>
      </c>
      <c r="C32" s="76">
        <f>(0.114+0.044)/2</f>
        <v>7.9000000000000001E-2</v>
      </c>
      <c r="D32" s="78"/>
      <c r="E32" s="77"/>
      <c r="F32" s="76">
        <f t="shared" si="8"/>
        <v>0.94957999999999998</v>
      </c>
      <c r="G32" s="79">
        <f t="shared" si="9"/>
        <v>0.94957999999999998</v>
      </c>
      <c r="H32" s="77"/>
      <c r="I32" s="79">
        <f t="shared" si="10"/>
        <v>1.044538</v>
      </c>
      <c r="J32" s="128">
        <f t="shared" si="11"/>
        <v>1.044538</v>
      </c>
      <c r="K32" s="94"/>
      <c r="L32" s="80"/>
    </row>
    <row r="33" spans="1:12" ht="15">
      <c r="A33" s="75"/>
      <c r="B33" s="76"/>
      <c r="C33" s="76"/>
      <c r="D33" s="78"/>
      <c r="E33" s="77"/>
      <c r="F33" s="76"/>
      <c r="G33" s="77"/>
      <c r="H33" s="77"/>
      <c r="I33" s="79"/>
      <c r="J33" s="103">
        <f>SUM(J19:J32)</f>
        <v>393.022311</v>
      </c>
      <c r="K33" s="94"/>
      <c r="L33" s="80"/>
    </row>
    <row r="34" spans="1:12" ht="15">
      <c r="A34" s="84"/>
      <c r="B34" s="76"/>
      <c r="C34" s="76"/>
      <c r="D34" s="78"/>
      <c r="E34" s="77"/>
      <c r="F34" s="76"/>
      <c r="G34" s="77"/>
      <c r="H34" s="77"/>
      <c r="I34" s="79"/>
      <c r="J34" s="79"/>
    </row>
    <row r="35" spans="1:12" ht="15">
      <c r="A35" s="911" t="s">
        <v>69</v>
      </c>
      <c r="B35" s="912"/>
      <c r="C35" s="912"/>
      <c r="D35" s="912"/>
      <c r="E35" s="912"/>
      <c r="F35" s="913"/>
      <c r="G35" s="97"/>
      <c r="H35" s="74"/>
      <c r="I35" s="73"/>
      <c r="J35" s="73"/>
      <c r="K35" s="80"/>
      <c r="L35" s="80"/>
    </row>
    <row r="36" spans="1:12" ht="15">
      <c r="A36" s="911" t="s">
        <v>70</v>
      </c>
      <c r="B36" s="912"/>
      <c r="C36" s="912"/>
      <c r="D36" s="912"/>
      <c r="E36" s="912"/>
      <c r="F36" s="913"/>
      <c r="G36" s="97"/>
      <c r="H36" s="74"/>
      <c r="I36" s="73"/>
      <c r="J36" s="73"/>
      <c r="K36" s="80"/>
      <c r="L36" s="80"/>
    </row>
    <row r="37" spans="1:12" ht="15">
      <c r="A37" s="911" t="s">
        <v>71</v>
      </c>
      <c r="B37" s="912"/>
      <c r="C37" s="912"/>
      <c r="D37" s="912"/>
      <c r="E37" s="912"/>
      <c r="F37" s="913"/>
      <c r="G37" s="95"/>
      <c r="H37" s="96"/>
      <c r="I37" s="95"/>
      <c r="J37" s="95"/>
      <c r="K37" s="80"/>
      <c r="L37" s="80"/>
    </row>
    <row r="38" spans="1:12" ht="15">
      <c r="A38" s="98" t="s">
        <v>475</v>
      </c>
      <c r="B38" s="82"/>
      <c r="C38" s="99"/>
      <c r="D38" s="99"/>
      <c r="E38" s="100"/>
      <c r="F38" s="82"/>
      <c r="G38" s="100"/>
      <c r="H38" s="100"/>
      <c r="I38" s="79"/>
      <c r="J38" s="101"/>
      <c r="K38" s="80"/>
      <c r="L38" s="80"/>
    </row>
    <row r="39" spans="1:12" ht="15">
      <c r="A39" s="87"/>
      <c r="B39" s="88"/>
      <c r="C39" s="90"/>
      <c r="D39" s="90"/>
      <c r="E39" s="91"/>
      <c r="F39" s="76"/>
      <c r="G39" s="91"/>
      <c r="H39" s="91"/>
      <c r="I39" s="79"/>
      <c r="J39" s="101"/>
      <c r="K39" s="80"/>
      <c r="L39" s="80"/>
    </row>
    <row r="40" spans="1:12" ht="15">
      <c r="A40" s="87" t="s">
        <v>1207</v>
      </c>
      <c r="B40" s="88">
        <v>28.15</v>
      </c>
      <c r="C40" s="90">
        <f>14.58/2</f>
        <v>7.29</v>
      </c>
      <c r="D40" s="90"/>
      <c r="E40" s="91"/>
      <c r="F40" s="76">
        <f>B40*C40</f>
        <v>205.21349999999998</v>
      </c>
      <c r="G40" s="102">
        <f>F40</f>
        <v>205.21349999999998</v>
      </c>
      <c r="H40" s="77" t="s">
        <v>63</v>
      </c>
      <c r="I40" s="79">
        <f>G40*1.1</f>
        <v>225.73484999999999</v>
      </c>
      <c r="J40" s="128">
        <f>I40</f>
        <v>225.73484999999999</v>
      </c>
      <c r="K40" s="80"/>
      <c r="L40" s="80"/>
    </row>
    <row r="41" spans="1:12" ht="15">
      <c r="A41" s="87" t="s">
        <v>597</v>
      </c>
      <c r="B41" s="88">
        <v>12.03</v>
      </c>
      <c r="C41" s="90">
        <f>(14.58+16.45)/2</f>
        <v>15.515000000000001</v>
      </c>
      <c r="D41" s="90"/>
      <c r="E41" s="91"/>
      <c r="F41" s="76">
        <f t="shared" ref="F41:F43" si="12">B41*C41</f>
        <v>186.64545000000001</v>
      </c>
      <c r="G41" s="102">
        <f t="shared" ref="G41:G43" si="13">F41</f>
        <v>186.64545000000001</v>
      </c>
      <c r="H41" s="77" t="s">
        <v>63</v>
      </c>
      <c r="I41" s="79">
        <f t="shared" ref="I41:I43" si="14">G41*1.1</f>
        <v>205.30999500000001</v>
      </c>
      <c r="J41" s="128">
        <f t="shared" ref="J41:J43" si="15">I41</f>
        <v>205.30999500000001</v>
      </c>
      <c r="K41" s="80"/>
      <c r="L41" s="80"/>
    </row>
    <row r="42" spans="1:12" ht="15">
      <c r="A42" s="87" t="s">
        <v>1208</v>
      </c>
      <c r="B42" s="88">
        <v>18</v>
      </c>
      <c r="C42" s="90">
        <f>(16.45+19.35)/2</f>
        <v>17.899999999999999</v>
      </c>
      <c r="D42" s="90"/>
      <c r="E42" s="91"/>
      <c r="F42" s="76">
        <f t="shared" si="12"/>
        <v>322.2</v>
      </c>
      <c r="G42" s="102">
        <f t="shared" si="13"/>
        <v>322.2</v>
      </c>
      <c r="H42" s="77" t="s">
        <v>63</v>
      </c>
      <c r="I42" s="79">
        <f t="shared" si="14"/>
        <v>354.42</v>
      </c>
      <c r="J42" s="128">
        <f t="shared" si="15"/>
        <v>354.42</v>
      </c>
      <c r="K42" s="80"/>
      <c r="L42" s="80"/>
    </row>
    <row r="43" spans="1:12" ht="15">
      <c r="A43" s="87" t="s">
        <v>1209</v>
      </c>
      <c r="B43" s="88">
        <v>23.15</v>
      </c>
      <c r="C43" s="90">
        <f>19.35/2</f>
        <v>9.6750000000000007</v>
      </c>
      <c r="D43" s="90"/>
      <c r="E43" s="91"/>
      <c r="F43" s="76">
        <f t="shared" si="12"/>
        <v>223.97624999999999</v>
      </c>
      <c r="G43" s="102">
        <f t="shared" si="13"/>
        <v>223.97624999999999</v>
      </c>
      <c r="H43" s="77" t="s">
        <v>63</v>
      </c>
      <c r="I43" s="79">
        <f t="shared" si="14"/>
        <v>246.373875</v>
      </c>
      <c r="J43" s="128">
        <f t="shared" si="15"/>
        <v>246.373875</v>
      </c>
      <c r="K43" s="80"/>
      <c r="L43" s="80"/>
    </row>
    <row r="44" spans="1:12" ht="15">
      <c r="A44" s="87"/>
      <c r="B44" s="88"/>
      <c r="C44" s="90"/>
      <c r="D44" s="90"/>
      <c r="E44" s="91"/>
      <c r="F44" s="88"/>
      <c r="G44" s="91"/>
      <c r="H44" s="91"/>
      <c r="I44" s="79"/>
      <c r="J44" s="103">
        <f>SUM(J40:J43)</f>
        <v>1031.83872</v>
      </c>
      <c r="K44" s="80"/>
      <c r="L44" s="80"/>
    </row>
    <row r="45" spans="1:12" ht="15">
      <c r="A45" s="87"/>
      <c r="B45" s="88"/>
      <c r="C45" s="90"/>
      <c r="D45" s="90"/>
      <c r="E45" s="91"/>
      <c r="F45" s="88"/>
      <c r="G45" s="91"/>
      <c r="H45" s="91"/>
      <c r="I45" s="79"/>
      <c r="J45" s="101"/>
      <c r="K45" s="80"/>
      <c r="L45" s="80"/>
    </row>
    <row r="46" spans="1:12" ht="15">
      <c r="A46" s="914" t="s">
        <v>72</v>
      </c>
      <c r="B46" s="915"/>
      <c r="C46" s="915"/>
      <c r="D46" s="915"/>
      <c r="E46" s="915"/>
      <c r="F46" s="915"/>
      <c r="G46" s="915"/>
      <c r="H46" s="915"/>
      <c r="I46" s="915"/>
      <c r="J46" s="916"/>
      <c r="K46" s="80"/>
      <c r="L46" s="80"/>
    </row>
    <row r="47" spans="1:12" ht="15">
      <c r="A47" s="98" t="s">
        <v>475</v>
      </c>
      <c r="B47" s="76"/>
      <c r="C47" s="78"/>
      <c r="D47" s="78"/>
      <c r="E47" s="77"/>
      <c r="F47" s="76"/>
      <c r="G47" s="77"/>
      <c r="H47" s="77"/>
      <c r="I47" s="79"/>
      <c r="J47" s="79"/>
      <c r="K47" s="80"/>
      <c r="L47" s="80"/>
    </row>
    <row r="48" spans="1:12" ht="15">
      <c r="A48" s="84"/>
      <c r="B48" s="76"/>
      <c r="C48" s="78"/>
      <c r="D48" s="78"/>
      <c r="E48" s="77"/>
      <c r="F48" s="76"/>
      <c r="G48" s="77"/>
      <c r="H48" s="77"/>
      <c r="I48" s="79"/>
      <c r="J48" s="79"/>
      <c r="K48" s="80"/>
      <c r="L48" s="80"/>
    </row>
    <row r="49" spans="1:12" ht="15">
      <c r="A49" s="87" t="s">
        <v>1207</v>
      </c>
      <c r="B49" s="88">
        <v>28.15</v>
      </c>
      <c r="C49" s="78">
        <f>5.3-0.79</f>
        <v>4.51</v>
      </c>
      <c r="D49" s="78"/>
      <c r="E49" s="77"/>
      <c r="F49" s="76">
        <f>B49*C49</f>
        <v>126.95649999999999</v>
      </c>
      <c r="G49" s="102">
        <f>F49</f>
        <v>126.95649999999999</v>
      </c>
      <c r="H49" s="77" t="s">
        <v>63</v>
      </c>
      <c r="I49" s="79">
        <f>G49*1.1</f>
        <v>139.65215000000001</v>
      </c>
      <c r="J49" s="128">
        <f>I49</f>
        <v>139.65215000000001</v>
      </c>
      <c r="K49" s="80"/>
      <c r="L49" s="80"/>
    </row>
    <row r="50" spans="1:12" ht="15">
      <c r="A50" s="87" t="s">
        <v>597</v>
      </c>
      <c r="B50" s="88">
        <v>12.03</v>
      </c>
      <c r="C50" s="78">
        <f>((5.3+5.1)/2)-0.69</f>
        <v>4.51</v>
      </c>
      <c r="D50" s="78"/>
      <c r="E50" s="77"/>
      <c r="F50" s="76">
        <f t="shared" ref="F50:F52" si="16">B50*C50</f>
        <v>54.255299999999991</v>
      </c>
      <c r="G50" s="102">
        <f t="shared" ref="G50:G52" si="17">F50</f>
        <v>54.255299999999991</v>
      </c>
      <c r="H50" s="77" t="s">
        <v>63</v>
      </c>
      <c r="I50" s="79">
        <f t="shared" ref="I50:I52" si="18">G50*1.1</f>
        <v>59.680829999999993</v>
      </c>
      <c r="J50" s="128">
        <f t="shared" ref="J50:J52" si="19">I50</f>
        <v>59.680829999999993</v>
      </c>
      <c r="K50" s="80"/>
      <c r="L50" s="80"/>
    </row>
    <row r="51" spans="1:12" ht="15">
      <c r="A51" s="87" t="s">
        <v>1208</v>
      </c>
      <c r="B51" s="88">
        <v>18</v>
      </c>
      <c r="C51" s="78">
        <f>((6.75+5.1)/2)-0.6</f>
        <v>5.3250000000000002</v>
      </c>
      <c r="D51" s="78"/>
      <c r="E51" s="77"/>
      <c r="F51" s="76">
        <f t="shared" si="16"/>
        <v>95.850000000000009</v>
      </c>
      <c r="G51" s="102">
        <f t="shared" si="17"/>
        <v>95.850000000000009</v>
      </c>
      <c r="H51" s="77" t="s">
        <v>63</v>
      </c>
      <c r="I51" s="79">
        <f t="shared" si="18"/>
        <v>105.43500000000002</v>
      </c>
      <c r="J51" s="128">
        <f t="shared" si="19"/>
        <v>105.43500000000002</v>
      </c>
      <c r="K51" s="80"/>
      <c r="L51" s="80"/>
    </row>
    <row r="52" spans="1:12" ht="15">
      <c r="A52" s="87" t="s">
        <v>1209</v>
      </c>
      <c r="B52" s="88">
        <v>23.15</v>
      </c>
      <c r="C52" s="78">
        <f>6.75-0.6</f>
        <v>6.15</v>
      </c>
      <c r="D52" s="78"/>
      <c r="E52" s="77"/>
      <c r="F52" s="76">
        <f t="shared" si="16"/>
        <v>142.3725</v>
      </c>
      <c r="G52" s="102">
        <f t="shared" si="17"/>
        <v>142.3725</v>
      </c>
      <c r="H52" s="77" t="s">
        <v>63</v>
      </c>
      <c r="I52" s="79">
        <f t="shared" si="18"/>
        <v>156.60975000000002</v>
      </c>
      <c r="J52" s="128">
        <f t="shared" si="19"/>
        <v>156.60975000000002</v>
      </c>
      <c r="K52" s="80"/>
      <c r="L52" s="80"/>
    </row>
    <row r="53" spans="1:12" ht="15">
      <c r="A53" s="84"/>
      <c r="B53" s="76"/>
      <c r="C53" s="78"/>
      <c r="D53" s="78"/>
      <c r="E53" s="77"/>
      <c r="F53" s="88"/>
      <c r="G53" s="91"/>
      <c r="H53" s="91"/>
      <c r="I53" s="79"/>
      <c r="J53" s="103">
        <f>SUM(J49:J52)</f>
        <v>461.37773000000004</v>
      </c>
      <c r="K53" s="80"/>
      <c r="L53" s="80"/>
    </row>
    <row r="54" spans="1:12" ht="15">
      <c r="A54" s="394"/>
      <c r="B54" s="110"/>
      <c r="C54" s="621"/>
      <c r="D54" s="621"/>
      <c r="E54" s="129"/>
      <c r="F54" s="110"/>
      <c r="G54" s="129"/>
      <c r="H54" s="129"/>
      <c r="I54" s="395"/>
      <c r="J54" s="395"/>
      <c r="K54" s="80"/>
      <c r="L54" s="80"/>
    </row>
    <row r="55" spans="1:12" ht="15" customHeight="1">
      <c r="A55" s="914" t="s">
        <v>1212</v>
      </c>
      <c r="B55" s="915"/>
      <c r="C55" s="915"/>
      <c r="D55" s="915"/>
      <c r="E55" s="915"/>
      <c r="F55" s="915"/>
      <c r="G55" s="915"/>
      <c r="H55" s="915"/>
      <c r="I55" s="915"/>
      <c r="J55" s="916"/>
      <c r="K55" s="80"/>
      <c r="L55" s="80"/>
    </row>
    <row r="56" spans="1:12" ht="15">
      <c r="A56" s="84"/>
      <c r="B56" s="76"/>
      <c r="C56" s="78"/>
      <c r="D56" s="78"/>
      <c r="E56" s="77"/>
      <c r="F56" s="76"/>
      <c r="G56" s="77"/>
      <c r="H56" s="77"/>
      <c r="I56" s="79"/>
      <c r="J56" s="79"/>
      <c r="K56" s="80"/>
      <c r="L56" s="80"/>
    </row>
    <row r="57" spans="1:12" ht="15">
      <c r="A57" s="84" t="s">
        <v>212</v>
      </c>
      <c r="B57" s="76">
        <v>81.3</v>
      </c>
      <c r="C57" s="78">
        <v>8.5</v>
      </c>
      <c r="D57" s="78"/>
      <c r="E57" s="77"/>
      <c r="F57" s="76">
        <f>PRODUCT(B57:E57)</f>
        <v>691.05</v>
      </c>
      <c r="G57" s="79">
        <f>F57</f>
        <v>691.05</v>
      </c>
      <c r="H57" s="77" t="s">
        <v>63</v>
      </c>
      <c r="I57" s="79">
        <f>G57*1.1</f>
        <v>760.15499999999997</v>
      </c>
      <c r="J57" s="103">
        <f>I57</f>
        <v>760.15499999999997</v>
      </c>
      <c r="K57" s="80"/>
      <c r="L57" s="80"/>
    </row>
    <row r="58" spans="1:12" ht="15">
      <c r="A58" s="84" t="s">
        <v>501</v>
      </c>
      <c r="B58" s="76">
        <v>81.3</v>
      </c>
      <c r="C58" s="78">
        <f>(0.3+0.6)/2</f>
        <v>0.44999999999999996</v>
      </c>
      <c r="D58" s="78">
        <v>3.5</v>
      </c>
      <c r="E58" s="77"/>
      <c r="F58" s="76">
        <f>PRODUCT(B58:E58)</f>
        <v>128.04749999999999</v>
      </c>
      <c r="G58" s="79">
        <f>F58</f>
        <v>128.04749999999999</v>
      </c>
      <c r="H58" s="77" t="s">
        <v>63</v>
      </c>
      <c r="I58" s="79">
        <f>G58*1.1</f>
        <v>140.85225</v>
      </c>
      <c r="J58" s="103">
        <f>I58</f>
        <v>140.85225</v>
      </c>
      <c r="K58" s="80"/>
      <c r="L58" s="80"/>
    </row>
    <row r="59" spans="1:12" ht="15">
      <c r="A59" s="84"/>
      <c r="B59" s="76"/>
      <c r="C59" s="78"/>
      <c r="D59" s="78"/>
      <c r="E59" s="77"/>
      <c r="F59" s="422"/>
      <c r="G59" s="79"/>
      <c r="H59" s="77"/>
      <c r="I59" s="79"/>
      <c r="J59" s="101"/>
      <c r="K59" s="80"/>
      <c r="L59" s="80"/>
    </row>
    <row r="60" spans="1:12" ht="15">
      <c r="A60" s="84" t="s">
        <v>832</v>
      </c>
      <c r="B60" s="76">
        <v>81.3</v>
      </c>
      <c r="C60" s="78">
        <v>10.7</v>
      </c>
      <c r="D60" s="78"/>
      <c r="E60" s="77"/>
      <c r="F60" s="76">
        <f t="shared" ref="F60" si="20">PRODUCT(B60:E60)</f>
        <v>869.91</v>
      </c>
      <c r="G60" s="79">
        <f t="shared" ref="G60" si="21">F60</f>
        <v>869.91</v>
      </c>
      <c r="H60" s="77" t="s">
        <v>487</v>
      </c>
      <c r="I60" s="79">
        <f t="shared" ref="I60" si="22">G60*1.1</f>
        <v>956.90100000000007</v>
      </c>
      <c r="J60" s="103">
        <f t="shared" ref="J60" si="23">I60</f>
        <v>956.90100000000007</v>
      </c>
      <c r="K60" s="80"/>
      <c r="L60" s="80"/>
    </row>
    <row r="61" spans="1:12" ht="15">
      <c r="A61" s="84"/>
      <c r="B61" s="76"/>
      <c r="C61" s="78"/>
      <c r="D61" s="78"/>
      <c r="E61" s="77"/>
      <c r="F61" s="76"/>
      <c r="G61" s="77"/>
      <c r="H61" s="77"/>
      <c r="I61" s="79"/>
      <c r="J61" s="79"/>
      <c r="K61" s="80"/>
      <c r="L61" s="80"/>
    </row>
    <row r="62" spans="1:12" ht="15">
      <c r="A62" s="75"/>
      <c r="B62" s="82"/>
      <c r="C62" s="99"/>
      <c r="D62" s="99"/>
      <c r="E62" s="100"/>
      <c r="F62" s="82"/>
      <c r="G62" s="100"/>
      <c r="H62" s="100"/>
      <c r="I62" s="79"/>
      <c r="J62" s="79"/>
    </row>
    <row r="63" spans="1:12" ht="15">
      <c r="A63" s="899"/>
      <c r="B63" s="900"/>
      <c r="C63" s="900"/>
      <c r="D63" s="900"/>
      <c r="E63" s="900"/>
      <c r="F63" s="900"/>
      <c r="G63" s="900"/>
      <c r="H63" s="900"/>
      <c r="I63" s="900"/>
      <c r="J63" s="901"/>
      <c r="L63" s="80"/>
    </row>
    <row r="64" spans="1:12" ht="15">
      <c r="A64" s="917" t="s">
        <v>73</v>
      </c>
      <c r="B64" s="918"/>
      <c r="C64" s="918"/>
      <c r="D64" s="918"/>
      <c r="E64" s="918"/>
      <c r="F64" s="918"/>
      <c r="G64" s="918"/>
      <c r="H64" s="918"/>
      <c r="I64" s="918"/>
      <c r="J64" s="919"/>
      <c r="L64" s="80"/>
    </row>
    <row r="65" spans="1:12" ht="15">
      <c r="A65" s="920" t="s">
        <v>74</v>
      </c>
      <c r="B65" s="921"/>
      <c r="C65" s="921"/>
      <c r="D65" s="921"/>
      <c r="E65" s="921"/>
      <c r="F65" s="922"/>
      <c r="G65" s="73"/>
      <c r="H65" s="74"/>
      <c r="I65" s="73"/>
      <c r="J65" s="73"/>
    </row>
    <row r="66" spans="1:12" ht="15">
      <c r="A66" s="75"/>
      <c r="B66" s="82"/>
      <c r="C66" s="99"/>
      <c r="D66" s="104"/>
      <c r="E66" s="105"/>
      <c r="F66" s="82"/>
      <c r="G66" s="106"/>
      <c r="H66" s="100"/>
      <c r="I66" s="79"/>
      <c r="J66" s="101"/>
      <c r="L66" s="107"/>
    </row>
    <row r="67" spans="1:12" s="71" customFormat="1" ht="30" customHeight="1">
      <c r="A67" s="87"/>
      <c r="B67" s="108"/>
      <c r="C67" s="109"/>
      <c r="D67" s="104"/>
      <c r="E67" s="105"/>
      <c r="F67" s="110"/>
      <c r="G67" s="111"/>
      <c r="H67" s="77"/>
      <c r="I67" s="112"/>
      <c r="J67" s="112"/>
    </row>
    <row r="68" spans="1:12" ht="15">
      <c r="A68" s="920" t="s">
        <v>75</v>
      </c>
      <c r="B68" s="921"/>
      <c r="C68" s="921"/>
      <c r="D68" s="921"/>
      <c r="E68" s="921"/>
      <c r="F68" s="922"/>
      <c r="G68" s="73"/>
      <c r="H68" s="74"/>
      <c r="I68" s="73"/>
      <c r="J68" s="73"/>
    </row>
    <row r="69" spans="1:12" ht="15">
      <c r="A69" s="622"/>
      <c r="B69" s="623"/>
      <c r="C69" s="624"/>
      <c r="D69" s="99"/>
      <c r="E69" s="100"/>
      <c r="F69" s="82"/>
      <c r="G69" s="100"/>
      <c r="H69" s="100"/>
      <c r="I69" s="92"/>
      <c r="J69" s="93"/>
      <c r="L69" s="107"/>
    </row>
    <row r="70" spans="1:12" ht="30">
      <c r="A70" s="114"/>
      <c r="B70" s="115" t="s">
        <v>78</v>
      </c>
      <c r="C70" s="115" t="s">
        <v>55</v>
      </c>
      <c r="D70" s="115" t="s">
        <v>1</v>
      </c>
      <c r="E70" s="116" t="s">
        <v>79</v>
      </c>
      <c r="F70" s="115" t="s">
        <v>80</v>
      </c>
      <c r="G70" s="115"/>
      <c r="H70" s="115"/>
      <c r="I70" s="115"/>
      <c r="J70" s="115"/>
      <c r="L70" s="107"/>
    </row>
    <row r="71" spans="1:12" ht="15">
      <c r="A71" s="920" t="s">
        <v>81</v>
      </c>
      <c r="B71" s="921"/>
      <c r="C71" s="921"/>
      <c r="D71" s="921"/>
      <c r="E71" s="921"/>
      <c r="F71" s="922"/>
      <c r="G71" s="73"/>
      <c r="H71" s="74"/>
      <c r="I71" s="73"/>
      <c r="J71" s="73"/>
    </row>
    <row r="72" spans="1:12" ht="15">
      <c r="A72" s="117"/>
      <c r="B72" s="99"/>
      <c r="C72" s="100"/>
      <c r="D72" s="99"/>
      <c r="E72" s="100"/>
      <c r="F72" s="82"/>
      <c r="G72" s="104"/>
      <c r="H72" s="100"/>
      <c r="I72" s="104"/>
      <c r="J72" s="93"/>
      <c r="L72" s="107"/>
    </row>
    <row r="73" spans="1:12" ht="15">
      <c r="A73" s="117"/>
      <c r="B73" s="99"/>
      <c r="C73" s="100"/>
      <c r="D73" s="99"/>
      <c r="E73" s="100"/>
      <c r="F73" s="82"/>
      <c r="G73" s="104"/>
      <c r="H73" s="100"/>
      <c r="I73" s="104"/>
      <c r="J73" s="93"/>
      <c r="L73" s="107"/>
    </row>
    <row r="74" spans="1:12" ht="15">
      <c r="A74" s="920" t="s">
        <v>82</v>
      </c>
      <c r="B74" s="921"/>
      <c r="C74" s="921"/>
      <c r="D74" s="921"/>
      <c r="E74" s="921"/>
      <c r="F74" s="922"/>
      <c r="G74" s="73"/>
      <c r="H74" s="74"/>
      <c r="I74" s="73"/>
      <c r="J74" s="73"/>
    </row>
    <row r="75" spans="1:12" ht="15">
      <c r="A75" s="75"/>
      <c r="B75" s="82"/>
      <c r="C75" s="100"/>
      <c r="D75" s="99"/>
      <c r="E75" s="100"/>
      <c r="F75" s="82"/>
      <c r="G75" s="92"/>
      <c r="H75" s="100"/>
      <c r="I75" s="92"/>
      <c r="J75" s="93"/>
      <c r="L75" s="80"/>
    </row>
    <row r="76" spans="1:12" ht="15">
      <c r="A76" s="75"/>
      <c r="B76" s="82"/>
      <c r="C76" s="100"/>
      <c r="D76" s="99"/>
      <c r="E76" s="100"/>
      <c r="F76" s="82"/>
      <c r="G76" s="92"/>
      <c r="H76" s="100"/>
      <c r="I76" s="92"/>
      <c r="J76" s="93"/>
      <c r="L76" s="80"/>
    </row>
    <row r="77" spans="1:12" ht="16.5" customHeight="1">
      <c r="A77" s="920" t="s">
        <v>83</v>
      </c>
      <c r="B77" s="921"/>
      <c r="C77" s="921"/>
      <c r="D77" s="921"/>
      <c r="E77" s="921"/>
      <c r="F77" s="922"/>
      <c r="G77" s="73"/>
      <c r="H77" s="74"/>
      <c r="I77" s="73"/>
      <c r="J77" s="73"/>
    </row>
    <row r="78" spans="1:12" ht="15">
      <c r="A78" s="75"/>
      <c r="B78" s="118"/>
      <c r="C78" s="104"/>
      <c r="D78" s="104"/>
      <c r="E78" s="118"/>
      <c r="F78" s="82"/>
      <c r="G78" s="100"/>
      <c r="H78" s="100"/>
      <c r="I78" s="92"/>
      <c r="J78" s="101"/>
    </row>
    <row r="79" spans="1:12" ht="15">
      <c r="A79" s="75"/>
      <c r="B79" s="118"/>
      <c r="C79" s="104"/>
      <c r="D79" s="104"/>
      <c r="E79" s="118"/>
      <c r="F79" s="82"/>
      <c r="G79" s="100"/>
      <c r="H79" s="100"/>
      <c r="I79" s="92"/>
      <c r="J79" s="101"/>
      <c r="L79" s="80"/>
    </row>
    <row r="80" spans="1:12" ht="15">
      <c r="A80" s="917" t="s">
        <v>84</v>
      </c>
      <c r="B80" s="918"/>
      <c r="C80" s="918"/>
      <c r="D80" s="918"/>
      <c r="E80" s="918"/>
      <c r="F80" s="918"/>
      <c r="G80" s="918"/>
      <c r="H80" s="918"/>
      <c r="I80" s="918"/>
      <c r="J80" s="919"/>
      <c r="L80" s="107"/>
    </row>
    <row r="81" spans="1:12" ht="15">
      <c r="A81" s="75"/>
      <c r="B81" s="118"/>
      <c r="C81" s="100"/>
      <c r="D81" s="99"/>
      <c r="E81" s="100"/>
      <c r="F81" s="82"/>
      <c r="G81" s="100"/>
      <c r="H81" s="100"/>
      <c r="I81" s="92"/>
      <c r="J81" s="79"/>
      <c r="L81" s="80"/>
    </row>
    <row r="82" spans="1:12" ht="15">
      <c r="A82" s="119"/>
      <c r="B82" s="120"/>
      <c r="C82" s="121"/>
      <c r="D82" s="122"/>
      <c r="E82" s="121"/>
      <c r="F82" s="123"/>
      <c r="G82" s="121"/>
      <c r="H82" s="121"/>
      <c r="I82" s="124"/>
      <c r="J82" s="124"/>
      <c r="L82" s="80"/>
    </row>
    <row r="83" spans="1:12" ht="15">
      <c r="A83" s="923" t="s">
        <v>85</v>
      </c>
      <c r="B83" s="924"/>
      <c r="C83" s="924"/>
      <c r="D83" s="924"/>
      <c r="E83" s="924"/>
      <c r="F83" s="924"/>
      <c r="G83" s="924"/>
      <c r="H83" s="924"/>
      <c r="I83" s="924"/>
      <c r="J83" s="925"/>
      <c r="L83" s="80"/>
    </row>
    <row r="84" spans="1:12" ht="15">
      <c r="A84" s="914" t="s">
        <v>86</v>
      </c>
      <c r="B84" s="915"/>
      <c r="C84" s="915"/>
      <c r="D84" s="915"/>
      <c r="E84" s="915"/>
      <c r="F84" s="915"/>
      <c r="G84" s="915"/>
      <c r="H84" s="915"/>
      <c r="I84" s="125"/>
      <c r="J84" s="255"/>
      <c r="L84" s="80"/>
    </row>
    <row r="85" spans="1:12" ht="15">
      <c r="A85" s="371" t="s">
        <v>87</v>
      </c>
      <c r="B85" s="82"/>
      <c r="C85" s="91"/>
      <c r="D85" s="78"/>
      <c r="E85" s="77"/>
      <c r="F85" s="76"/>
      <c r="G85" s="77"/>
      <c r="H85" s="77"/>
      <c r="I85" s="79"/>
      <c r="J85" s="101"/>
      <c r="L85" s="80"/>
    </row>
    <row r="86" spans="1:12" ht="15">
      <c r="A86" s="84"/>
      <c r="B86" s="82"/>
      <c r="C86" s="91"/>
      <c r="D86" s="78"/>
      <c r="E86" s="77"/>
      <c r="F86" s="76"/>
      <c r="G86" s="77"/>
      <c r="H86" s="77"/>
      <c r="I86" s="79"/>
      <c r="J86" s="101"/>
      <c r="L86" s="80"/>
    </row>
    <row r="87" spans="1:12" ht="15">
      <c r="A87" s="371" t="s">
        <v>1213</v>
      </c>
      <c r="B87" s="82"/>
      <c r="C87" s="91"/>
      <c r="D87" s="78"/>
      <c r="E87" s="77"/>
      <c r="F87" s="76"/>
      <c r="G87" s="77"/>
      <c r="H87" s="77"/>
      <c r="I87" s="79"/>
      <c r="J87" s="101"/>
      <c r="L87" s="80"/>
    </row>
    <row r="88" spans="1:12" ht="15">
      <c r="A88" s="84"/>
      <c r="B88" s="82"/>
      <c r="C88" s="91"/>
      <c r="D88" s="99"/>
      <c r="E88" s="100"/>
      <c r="F88" s="82"/>
      <c r="G88" s="100"/>
      <c r="H88" s="77"/>
      <c r="I88" s="79"/>
      <c r="J88" s="79"/>
      <c r="L88" s="80"/>
    </row>
    <row r="89" spans="1:12" ht="15">
      <c r="A89" s="371" t="s">
        <v>88</v>
      </c>
      <c r="B89" s="88"/>
      <c r="C89" s="91"/>
      <c r="D89" s="90"/>
      <c r="E89" s="91"/>
      <c r="F89" s="82"/>
      <c r="G89" s="91"/>
      <c r="H89" s="77"/>
      <c r="I89" s="79"/>
      <c r="J89" s="79"/>
      <c r="L89" s="80"/>
    </row>
    <row r="90" spans="1:12" ht="15">
      <c r="A90" s="84"/>
      <c r="B90" s="88"/>
      <c r="C90" s="91"/>
      <c r="D90" s="90"/>
      <c r="E90" s="91"/>
      <c r="F90" s="88"/>
      <c r="G90" s="91"/>
      <c r="H90" s="77"/>
      <c r="I90" s="79"/>
      <c r="J90" s="79"/>
      <c r="L90" s="80"/>
    </row>
    <row r="91" spans="1:12" ht="15">
      <c r="A91" s="84" t="s">
        <v>89</v>
      </c>
      <c r="B91" s="88"/>
      <c r="C91" s="91"/>
      <c r="D91" s="90"/>
      <c r="E91" s="91"/>
      <c r="F91" s="88"/>
      <c r="G91" s="91"/>
      <c r="H91" s="77"/>
      <c r="I91" s="79"/>
      <c r="J91" s="79"/>
      <c r="L91" s="80"/>
    </row>
    <row r="92" spans="1:12" ht="15">
      <c r="A92" s="84"/>
      <c r="B92" s="88"/>
      <c r="C92" s="91"/>
      <c r="D92" s="90"/>
      <c r="E92" s="91"/>
      <c r="F92" s="88"/>
      <c r="G92" s="91"/>
      <c r="H92" s="77"/>
      <c r="I92" s="79"/>
      <c r="J92" s="79"/>
      <c r="L92" s="80"/>
    </row>
    <row r="93" spans="1:12" ht="15">
      <c r="A93" s="84"/>
      <c r="B93" s="88"/>
      <c r="C93" s="91"/>
      <c r="D93" s="90"/>
      <c r="E93" s="91"/>
      <c r="F93" s="88"/>
      <c r="G93" s="91"/>
      <c r="H93" s="77"/>
      <c r="I93" s="79"/>
      <c r="J93" s="79"/>
      <c r="L93" s="80"/>
    </row>
    <row r="94" spans="1:12" ht="15">
      <c r="A94" s="914" t="s">
        <v>90</v>
      </c>
      <c r="B94" s="915"/>
      <c r="C94" s="915"/>
      <c r="D94" s="915"/>
      <c r="E94" s="915"/>
      <c r="F94" s="915"/>
      <c r="G94" s="915"/>
      <c r="H94" s="915"/>
      <c r="I94" s="915"/>
      <c r="J94" s="916"/>
      <c r="L94" s="80"/>
    </row>
    <row r="95" spans="1:12" ht="15">
      <c r="A95" s="130"/>
      <c r="B95" s="131"/>
      <c r="C95" s="77"/>
      <c r="D95" s="78"/>
      <c r="E95" s="77"/>
      <c r="F95" s="76"/>
      <c r="G95" s="77"/>
      <c r="H95" s="77"/>
      <c r="I95" s="79"/>
      <c r="J95" s="79"/>
      <c r="L95" s="80"/>
    </row>
    <row r="96" spans="1:12" ht="15">
      <c r="A96" s="394"/>
      <c r="B96" s="89"/>
      <c r="C96" s="91"/>
      <c r="D96" s="90"/>
      <c r="E96" s="91"/>
      <c r="F96" s="88"/>
      <c r="G96" s="91"/>
      <c r="H96" s="91"/>
      <c r="I96" s="102"/>
      <c r="J96" s="134"/>
      <c r="L96" s="80"/>
    </row>
    <row r="97" spans="1:12" ht="15">
      <c r="A97" s="914" t="s">
        <v>91</v>
      </c>
      <c r="B97" s="915"/>
      <c r="C97" s="915"/>
      <c r="D97" s="915"/>
      <c r="E97" s="915"/>
      <c r="F97" s="915"/>
      <c r="G97" s="915"/>
      <c r="H97" s="915"/>
      <c r="I97" s="915"/>
      <c r="J97" s="916"/>
      <c r="L97" s="80"/>
    </row>
    <row r="98" spans="1:12" ht="15">
      <c r="A98" s="546"/>
      <c r="B98" s="547"/>
      <c r="C98" s="548"/>
      <c r="D98" s="488"/>
      <c r="E98" s="548"/>
      <c r="F98" s="549"/>
      <c r="G98" s="129"/>
      <c r="H98" s="129"/>
      <c r="I98" s="395"/>
      <c r="J98" s="550"/>
      <c r="L98" s="80"/>
    </row>
    <row r="99" spans="1:12" ht="15">
      <c r="A99" s="920" t="s">
        <v>483</v>
      </c>
      <c r="B99" s="921"/>
      <c r="C99" s="921"/>
      <c r="D99" s="921"/>
      <c r="E99" s="921"/>
      <c r="F99" s="922"/>
      <c r="G99" s="73"/>
      <c r="H99" s="74"/>
      <c r="I99" s="73"/>
      <c r="J99" s="73"/>
      <c r="L99" s="80"/>
    </row>
    <row r="100" spans="1:12" ht="15">
      <c r="A100" s="135" t="s">
        <v>484</v>
      </c>
      <c r="B100" s="89">
        <v>15</v>
      </c>
      <c r="C100" s="90"/>
      <c r="D100" s="136"/>
      <c r="E100" s="91">
        <v>16</v>
      </c>
      <c r="F100" s="82">
        <f>B100*E100</f>
        <v>240</v>
      </c>
      <c r="G100" s="92"/>
      <c r="H100" s="100" t="s">
        <v>5</v>
      </c>
      <c r="I100" s="92"/>
      <c r="J100" s="373">
        <f>F100</f>
        <v>240</v>
      </c>
      <c r="L100" s="80"/>
    </row>
    <row r="101" spans="1:12" ht="15">
      <c r="A101" s="135"/>
      <c r="B101" s="89"/>
      <c r="C101" s="90"/>
      <c r="D101" s="136"/>
      <c r="E101" s="91"/>
      <c r="F101" s="88"/>
      <c r="G101" s="102"/>
      <c r="H101" s="91"/>
      <c r="I101" s="102"/>
      <c r="J101" s="138">
        <f>SUM(J100:J100)</f>
        <v>240</v>
      </c>
    </row>
    <row r="102" spans="1:12" ht="15">
      <c r="A102" s="87"/>
      <c r="B102" s="89"/>
      <c r="C102" s="90"/>
      <c r="D102" s="136"/>
      <c r="E102" s="91"/>
      <c r="F102" s="88"/>
      <c r="G102" s="102"/>
      <c r="H102" s="91"/>
      <c r="I102" s="102"/>
      <c r="J102" s="102"/>
    </row>
    <row r="103" spans="1:12" ht="15">
      <c r="A103" s="914" t="s">
        <v>485</v>
      </c>
      <c r="B103" s="915"/>
      <c r="C103" s="915"/>
      <c r="D103" s="915"/>
      <c r="E103" s="915"/>
      <c r="F103" s="915"/>
      <c r="G103" s="915"/>
      <c r="H103" s="915"/>
      <c r="I103" s="915"/>
      <c r="J103" s="916"/>
    </row>
    <row r="104" spans="1:12" ht="15">
      <c r="A104" s="250"/>
      <c r="B104" s="251"/>
      <c r="C104" s="251"/>
      <c r="D104" s="251"/>
      <c r="E104" s="251"/>
      <c r="F104" s="251"/>
      <c r="G104" s="251"/>
      <c r="H104" s="251"/>
      <c r="I104" s="251"/>
      <c r="J104" s="252"/>
    </row>
    <row r="106" spans="1:12" ht="15">
      <c r="A106" s="914" t="s">
        <v>92</v>
      </c>
      <c r="B106" s="915"/>
      <c r="C106" s="915"/>
      <c r="D106" s="915"/>
      <c r="E106" s="915"/>
      <c r="F106" s="915"/>
      <c r="G106" s="915"/>
      <c r="H106" s="915"/>
      <c r="I106" s="915"/>
      <c r="J106" s="916"/>
    </row>
    <row r="107" spans="1:12" ht="15">
      <c r="A107" s="84"/>
      <c r="B107" s="82"/>
      <c r="C107" s="91"/>
      <c r="D107" s="82"/>
      <c r="E107" s="91"/>
      <c r="F107" s="82"/>
      <c r="G107" s="92"/>
      <c r="H107" s="100"/>
      <c r="I107" s="92"/>
      <c r="J107" s="92"/>
    </row>
    <row r="108" spans="1:12" ht="15">
      <c r="A108" s="84" t="s">
        <v>1206</v>
      </c>
      <c r="B108" s="76"/>
      <c r="C108" s="91"/>
      <c r="D108" s="88"/>
      <c r="E108" s="91"/>
      <c r="F108" s="88"/>
      <c r="G108" s="102"/>
      <c r="H108" s="91"/>
      <c r="I108" s="102"/>
      <c r="J108" s="102"/>
    </row>
    <row r="109" spans="1:12" ht="15">
      <c r="A109" s="87" t="s">
        <v>1207</v>
      </c>
      <c r="B109" s="76">
        <v>25.75</v>
      </c>
      <c r="C109" s="91">
        <f>3.8/2</f>
        <v>1.9</v>
      </c>
      <c r="D109" s="88"/>
      <c r="E109" s="91"/>
      <c r="F109" s="88">
        <f>PRODUCT(B109:E109)</f>
        <v>48.924999999999997</v>
      </c>
      <c r="G109" s="102">
        <f>F109</f>
        <v>48.924999999999997</v>
      </c>
      <c r="H109" s="91" t="s">
        <v>487</v>
      </c>
      <c r="I109" s="102">
        <f>G109*1.1</f>
        <v>53.817500000000003</v>
      </c>
      <c r="J109" s="625">
        <f>I109</f>
        <v>53.817500000000003</v>
      </c>
    </row>
    <row r="110" spans="1:12" ht="15">
      <c r="A110" s="87" t="s">
        <v>597</v>
      </c>
      <c r="B110" s="76">
        <v>12.06</v>
      </c>
      <c r="C110" s="91">
        <f>(3.8+5.32)/2</f>
        <v>4.5600000000000005</v>
      </c>
      <c r="D110" s="88"/>
      <c r="E110" s="91"/>
      <c r="F110" s="88">
        <f t="shared" ref="F110:F112" si="24">PRODUCT(B110:E110)</f>
        <v>54.993600000000008</v>
      </c>
      <c r="G110" s="102">
        <f t="shared" ref="G110:G112" si="25">F110</f>
        <v>54.993600000000008</v>
      </c>
      <c r="H110" s="91" t="s">
        <v>487</v>
      </c>
      <c r="I110" s="102">
        <f t="shared" ref="I110:I112" si="26">G110*1.1</f>
        <v>60.492960000000011</v>
      </c>
      <c r="J110" s="625">
        <f t="shared" ref="J110:J112" si="27">I110</f>
        <v>60.492960000000011</v>
      </c>
    </row>
    <row r="111" spans="1:12" ht="15">
      <c r="A111" s="87" t="s">
        <v>1208</v>
      </c>
      <c r="B111" s="76">
        <v>23.07</v>
      </c>
      <c r="C111" s="91">
        <f>(5.32+7.66)/2</f>
        <v>6.49</v>
      </c>
      <c r="D111" s="88"/>
      <c r="E111" s="91"/>
      <c r="F111" s="88">
        <f t="shared" si="24"/>
        <v>149.7243</v>
      </c>
      <c r="G111" s="102">
        <f t="shared" si="25"/>
        <v>149.7243</v>
      </c>
      <c r="H111" s="91" t="s">
        <v>487</v>
      </c>
      <c r="I111" s="102">
        <f t="shared" si="26"/>
        <v>164.69673</v>
      </c>
      <c r="J111" s="625">
        <f t="shared" si="27"/>
        <v>164.69673</v>
      </c>
    </row>
    <row r="112" spans="1:12" ht="15">
      <c r="A112" s="87" t="s">
        <v>1209</v>
      </c>
      <c r="B112" s="76">
        <v>32.76</v>
      </c>
      <c r="C112" s="91">
        <f>7.66/2</f>
        <v>3.83</v>
      </c>
      <c r="D112" s="88"/>
      <c r="E112" s="91"/>
      <c r="F112" s="88">
        <f t="shared" si="24"/>
        <v>125.4708</v>
      </c>
      <c r="G112" s="102">
        <f t="shared" si="25"/>
        <v>125.4708</v>
      </c>
      <c r="H112" s="91" t="s">
        <v>487</v>
      </c>
      <c r="I112" s="102">
        <f t="shared" si="26"/>
        <v>138.01788000000002</v>
      </c>
      <c r="J112" s="625">
        <f t="shared" si="27"/>
        <v>138.01788000000002</v>
      </c>
    </row>
    <row r="113" spans="1:10" ht="15">
      <c r="A113" s="75"/>
      <c r="B113" s="76"/>
      <c r="C113" s="91"/>
      <c r="D113" s="88"/>
      <c r="E113" s="91"/>
      <c r="F113" s="88"/>
      <c r="G113" s="102"/>
      <c r="H113" s="91"/>
      <c r="I113" s="102"/>
      <c r="J113" s="102"/>
    </row>
    <row r="114" spans="1:10" ht="15">
      <c r="A114" s="84" t="s">
        <v>1210</v>
      </c>
      <c r="B114" s="76"/>
      <c r="C114" s="91"/>
      <c r="D114" s="88"/>
      <c r="E114" s="91"/>
      <c r="F114" s="88"/>
      <c r="G114" s="102"/>
      <c r="H114" s="91"/>
      <c r="I114" s="102"/>
      <c r="J114" s="102"/>
    </row>
    <row r="115" spans="1:10" ht="15">
      <c r="A115" s="87" t="s">
        <v>1207</v>
      </c>
      <c r="B115" s="76">
        <v>25.38</v>
      </c>
      <c r="C115" s="91">
        <f>10.32/2</f>
        <v>5.16</v>
      </c>
      <c r="D115" s="88"/>
      <c r="E115" s="91"/>
      <c r="F115" s="88">
        <f>PRODUCT(B115:E115)</f>
        <v>130.96080000000001</v>
      </c>
      <c r="G115" s="102">
        <f>F115</f>
        <v>130.96080000000001</v>
      </c>
      <c r="H115" s="91" t="s">
        <v>487</v>
      </c>
      <c r="I115" s="102">
        <f>G115*1.1</f>
        <v>144.05688000000001</v>
      </c>
      <c r="J115" s="625">
        <f>I115</f>
        <v>144.05688000000001</v>
      </c>
    </row>
    <row r="116" spans="1:10" ht="15">
      <c r="A116" s="87" t="s">
        <v>597</v>
      </c>
      <c r="B116" s="76">
        <v>12</v>
      </c>
      <c r="C116" s="91">
        <f>(10.32+8.87)/2</f>
        <v>9.5949999999999989</v>
      </c>
      <c r="D116" s="88"/>
      <c r="E116" s="91"/>
      <c r="F116" s="88">
        <f t="shared" ref="F116:F118" si="28">PRODUCT(B116:E116)</f>
        <v>115.13999999999999</v>
      </c>
      <c r="G116" s="102">
        <f t="shared" ref="G116:G118" si="29">F116</f>
        <v>115.13999999999999</v>
      </c>
      <c r="H116" s="91" t="s">
        <v>487</v>
      </c>
      <c r="I116" s="102">
        <f t="shared" ref="I116:I118" si="30">G116*1.1</f>
        <v>126.654</v>
      </c>
      <c r="J116" s="625">
        <f t="shared" ref="J116:J118" si="31">I116</f>
        <v>126.654</v>
      </c>
    </row>
    <row r="117" spans="1:10" ht="15">
      <c r="A117" s="87" t="s">
        <v>1208</v>
      </c>
      <c r="B117" s="76">
        <v>18.48</v>
      </c>
      <c r="C117" s="91">
        <f>(8.87+21.75)/2</f>
        <v>15.309999999999999</v>
      </c>
      <c r="D117" s="88"/>
      <c r="E117" s="91"/>
      <c r="F117" s="88">
        <f t="shared" si="28"/>
        <v>282.92879999999997</v>
      </c>
      <c r="G117" s="102">
        <f t="shared" si="29"/>
        <v>282.92879999999997</v>
      </c>
      <c r="H117" s="91" t="s">
        <v>487</v>
      </c>
      <c r="I117" s="102">
        <f t="shared" si="30"/>
        <v>311.22167999999999</v>
      </c>
      <c r="J117" s="625">
        <f t="shared" si="31"/>
        <v>311.22167999999999</v>
      </c>
    </row>
    <row r="118" spans="1:10" ht="15">
      <c r="A118" s="87" t="s">
        <v>1209</v>
      </c>
      <c r="B118" s="76">
        <v>22.45</v>
      </c>
      <c r="C118" s="91">
        <f>21.75/2</f>
        <v>10.875</v>
      </c>
      <c r="D118" s="88"/>
      <c r="E118" s="91"/>
      <c r="F118" s="88">
        <f t="shared" si="28"/>
        <v>244.14374999999998</v>
      </c>
      <c r="G118" s="102">
        <f t="shared" si="29"/>
        <v>244.14374999999998</v>
      </c>
      <c r="H118" s="91" t="s">
        <v>487</v>
      </c>
      <c r="I118" s="102">
        <f t="shared" si="30"/>
        <v>268.55812500000002</v>
      </c>
      <c r="J118" s="625">
        <f t="shared" si="31"/>
        <v>268.55812500000002</v>
      </c>
    </row>
    <row r="119" spans="1:10" ht="15">
      <c r="A119" s="75"/>
      <c r="B119" s="76"/>
      <c r="C119" s="91"/>
      <c r="D119" s="88"/>
      <c r="E119" s="91"/>
      <c r="F119" s="88"/>
      <c r="G119" s="102"/>
      <c r="H119" s="91"/>
      <c r="I119" s="102"/>
      <c r="J119" s="102"/>
    </row>
    <row r="120" spans="1:10" ht="15">
      <c r="A120" s="84" t="s">
        <v>1211</v>
      </c>
      <c r="B120" s="76"/>
      <c r="C120" s="91"/>
      <c r="D120" s="88"/>
      <c r="E120" s="91"/>
      <c r="F120" s="88"/>
      <c r="G120" s="102"/>
      <c r="H120" s="91"/>
      <c r="I120" s="102"/>
      <c r="J120" s="102"/>
    </row>
    <row r="121" spans="1:10" ht="15">
      <c r="A121" s="87" t="s">
        <v>1207</v>
      </c>
      <c r="B121" s="76">
        <v>25.77</v>
      </c>
      <c r="C121" s="91">
        <f>(3.2)/2</f>
        <v>1.6</v>
      </c>
      <c r="D121" s="88"/>
      <c r="E121" s="91"/>
      <c r="F121" s="88">
        <f t="shared" ref="F121:F124" si="32">PRODUCT(B121:E121)</f>
        <v>41.231999999999999</v>
      </c>
      <c r="G121" s="102">
        <f t="shared" ref="G121:G124" si="33">F121</f>
        <v>41.231999999999999</v>
      </c>
      <c r="H121" s="91" t="s">
        <v>487</v>
      </c>
      <c r="I121" s="102">
        <f t="shared" ref="I121:I124" si="34">G121*1.1</f>
        <v>45.355200000000004</v>
      </c>
      <c r="J121" s="625">
        <f t="shared" ref="J121:J124" si="35">I121</f>
        <v>45.355200000000004</v>
      </c>
    </row>
    <row r="122" spans="1:10" ht="15">
      <c r="A122" s="87" t="s">
        <v>597</v>
      </c>
      <c r="B122" s="76">
        <v>12.02</v>
      </c>
      <c r="C122" s="91">
        <f>(3.2+3.1)/2</f>
        <v>3.1500000000000004</v>
      </c>
      <c r="D122" s="88"/>
      <c r="E122" s="91"/>
      <c r="F122" s="88">
        <f t="shared" si="32"/>
        <v>37.863</v>
      </c>
      <c r="G122" s="102">
        <f t="shared" si="33"/>
        <v>37.863</v>
      </c>
      <c r="H122" s="91" t="s">
        <v>487</v>
      </c>
      <c r="I122" s="102">
        <f t="shared" si="34"/>
        <v>41.649300000000004</v>
      </c>
      <c r="J122" s="625">
        <f t="shared" si="35"/>
        <v>41.649300000000004</v>
      </c>
    </row>
    <row r="123" spans="1:10" ht="15">
      <c r="A123" s="87" t="s">
        <v>1208</v>
      </c>
      <c r="B123" s="88">
        <v>18.14</v>
      </c>
      <c r="C123" s="91">
        <f>(3.1+4.1)/2</f>
        <v>3.5999999999999996</v>
      </c>
      <c r="D123" s="88"/>
      <c r="E123" s="91"/>
      <c r="F123" s="88">
        <f t="shared" si="32"/>
        <v>65.304000000000002</v>
      </c>
      <c r="G123" s="102">
        <f t="shared" si="33"/>
        <v>65.304000000000002</v>
      </c>
      <c r="H123" s="91" t="s">
        <v>487</v>
      </c>
      <c r="I123" s="102">
        <f t="shared" si="34"/>
        <v>71.834400000000002</v>
      </c>
      <c r="J123" s="625">
        <f t="shared" si="35"/>
        <v>71.834400000000002</v>
      </c>
    </row>
    <row r="124" spans="1:10" ht="15">
      <c r="A124" s="87" t="s">
        <v>1209</v>
      </c>
      <c r="B124" s="88">
        <v>22.88</v>
      </c>
      <c r="C124" s="91">
        <f>4.1/2</f>
        <v>2.0499999999999998</v>
      </c>
      <c r="D124" s="88"/>
      <c r="E124" s="91"/>
      <c r="F124" s="88">
        <f t="shared" si="32"/>
        <v>46.903999999999996</v>
      </c>
      <c r="G124" s="102">
        <f t="shared" si="33"/>
        <v>46.903999999999996</v>
      </c>
      <c r="H124" s="91" t="s">
        <v>487</v>
      </c>
      <c r="I124" s="102">
        <f t="shared" si="34"/>
        <v>51.5944</v>
      </c>
      <c r="J124" s="625">
        <f t="shared" si="35"/>
        <v>51.5944</v>
      </c>
    </row>
    <row r="125" spans="1:10" ht="15">
      <c r="A125" s="84"/>
      <c r="B125" s="88"/>
      <c r="C125" s="91"/>
      <c r="D125" s="88"/>
      <c r="E125" s="91"/>
      <c r="F125" s="88"/>
      <c r="G125" s="102"/>
      <c r="H125" s="91"/>
      <c r="I125" s="102"/>
      <c r="J125" s="138">
        <f>SUM(J109:J124)</f>
        <v>1477.9490549999998</v>
      </c>
    </row>
    <row r="126" spans="1:10" ht="15">
      <c r="A126" s="84"/>
      <c r="B126" s="123"/>
      <c r="C126" s="122"/>
      <c r="D126" s="626"/>
      <c r="E126" s="121"/>
      <c r="F126" s="123"/>
      <c r="G126" s="124"/>
      <c r="H126" s="121"/>
      <c r="I126" s="124"/>
      <c r="J126" s="393"/>
    </row>
    <row r="127" spans="1:10" ht="15">
      <c r="A127" s="899" t="s">
        <v>1212</v>
      </c>
      <c r="B127" s="900"/>
      <c r="C127" s="900"/>
      <c r="D127" s="900"/>
      <c r="E127" s="900"/>
      <c r="F127" s="900"/>
      <c r="G127" s="900"/>
      <c r="H127" s="900"/>
      <c r="I127" s="900"/>
      <c r="J127" s="901"/>
    </row>
    <row r="128" spans="1:10" ht="15">
      <c r="A128" s="84"/>
      <c r="B128" s="82"/>
      <c r="C128" s="91"/>
      <c r="D128" s="82"/>
      <c r="E128" s="91"/>
      <c r="F128" s="82"/>
      <c r="G128" s="92"/>
      <c r="H128" s="100"/>
      <c r="I128" s="92"/>
      <c r="J128" s="92"/>
    </row>
    <row r="129" spans="1:12" ht="15">
      <c r="A129" s="627"/>
      <c r="B129" s="123"/>
      <c r="C129" s="121"/>
      <c r="D129" s="123"/>
      <c r="E129" s="121"/>
      <c r="F129" s="123"/>
      <c r="G129" s="124"/>
      <c r="H129" s="121"/>
      <c r="I129" s="124"/>
      <c r="J129" s="124"/>
    </row>
    <row r="130" spans="1:12" ht="15">
      <c r="A130" s="899" t="s">
        <v>93</v>
      </c>
      <c r="B130" s="900"/>
      <c r="C130" s="900"/>
      <c r="D130" s="900"/>
      <c r="E130" s="900"/>
      <c r="F130" s="900"/>
      <c r="G130" s="900"/>
      <c r="H130" s="900"/>
      <c r="I130" s="900"/>
      <c r="J130" s="901"/>
    </row>
    <row r="131" spans="1:12" ht="15">
      <c r="A131" s="84"/>
      <c r="B131" s="82"/>
      <c r="C131" s="91"/>
      <c r="D131" s="82"/>
      <c r="E131" s="91"/>
      <c r="F131" s="82"/>
      <c r="G131" s="92"/>
      <c r="H131" s="100"/>
      <c r="I131" s="92"/>
      <c r="J131" s="92"/>
    </row>
    <row r="132" spans="1:12" ht="15">
      <c r="A132" s="84"/>
      <c r="B132" s="88"/>
      <c r="C132" s="91"/>
      <c r="D132" s="88"/>
      <c r="E132" s="91"/>
      <c r="F132" s="88"/>
      <c r="G132" s="102"/>
      <c r="H132" s="91"/>
      <c r="I132" s="102"/>
      <c r="J132" s="150"/>
      <c r="L132" s="68" t="s">
        <v>94</v>
      </c>
    </row>
    <row r="133" spans="1:12" ht="15">
      <c r="A133" s="899" t="s">
        <v>1111</v>
      </c>
      <c r="B133" s="900"/>
      <c r="C133" s="900"/>
      <c r="D133" s="900"/>
      <c r="E133" s="900"/>
      <c r="F133" s="900"/>
      <c r="G133" s="900"/>
      <c r="H133" s="900"/>
      <c r="I133" s="900"/>
      <c r="J133" s="901"/>
    </row>
    <row r="134" spans="1:12" ht="15">
      <c r="A134" s="84"/>
      <c r="B134" s="88"/>
      <c r="C134" s="91"/>
      <c r="D134" s="88"/>
      <c r="E134" s="91"/>
      <c r="F134" s="88"/>
      <c r="G134" s="102"/>
      <c r="H134" s="91"/>
      <c r="I134" s="102"/>
      <c r="J134" s="150"/>
    </row>
    <row r="135" spans="1:12" ht="15">
      <c r="A135" s="84"/>
      <c r="B135" s="123"/>
      <c r="C135" s="121"/>
      <c r="D135" s="123"/>
      <c r="E135" s="121"/>
      <c r="F135" s="123"/>
      <c r="G135" s="124"/>
      <c r="H135" s="121"/>
      <c r="I135" s="124"/>
      <c r="J135" s="124"/>
    </row>
  </sheetData>
  <mergeCells count="30">
    <mergeCell ref="A133:J133"/>
    <mergeCell ref="A77:F77"/>
    <mergeCell ref="A80:J80"/>
    <mergeCell ref="A83:J83"/>
    <mergeCell ref="A84:H84"/>
    <mergeCell ref="A94:J94"/>
    <mergeCell ref="A97:J97"/>
    <mergeCell ref="A99:F99"/>
    <mergeCell ref="A103:J103"/>
    <mergeCell ref="A106:J106"/>
    <mergeCell ref="A127:J127"/>
    <mergeCell ref="A130:J130"/>
    <mergeCell ref="A74:F74"/>
    <mergeCell ref="A15:F15"/>
    <mergeCell ref="A35:F35"/>
    <mergeCell ref="A36:F36"/>
    <mergeCell ref="A37:F37"/>
    <mergeCell ref="A46:J46"/>
    <mergeCell ref="A55:J55"/>
    <mergeCell ref="A63:J63"/>
    <mergeCell ref="A64:J64"/>
    <mergeCell ref="A65:F65"/>
    <mergeCell ref="A68:F68"/>
    <mergeCell ref="A71:F71"/>
    <mergeCell ref="A14:F14"/>
    <mergeCell ref="A1:J1"/>
    <mergeCell ref="A3:J3"/>
    <mergeCell ref="A4:F4"/>
    <mergeCell ref="A12:J12"/>
    <mergeCell ref="A13:F13"/>
  </mergeCells>
  <pageMargins left="0.7" right="0.7" top="0.75" bottom="0.75" header="0.3" footer="0.3"/>
  <pageSetup paperSize="9" scale="63" orientation="portrait" r:id="rId1"/>
  <rowBreaks count="1" manualBreakCount="1">
    <brk id="66" max="16383" man="1"/>
  </rowBreaks>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968A4-48CA-4FAD-AB66-527DC57E86EE}">
  <dimension ref="B3:W247"/>
  <sheetViews>
    <sheetView zoomScale="70" zoomScaleNormal="70" workbookViewId="0">
      <pane ySplit="1" topLeftCell="A93" activePane="bottomLeft" state="frozen"/>
      <selection activeCell="B5" sqref="B5:E5"/>
      <selection pane="bottomLeft" activeCell="B5" sqref="B5:E5"/>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95</v>
      </c>
      <c r="C3" s="151" t="s">
        <v>96</v>
      </c>
      <c r="D3" s="151" t="s">
        <v>97</v>
      </c>
      <c r="E3" s="151" t="s">
        <v>98</v>
      </c>
      <c r="F3" s="151" t="s">
        <v>99</v>
      </c>
      <c r="G3" s="151"/>
      <c r="H3" s="928" t="s">
        <v>100</v>
      </c>
      <c r="I3" s="928"/>
      <c r="J3" s="928"/>
      <c r="K3" s="151" t="s">
        <v>101</v>
      </c>
      <c r="L3" s="152" t="s">
        <v>102</v>
      </c>
      <c r="M3" s="153"/>
    </row>
    <row r="4" spans="2:23" ht="19.5" customHeight="1">
      <c r="B4" s="155"/>
      <c r="C4" s="155"/>
      <c r="D4" s="155"/>
      <c r="E4" s="155"/>
      <c r="F4" s="156" t="s">
        <v>98</v>
      </c>
      <c r="G4" s="156" t="s">
        <v>103</v>
      </c>
      <c r="H4" s="156" t="s">
        <v>104</v>
      </c>
      <c r="I4" s="156" t="s">
        <v>103</v>
      </c>
      <c r="J4" s="156" t="s">
        <v>105</v>
      </c>
      <c r="K4" s="156" t="s">
        <v>106</v>
      </c>
      <c r="L4" s="157" t="s">
        <v>107</v>
      </c>
      <c r="M4" s="157" t="s">
        <v>108</v>
      </c>
    </row>
    <row r="5" spans="2:23">
      <c r="B5" s="158"/>
      <c r="C5" s="158"/>
      <c r="D5" s="158"/>
      <c r="E5" s="158"/>
      <c r="F5" s="159"/>
      <c r="G5" s="159"/>
      <c r="H5" s="159"/>
      <c r="I5" s="159"/>
      <c r="J5" s="159"/>
      <c r="K5" s="160"/>
      <c r="L5" s="160"/>
      <c r="M5" s="160"/>
    </row>
    <row r="6" spans="2:23" ht="18">
      <c r="B6" s="160" t="s">
        <v>109</v>
      </c>
      <c r="C6" s="161">
        <v>0.3</v>
      </c>
      <c r="D6" s="161">
        <v>0.3</v>
      </c>
      <c r="E6" s="161">
        <v>0.1</v>
      </c>
      <c r="F6" s="161">
        <v>0.05</v>
      </c>
      <c r="G6" s="161">
        <v>10</v>
      </c>
      <c r="H6" s="161">
        <v>0.2</v>
      </c>
      <c r="I6" s="161">
        <v>10</v>
      </c>
      <c r="J6" s="161">
        <v>0.25</v>
      </c>
      <c r="K6" s="161">
        <v>3</v>
      </c>
      <c r="L6" s="160"/>
      <c r="M6" s="160"/>
      <c r="T6" s="929" t="s">
        <v>110</v>
      </c>
      <c r="U6" s="929"/>
    </row>
    <row r="7" spans="2:23">
      <c r="B7" s="160"/>
      <c r="C7" s="161"/>
      <c r="D7" s="161"/>
      <c r="E7" s="161"/>
      <c r="F7" s="161"/>
      <c r="G7" s="161"/>
      <c r="H7" s="160"/>
      <c r="I7" s="160"/>
      <c r="J7" s="160"/>
      <c r="K7" s="161"/>
      <c r="L7" s="160"/>
      <c r="M7" s="160"/>
      <c r="S7" s="162"/>
      <c r="V7" s="162"/>
      <c r="W7" s="930" t="s">
        <v>6</v>
      </c>
    </row>
    <row r="8" spans="2:23">
      <c r="B8" s="160"/>
      <c r="C8" s="161"/>
      <c r="D8" s="161"/>
      <c r="E8" s="161"/>
      <c r="F8" s="161"/>
      <c r="G8" s="161"/>
      <c r="H8" s="160"/>
      <c r="I8" s="160"/>
      <c r="J8" s="160"/>
      <c r="K8" s="161"/>
      <c r="L8" s="160"/>
      <c r="M8" s="160"/>
      <c r="S8" s="162"/>
      <c r="V8" s="162"/>
      <c r="W8" s="930"/>
    </row>
    <row r="9" spans="2:23">
      <c r="B9" s="160" t="s">
        <v>111</v>
      </c>
      <c r="C9" s="161">
        <v>0.45</v>
      </c>
      <c r="D9" s="161">
        <v>0.45</v>
      </c>
      <c r="E9" s="161">
        <v>0.1</v>
      </c>
      <c r="F9" s="161">
        <v>0.05</v>
      </c>
      <c r="G9" s="161">
        <v>10</v>
      </c>
      <c r="H9" s="161">
        <v>0.2</v>
      </c>
      <c r="I9" s="161">
        <v>10</v>
      </c>
      <c r="J9" s="161">
        <v>0.25</v>
      </c>
      <c r="K9" s="161">
        <v>3</v>
      </c>
      <c r="L9" s="160"/>
      <c r="M9" s="160"/>
      <c r="S9" s="162"/>
      <c r="V9" s="162"/>
      <c r="W9" s="930"/>
    </row>
    <row r="10" spans="2:23">
      <c r="B10" s="160"/>
      <c r="C10" s="161"/>
      <c r="D10" s="161"/>
      <c r="E10" s="161"/>
      <c r="F10" s="161"/>
      <c r="G10" s="161"/>
      <c r="H10" s="161"/>
      <c r="I10" s="161"/>
      <c r="J10" s="161"/>
      <c r="K10" s="161"/>
      <c r="L10" s="160"/>
      <c r="M10" s="160"/>
      <c r="S10" s="162"/>
      <c r="V10" s="162"/>
      <c r="W10" s="930"/>
    </row>
    <row r="11" spans="2:23">
      <c r="B11" s="160"/>
      <c r="C11" s="161"/>
      <c r="D11" s="161"/>
      <c r="E11" s="161"/>
      <c r="F11" s="161"/>
      <c r="G11" s="161"/>
      <c r="H11" s="160"/>
      <c r="I11" s="160"/>
      <c r="J11" s="160"/>
      <c r="K11" s="161"/>
      <c r="L11" s="160"/>
      <c r="M11" s="160"/>
      <c r="S11" s="162"/>
      <c r="V11" s="162"/>
      <c r="W11" s="930"/>
    </row>
    <row r="12" spans="2:23">
      <c r="B12" s="160" t="s">
        <v>112</v>
      </c>
      <c r="C12" s="161">
        <v>0.6</v>
      </c>
      <c r="D12" s="161">
        <v>0.6</v>
      </c>
      <c r="E12" s="161">
        <v>0.1</v>
      </c>
      <c r="F12" s="161">
        <v>0.05</v>
      </c>
      <c r="G12" s="161">
        <v>10</v>
      </c>
      <c r="H12" s="160">
        <v>0.2</v>
      </c>
      <c r="I12" s="160">
        <v>10</v>
      </c>
      <c r="J12" s="160">
        <v>0.25</v>
      </c>
      <c r="K12" s="161">
        <v>3</v>
      </c>
      <c r="L12" s="160"/>
      <c r="M12" s="160"/>
      <c r="S12" s="162"/>
      <c r="V12" s="162"/>
      <c r="W12" s="930"/>
    </row>
    <row r="13" spans="2:23">
      <c r="B13" s="160"/>
      <c r="C13" s="161"/>
      <c r="D13" s="161"/>
      <c r="E13" s="161"/>
      <c r="F13" s="161"/>
      <c r="G13" s="161"/>
      <c r="H13" s="160"/>
      <c r="I13" s="160"/>
      <c r="J13" s="160"/>
      <c r="K13" s="161"/>
      <c r="L13" s="160"/>
      <c r="M13" s="160"/>
      <c r="S13" s="162"/>
      <c r="V13" s="162"/>
      <c r="W13" s="930"/>
    </row>
    <row r="14" spans="2:23">
      <c r="B14" s="160"/>
      <c r="C14" s="161"/>
      <c r="D14" s="161"/>
      <c r="E14" s="161"/>
      <c r="F14" s="161"/>
      <c r="G14" s="161"/>
      <c r="H14" s="160"/>
      <c r="I14" s="160"/>
      <c r="J14" s="160"/>
      <c r="K14" s="161"/>
      <c r="L14" s="160"/>
      <c r="M14" s="160"/>
      <c r="S14" s="162"/>
      <c r="V14" s="162"/>
      <c r="W14" s="930"/>
    </row>
    <row r="15" spans="2:23">
      <c r="B15" s="160" t="s">
        <v>113</v>
      </c>
      <c r="C15" s="161">
        <v>0.75</v>
      </c>
      <c r="D15" s="161">
        <v>0.75</v>
      </c>
      <c r="E15" s="163">
        <v>0.125</v>
      </c>
      <c r="F15" s="161">
        <v>0.05</v>
      </c>
      <c r="G15" s="161">
        <v>10</v>
      </c>
      <c r="H15" s="160">
        <v>0.2</v>
      </c>
      <c r="I15" s="160">
        <v>10</v>
      </c>
      <c r="J15" s="160">
        <v>0.25</v>
      </c>
      <c r="K15" s="161">
        <v>3</v>
      </c>
      <c r="L15" s="160"/>
      <c r="M15" s="160"/>
      <c r="S15" s="162"/>
      <c r="V15" s="162"/>
      <c r="W15" s="930"/>
    </row>
    <row r="16" spans="2:23">
      <c r="B16" s="160"/>
      <c r="C16" s="161"/>
      <c r="D16" s="161"/>
      <c r="E16" s="161"/>
      <c r="F16" s="161"/>
      <c r="G16" s="161"/>
      <c r="H16" s="160"/>
      <c r="I16" s="160"/>
      <c r="J16" s="160"/>
      <c r="K16" s="161"/>
      <c r="L16" s="160"/>
      <c r="M16" s="160"/>
      <c r="S16" s="162"/>
      <c r="V16" s="162"/>
      <c r="W16" s="930"/>
    </row>
    <row r="17" spans="2:23">
      <c r="B17" s="160"/>
      <c r="C17" s="161"/>
      <c r="D17" s="161"/>
      <c r="E17" s="161"/>
      <c r="F17" s="161"/>
      <c r="G17" s="161"/>
      <c r="H17" s="160"/>
      <c r="I17" s="160"/>
      <c r="J17" s="160"/>
      <c r="K17" s="161"/>
      <c r="L17" s="160"/>
      <c r="M17" s="160"/>
      <c r="S17" s="162"/>
      <c r="V17" s="162"/>
      <c r="W17" s="930"/>
    </row>
    <row r="18" spans="2:23">
      <c r="B18" s="164" t="s">
        <v>114</v>
      </c>
      <c r="C18" s="161">
        <v>0.9</v>
      </c>
      <c r="D18" s="161">
        <v>0.9</v>
      </c>
      <c r="E18" s="163">
        <v>0.15</v>
      </c>
      <c r="F18" s="161">
        <v>0.05</v>
      </c>
      <c r="G18" s="161">
        <v>10</v>
      </c>
      <c r="H18" s="160">
        <v>0.17499999999999999</v>
      </c>
      <c r="I18" s="160">
        <v>10</v>
      </c>
      <c r="J18" s="160">
        <v>0.25</v>
      </c>
      <c r="K18" s="161">
        <v>3</v>
      </c>
      <c r="L18" s="160"/>
      <c r="M18" s="160"/>
      <c r="S18" s="162"/>
      <c r="T18" s="162"/>
      <c r="U18" s="162"/>
      <c r="V18" s="162"/>
      <c r="W18" s="930" t="s">
        <v>115</v>
      </c>
    </row>
    <row r="19" spans="2:23">
      <c r="B19" s="160"/>
      <c r="C19" s="161"/>
      <c r="D19" s="161"/>
      <c r="E19" s="161"/>
      <c r="F19" s="161"/>
      <c r="G19" s="161"/>
      <c r="H19" s="160"/>
      <c r="I19" s="160"/>
      <c r="J19" s="160"/>
      <c r="K19" s="161"/>
      <c r="L19" s="160"/>
      <c r="M19" s="160"/>
      <c r="S19" s="162"/>
      <c r="T19" s="162"/>
      <c r="U19" s="162"/>
      <c r="V19" s="162"/>
      <c r="W19" s="930"/>
    </row>
    <row r="20" spans="2:23">
      <c r="B20" s="160"/>
      <c r="C20" s="161"/>
      <c r="D20" s="161"/>
      <c r="E20" s="161"/>
      <c r="F20" s="161"/>
      <c r="G20" s="161"/>
      <c r="H20" s="160"/>
      <c r="I20" s="160"/>
      <c r="J20" s="160"/>
      <c r="K20" s="161"/>
      <c r="L20" s="160"/>
      <c r="M20" s="160"/>
      <c r="S20" s="162"/>
      <c r="T20" s="162"/>
      <c r="U20" s="162"/>
      <c r="V20" s="162"/>
      <c r="W20" s="930"/>
    </row>
    <row r="21" spans="2:23">
      <c r="B21" s="160" t="s">
        <v>116</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117</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118</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119</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120</v>
      </c>
      <c r="C30" s="161">
        <v>0.3</v>
      </c>
      <c r="D30" s="161">
        <v>0.3</v>
      </c>
      <c r="E30" s="161">
        <v>0.1</v>
      </c>
      <c r="F30" s="161">
        <v>0.05</v>
      </c>
      <c r="G30" s="161">
        <v>10</v>
      </c>
      <c r="H30" s="160">
        <v>0.25</v>
      </c>
      <c r="I30" s="160">
        <v>10</v>
      </c>
      <c r="J30" s="160">
        <v>0.25</v>
      </c>
      <c r="K30" s="161">
        <v>0</v>
      </c>
      <c r="L30" s="160"/>
      <c r="M30" s="160"/>
    </row>
    <row r="31" spans="2:23">
      <c r="B31" s="166" t="s">
        <v>121</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8" t="s">
        <v>122</v>
      </c>
      <c r="C33" s="161">
        <v>0.45</v>
      </c>
      <c r="D33" s="161">
        <v>0.45</v>
      </c>
      <c r="E33" s="161">
        <v>0.1</v>
      </c>
      <c r="F33" s="161">
        <v>0.05</v>
      </c>
      <c r="G33" s="161">
        <v>10</v>
      </c>
      <c r="H33" s="160">
        <v>0.25</v>
      </c>
      <c r="I33" s="160">
        <v>10</v>
      </c>
      <c r="J33" s="160">
        <v>0.25</v>
      </c>
      <c r="K33" s="161">
        <v>0</v>
      </c>
      <c r="L33" s="160"/>
      <c r="M33" s="160"/>
    </row>
    <row r="34" spans="2:13">
      <c r="B34" s="166" t="s">
        <v>121</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123</v>
      </c>
      <c r="L35" s="160"/>
      <c r="M35" s="160"/>
    </row>
    <row r="36" spans="2:13">
      <c r="B36" s="168" t="s">
        <v>124</v>
      </c>
      <c r="C36" s="161">
        <v>1</v>
      </c>
      <c r="D36" s="161">
        <v>0.15</v>
      </c>
      <c r="E36" s="161">
        <v>0.1</v>
      </c>
      <c r="F36" s="161">
        <v>0.05</v>
      </c>
      <c r="G36" s="161">
        <v>10</v>
      </c>
      <c r="H36" s="160">
        <v>0.25</v>
      </c>
      <c r="I36" s="160">
        <v>10</v>
      </c>
      <c r="J36" s="160">
        <v>0.25</v>
      </c>
      <c r="K36" s="161">
        <v>0</v>
      </c>
      <c r="L36" s="160"/>
      <c r="M36" s="160"/>
    </row>
    <row r="37" spans="2:13">
      <c r="B37" s="166" t="s">
        <v>121</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125</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126</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127</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128</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129</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130</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131</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132</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133</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134</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135</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136</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137</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138</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139</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140</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141</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142</v>
      </c>
      <c r="C95" s="161">
        <v>1</v>
      </c>
      <c r="D95" s="161">
        <v>1</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143</v>
      </c>
      <c r="L103" s="931" t="s">
        <v>144</v>
      </c>
      <c r="M103" s="932"/>
      <c r="N103" s="932"/>
      <c r="O103" s="932"/>
      <c r="P103" s="932"/>
      <c r="Q103" s="932"/>
      <c r="R103" s="932"/>
      <c r="S103" s="933"/>
    </row>
    <row r="104" spans="2:21">
      <c r="B104" s="178" t="s">
        <v>145</v>
      </c>
      <c r="K104" s="179">
        <v>1</v>
      </c>
      <c r="L104" s="926" t="s">
        <v>7</v>
      </c>
      <c r="M104" s="934"/>
      <c r="N104" s="927"/>
      <c r="O104" s="926" t="s">
        <v>6</v>
      </c>
      <c r="P104" s="934"/>
      <c r="Q104" s="927"/>
      <c r="R104" s="926" t="s">
        <v>146</v>
      </c>
      <c r="S104" s="927"/>
    </row>
    <row r="105" spans="2:21">
      <c r="D105" s="180" t="s">
        <v>147</v>
      </c>
      <c r="E105" s="181" t="s">
        <v>1</v>
      </c>
      <c r="G105" s="182" t="s">
        <v>148</v>
      </c>
      <c r="H105" s="182" t="s">
        <v>149</v>
      </c>
      <c r="I105" s="182" t="s">
        <v>150</v>
      </c>
      <c r="J105" s="182" t="s">
        <v>151</v>
      </c>
      <c r="K105" s="182" t="s">
        <v>152</v>
      </c>
      <c r="L105" s="926" t="s">
        <v>153</v>
      </c>
      <c r="M105" s="927"/>
      <c r="N105" s="183" t="s">
        <v>1</v>
      </c>
      <c r="O105" s="926" t="s">
        <v>153</v>
      </c>
      <c r="P105" s="927"/>
      <c r="Q105" s="183" t="s">
        <v>1</v>
      </c>
      <c r="R105" s="183" t="s">
        <v>1</v>
      </c>
      <c r="S105" s="183" t="s">
        <v>80</v>
      </c>
    </row>
    <row r="106" spans="2:21" ht="20.25" hidden="1" customHeight="1">
      <c r="B106" s="154" t="s">
        <v>154</v>
      </c>
      <c r="C106" s="178" t="s">
        <v>155</v>
      </c>
      <c r="E106" s="184">
        <f>62.33+67.78</f>
        <v>130.11000000000001</v>
      </c>
      <c r="G106" s="185">
        <f>+E106*(C6+E6*2+1.5)</f>
        <v>260.22000000000003</v>
      </c>
      <c r="H106" s="185">
        <f>+E106*(C6+E6*2)*(D6+E6+F6)</f>
        <v>29.274750000000004</v>
      </c>
      <c r="I106" s="186">
        <f>+(C6+E6*2)*E106*F6</f>
        <v>3.2527500000000007</v>
      </c>
      <c r="J106" s="186">
        <f>+E106*((C6+E6*2)*E6+(D6*E6*2))</f>
        <v>14.312100000000001</v>
      </c>
      <c r="K106" s="186">
        <f>+(D6+$K$104*(D6+E6))*E106*2</f>
        <v>182.154</v>
      </c>
      <c r="L106" s="187">
        <f>+(E106)/H6+ IF(E106&gt;0,1,0)</f>
        <v>651.55000000000007</v>
      </c>
      <c r="M106" s="188">
        <f>+ROUNDUP(L106,0)</f>
        <v>652</v>
      </c>
      <c r="N106" s="189">
        <f>+(D6+E6-0.08)*2+(C6+E6*2-0.08)</f>
        <v>1.06</v>
      </c>
      <c r="O106" s="187">
        <f>+N106/J6+1</f>
        <v>5.24</v>
      </c>
      <c r="P106" s="188">
        <f>+ROUNDUP(O106,0)</f>
        <v>6</v>
      </c>
      <c r="Q106" s="188">
        <f>+E106+E106/6*50*(G6/1000)</f>
        <v>140.95250000000001</v>
      </c>
      <c r="R106" s="190">
        <f>+N106*M106+P106*Q106</f>
        <v>1536.835</v>
      </c>
      <c r="S106" s="186">
        <f>((I6*I6)/162)*R106</f>
        <v>948.66358024691351</v>
      </c>
      <c r="T106" s="154" t="s">
        <v>156</v>
      </c>
    </row>
    <row r="107" spans="2:21" ht="17.25" hidden="1" customHeight="1">
      <c r="C107" s="154" t="s">
        <v>101</v>
      </c>
      <c r="D107" s="191">
        <f>ROUNDUP(+E106/K6,0)</f>
        <v>44</v>
      </c>
      <c r="E107" s="184"/>
      <c r="G107" s="192"/>
      <c r="H107" s="192"/>
      <c r="I107" s="191"/>
      <c r="J107" s="191">
        <f>0.5*(0.075+0.05)*0.075*C6*D107</f>
        <v>6.1874999999999999E-2</v>
      </c>
      <c r="K107" s="191">
        <f>+(0.075+0.08)*C6*D107</f>
        <v>2.0459999999999998</v>
      </c>
      <c r="L107" s="193">
        <f>+D107</f>
        <v>44</v>
      </c>
      <c r="M107" s="188">
        <f>+ROUNDUP(L107,0)</f>
        <v>44</v>
      </c>
      <c r="N107" s="194">
        <f>+(C6-0.08)+((0.075+0.05-0.04)*2)</f>
        <v>0.38999999999999996</v>
      </c>
      <c r="O107" s="193"/>
      <c r="P107" s="195"/>
      <c r="Q107" s="195"/>
      <c r="R107" s="190">
        <f>+N107*M107+P107*Q107</f>
        <v>17.159999999999997</v>
      </c>
      <c r="S107" s="186">
        <f>((I6*I6)/162)*R107</f>
        <v>10.59259259259259</v>
      </c>
      <c r="T107" s="154" t="s">
        <v>156</v>
      </c>
      <c r="U107" s="191">
        <f>S106+S107</f>
        <v>959.25617283950612</v>
      </c>
    </row>
    <row r="108" spans="2:21">
      <c r="E108" s="184"/>
    </row>
    <row r="109" spans="2:21">
      <c r="B109" s="154" t="s">
        <v>154</v>
      </c>
      <c r="C109" s="375" t="s">
        <v>157</v>
      </c>
      <c r="E109" s="184">
        <v>106.87</v>
      </c>
      <c r="G109" s="185">
        <f>+E109*(C9+E9*2+3)</f>
        <v>390.07550000000003</v>
      </c>
      <c r="H109" s="185">
        <f>+E109*(C9+E9*2)*(D9+E9+F9)</f>
        <v>41.679300000000012</v>
      </c>
      <c r="I109" s="186">
        <f>+(C9+E9*2)*E109*F9</f>
        <v>3.4732750000000006</v>
      </c>
      <c r="J109" s="186">
        <f>+E109*((C9+E9*2)*E9+(D9*E9*2))</f>
        <v>16.564850000000003</v>
      </c>
      <c r="K109" s="186">
        <f>+(D9+$K$104*(D9+E9))*E109*2</f>
        <v>213.74</v>
      </c>
      <c r="L109" s="187">
        <f>+(E109)/H9+ IF(E109&gt;0,1,0)</f>
        <v>535.35</v>
      </c>
      <c r="M109" s="188">
        <f>+ROUNDUP(L109,0)</f>
        <v>536</v>
      </c>
      <c r="N109" s="189">
        <f>+(D9+E9-0.08)*2+(C9+E9*2-0.08)</f>
        <v>1.5100000000000002</v>
      </c>
      <c r="O109" s="187">
        <f>+N109/J9+1</f>
        <v>7.0400000000000009</v>
      </c>
      <c r="P109" s="188">
        <f>+ROUNDUP(O109,0)</f>
        <v>8</v>
      </c>
      <c r="Q109" s="188">
        <f>+E109+E109/6*50*(G9/1000)</f>
        <v>115.77583333333334</v>
      </c>
      <c r="R109" s="190">
        <f>+N109*M109+P109*Q109</f>
        <v>1735.5666666666668</v>
      </c>
      <c r="S109" s="186">
        <f>((I9*I9)/162)*R109</f>
        <v>1071.3374485596707</v>
      </c>
      <c r="T109" s="154" t="s">
        <v>156</v>
      </c>
    </row>
    <row r="110" spans="2:21">
      <c r="C110" s="154" t="s">
        <v>101</v>
      </c>
      <c r="D110" s="191">
        <f>ROUNDUP(+E109/K9,0)</f>
        <v>36</v>
      </c>
      <c r="E110" s="184"/>
      <c r="G110" s="192"/>
      <c r="H110" s="192"/>
      <c r="I110" s="191"/>
      <c r="J110" s="191">
        <f>0.5*(0.075+0.05)*0.075*C9*D110</f>
        <v>7.5937500000000005E-2</v>
      </c>
      <c r="K110" s="191">
        <f>+(0.075+0.08)*C9*D110</f>
        <v>2.5110000000000001</v>
      </c>
      <c r="L110" s="193">
        <f>+D110</f>
        <v>36</v>
      </c>
      <c r="M110" s="188">
        <f>+ROUNDUP(L110,0)</f>
        <v>36</v>
      </c>
      <c r="N110" s="194">
        <f>+(C9-0.08)+((0.075+0.05-0.04)*2)</f>
        <v>0.54</v>
      </c>
      <c r="O110" s="193"/>
      <c r="P110" s="195"/>
      <c r="Q110" s="195"/>
      <c r="R110" s="190">
        <f>+N110*M110+P110*Q110</f>
        <v>19.440000000000001</v>
      </c>
      <c r="S110" s="186">
        <f>((I9*I9)/162)*R110</f>
        <v>12</v>
      </c>
      <c r="T110" s="154" t="s">
        <v>156</v>
      </c>
      <c r="U110" s="191">
        <f>S109+S110</f>
        <v>1083.3374485596707</v>
      </c>
    </row>
    <row r="111" spans="2:21">
      <c r="E111" s="184"/>
    </row>
    <row r="112" spans="2:21">
      <c r="B112" s="154" t="s">
        <v>154</v>
      </c>
      <c r="C112" s="375" t="s">
        <v>158</v>
      </c>
      <c r="E112" s="184">
        <v>141.4</v>
      </c>
      <c r="G112" s="185">
        <f>+E112*(C12+E12*2+3)</f>
        <v>537.32000000000005</v>
      </c>
      <c r="H112" s="185">
        <f>+E112*(C12+E12*2)*(D12+E12+F12)</f>
        <v>84.84</v>
      </c>
      <c r="I112" s="186">
        <f>+(C12+E12*2)*E112*F12</f>
        <v>5.6560000000000006</v>
      </c>
      <c r="J112" s="186">
        <f>+E112*((C12+E12*2)*E12+(D12*E12*2))</f>
        <v>28.28</v>
      </c>
      <c r="K112" s="186">
        <f>+(D12+$K$104*(D12+E12))*E112*2</f>
        <v>367.64</v>
      </c>
      <c r="L112" s="187">
        <f>+(E112)/H12+ IF(E112&gt;0,1,0)</f>
        <v>708</v>
      </c>
      <c r="M112" s="188">
        <f>+ROUNDUP(L112,0)</f>
        <v>708</v>
      </c>
      <c r="N112" s="189">
        <f>+(D12+E12-0.08)*2+(C12+E12*2-0.08)</f>
        <v>1.96</v>
      </c>
      <c r="O112" s="187">
        <f>+N112/J12+1</f>
        <v>8.84</v>
      </c>
      <c r="P112" s="188">
        <f>+ROUNDUP(O112,0)</f>
        <v>9</v>
      </c>
      <c r="Q112" s="188">
        <f>+E112+E112/6*50*(G12/1000)</f>
        <v>153.18333333333334</v>
      </c>
      <c r="R112" s="190">
        <f>+N112*M112+P112*Q112</f>
        <v>2766.33</v>
      </c>
      <c r="S112" s="186">
        <f>((I12*I12)/162)*R112</f>
        <v>1707.6111111111109</v>
      </c>
      <c r="T112" s="154" t="s">
        <v>156</v>
      </c>
    </row>
    <row r="113" spans="2:21">
      <c r="C113" s="154" t="s">
        <v>101</v>
      </c>
      <c r="D113" s="191">
        <f>ROUNDUP(+E112/K12,0)</f>
        <v>48</v>
      </c>
      <c r="E113" s="184"/>
      <c r="G113" s="192"/>
      <c r="H113" s="192">
        <f>E112*0.6*0.6</f>
        <v>50.904000000000003</v>
      </c>
      <c r="I113" s="191"/>
      <c r="J113" s="191">
        <f>0.5*(0.075+0.05)*0.075*C12*D113</f>
        <v>0.13500000000000001</v>
      </c>
      <c r="K113" s="191">
        <f>+(0.075+0.08)*C12*D113</f>
        <v>4.4640000000000004</v>
      </c>
      <c r="L113" s="193">
        <f>+D113</f>
        <v>48</v>
      </c>
      <c r="M113" s="188">
        <f>+ROUNDUP(L113,0)</f>
        <v>48</v>
      </c>
      <c r="N113" s="194">
        <f>+(C12-0.08)+((0.075+0.05-0.04)*2)</f>
        <v>0.69</v>
      </c>
      <c r="O113" s="193"/>
      <c r="P113" s="195"/>
      <c r="Q113" s="195"/>
      <c r="R113" s="190">
        <f>+N113*M113+P113*Q113</f>
        <v>33.119999999999997</v>
      </c>
      <c r="S113" s="186">
        <f>((I12*I12)/162)*R113</f>
        <v>20.444444444444443</v>
      </c>
      <c r="T113" s="154" t="s">
        <v>156</v>
      </c>
      <c r="U113" s="191">
        <f>S112+S113</f>
        <v>1728.0555555555552</v>
      </c>
    </row>
    <row r="114" spans="2:21">
      <c r="E114" s="184"/>
    </row>
    <row r="115" spans="2:21" hidden="1">
      <c r="B115" s="154" t="s">
        <v>154</v>
      </c>
      <c r="C115" s="178" t="s">
        <v>159</v>
      </c>
      <c r="E115" s="184">
        <f>38.37+14.75+46.92</f>
        <v>100.03999999999999</v>
      </c>
      <c r="G115" s="185">
        <f>+E115*(C15+E15*2+1.5)</f>
        <v>250.09999999999997</v>
      </c>
      <c r="H115" s="185">
        <f>+E115*(C15+E15*2)*(D15+E15+F15)</f>
        <v>92.536999999999992</v>
      </c>
      <c r="I115" s="186">
        <f>+(C15+E15*2)*E115*F15</f>
        <v>5.0019999999999998</v>
      </c>
      <c r="J115" s="186">
        <f>+E115*((C15+E15*2)*E15+(D15*E15*2))</f>
        <v>31.262499999999996</v>
      </c>
      <c r="K115" s="186">
        <f>+(D15+$K$104*(D15+E15))*E115*2</f>
        <v>325.13</v>
      </c>
      <c r="L115" s="187">
        <f>+(E115)/H15+ IF(E115&gt;0,1,0)</f>
        <v>501.19999999999993</v>
      </c>
      <c r="M115" s="188">
        <f>+ROUNDUP(L115,0)</f>
        <v>502</v>
      </c>
      <c r="N115" s="189">
        <f>+(D15+E15-0.08)*2+(C15+E15*2-0.08)</f>
        <v>2.5100000000000002</v>
      </c>
      <c r="O115" s="187">
        <f>+N115/J15+1</f>
        <v>11.040000000000001</v>
      </c>
      <c r="P115" s="188">
        <f>+ROUNDUP(O115,0)</f>
        <v>12</v>
      </c>
      <c r="Q115" s="188">
        <f>+E115+E115/6*50*(G15/1000)</f>
        <v>108.37666666666667</v>
      </c>
      <c r="R115" s="190">
        <f>+N115*M115+P115*Q115</f>
        <v>2560.54</v>
      </c>
      <c r="S115" s="186">
        <f>((I15*I15)/162)*R115</f>
        <v>1580.5802469135801</v>
      </c>
      <c r="T115" s="154" t="s">
        <v>156</v>
      </c>
    </row>
    <row r="116" spans="2:21" hidden="1">
      <c r="C116" s="154" t="s">
        <v>101</v>
      </c>
      <c r="D116" s="191">
        <f>ROUNDUP(+E115/K15,0)</f>
        <v>34</v>
      </c>
      <c r="E116" s="184"/>
      <c r="G116" s="192"/>
      <c r="H116" s="192"/>
      <c r="I116" s="191"/>
      <c r="J116" s="191">
        <f>0.5*(0.075+0.05)*0.075*C15*D116</f>
        <v>0.11953124999999999</v>
      </c>
      <c r="K116" s="191">
        <f>+(0.075+0.08)*C15*D116</f>
        <v>3.9524999999999997</v>
      </c>
      <c r="L116" s="193">
        <f>+D116</f>
        <v>34</v>
      </c>
      <c r="M116" s="188">
        <f>+ROUNDUP(L116,0)</f>
        <v>34</v>
      </c>
      <c r="N116" s="194">
        <f>+(C15-0.08)+((0.075+0.05-0.04)*2)</f>
        <v>0.84000000000000008</v>
      </c>
      <c r="O116" s="193"/>
      <c r="P116" s="195"/>
      <c r="Q116" s="195"/>
      <c r="R116" s="190">
        <f>+N116*M116+P116*Q116</f>
        <v>28.560000000000002</v>
      </c>
      <c r="S116" s="186">
        <f>((I15*I15)/162)*R116</f>
        <v>17.62962962962963</v>
      </c>
      <c r="T116" s="154" t="s">
        <v>156</v>
      </c>
      <c r="U116" s="191">
        <f>S115+S116</f>
        <v>1598.2098765432097</v>
      </c>
    </row>
    <row r="117" spans="2:21" hidden="1">
      <c r="B117" s="154" t="s">
        <v>154</v>
      </c>
      <c r="C117" s="178" t="s">
        <v>160</v>
      </c>
      <c r="E117" s="184">
        <f>71.61+3.62+3.2</f>
        <v>78.430000000000007</v>
      </c>
      <c r="G117" s="196">
        <f>+E117*(C15+E15*2+1.5)</f>
        <v>196.07500000000002</v>
      </c>
      <c r="H117" s="196">
        <f>+E117*(C15+E15*2)*(D15+E15+F15)</f>
        <v>72.547750000000008</v>
      </c>
      <c r="I117" s="197">
        <f>+(C15+E15*2)*E117*F15</f>
        <v>3.9215000000000004</v>
      </c>
      <c r="J117" s="197">
        <f>+E117*((C15+E15*2)*E15+(D15*E15*2))</f>
        <v>24.509375000000002</v>
      </c>
      <c r="K117" s="197">
        <f>+(D15+$K$104*(D15+E15))*E117*2</f>
        <v>254.89750000000004</v>
      </c>
      <c r="L117" s="187">
        <f>+(E117)/H15+ IF(E117&gt;0,1,0)</f>
        <v>393.15000000000003</v>
      </c>
      <c r="M117" s="198">
        <f>+ROUNDUP(L117,0)</f>
        <v>394</v>
      </c>
      <c r="N117" s="189">
        <f>+(D15+E15-0.08)*2+(C15+E15*2-0.08)</f>
        <v>2.5100000000000002</v>
      </c>
      <c r="O117" s="187">
        <f>+N117/J15+1</f>
        <v>11.040000000000001</v>
      </c>
      <c r="P117" s="198">
        <f>+ROUNDUP(O117,0)</f>
        <v>12</v>
      </c>
      <c r="Q117" s="188">
        <f>+E117+E117/6*50*(G15/1000)</f>
        <v>84.965833333333336</v>
      </c>
      <c r="R117" s="190">
        <f>+N117*M117+P117*Q117</f>
        <v>2008.5300000000002</v>
      </c>
      <c r="S117" s="197">
        <f>((I15*I15)/162)*R117</f>
        <v>1239.8333333333335</v>
      </c>
      <c r="T117" s="154" t="s">
        <v>156</v>
      </c>
    </row>
    <row r="118" spans="2:21" hidden="1">
      <c r="C118" s="154" t="s">
        <v>101</v>
      </c>
      <c r="D118" s="191">
        <f>ROUNDUP(+E117/K15,0)</f>
        <v>27</v>
      </c>
      <c r="E118" s="184"/>
      <c r="G118" s="199"/>
      <c r="H118" s="199"/>
      <c r="I118" s="200"/>
      <c r="J118" s="200">
        <f>0.5*(0.075+0.05)*0.075*C15*D118</f>
        <v>9.4921874999999989E-2</v>
      </c>
      <c r="K118" s="200">
        <f>+(0.075+0.08)*C15*D118</f>
        <v>3.1387499999999999</v>
      </c>
      <c r="L118" s="193">
        <f>+D118</f>
        <v>27</v>
      </c>
      <c r="M118" s="198">
        <f>+ROUNDUP(L118,0)</f>
        <v>27</v>
      </c>
      <c r="N118" s="194">
        <f>+(C15-0.08)+((0.075+0.05-0.04)*2)</f>
        <v>0.84000000000000008</v>
      </c>
      <c r="O118" s="193"/>
      <c r="P118" s="201"/>
      <c r="Q118" s="195"/>
      <c r="R118" s="190">
        <f>+N118*M118+P118*Q118</f>
        <v>22.680000000000003</v>
      </c>
      <c r="S118" s="197">
        <f>((I15*I15)/162)*R118</f>
        <v>14.000000000000002</v>
      </c>
      <c r="T118" s="154" t="s">
        <v>156</v>
      </c>
    </row>
    <row r="119" spans="2:21" hidden="1"/>
    <row r="120" spans="2:21" hidden="1">
      <c r="B120" s="154" t="s">
        <v>154</v>
      </c>
      <c r="C120" s="178" t="s">
        <v>164</v>
      </c>
      <c r="E120" s="184">
        <f>205*1.1</f>
        <v>225.50000000000003</v>
      </c>
      <c r="G120" s="196">
        <f>+E120*(C18+E18*2+1.5)</f>
        <v>608.85000000000014</v>
      </c>
      <c r="H120" s="196">
        <f>+E120*(C18+E18*2)*(D18+E18+F18)</f>
        <v>297.66000000000003</v>
      </c>
      <c r="I120" s="197">
        <f>+(C18+E18*2)*E120*F18</f>
        <v>13.530000000000001</v>
      </c>
      <c r="J120" s="197">
        <f>+E120*((C18+E18*2)*E18+(D18*E18*2))</f>
        <v>101.47500000000001</v>
      </c>
      <c r="K120" s="197">
        <f>+(D18+$K$104*(D18+E18))*E120*2</f>
        <v>879.45000000000016</v>
      </c>
      <c r="L120" s="187">
        <f>+(E120)/H18+ IF(E120&gt;0,1,0)</f>
        <v>1289.5714285714289</v>
      </c>
      <c r="M120" s="198">
        <f>+ROUNDUP(L120,0)</f>
        <v>1290</v>
      </c>
      <c r="N120" s="189">
        <f>+(D18+E18-0.08)*2+(C18+E18*2-0.08)</f>
        <v>3.06</v>
      </c>
      <c r="O120" s="187">
        <f>+N120/J18+1</f>
        <v>13.24</v>
      </c>
      <c r="P120" s="198">
        <f>+ROUNDUP(O120,0)</f>
        <v>14</v>
      </c>
      <c r="Q120" s="188">
        <f>+E120+E120/6*50*(G18/1000)</f>
        <v>244.29166666666669</v>
      </c>
      <c r="R120" s="190">
        <f>+N120*M120+P120*Q120</f>
        <v>7367.4833333333336</v>
      </c>
      <c r="S120" s="197">
        <f>((I18*I18)/162)*R120</f>
        <v>4547.8292181069955</v>
      </c>
      <c r="T120" s="154" t="s">
        <v>156</v>
      </c>
    </row>
    <row r="121" spans="2:21" hidden="1">
      <c r="C121" s="154" t="s">
        <v>101</v>
      </c>
      <c r="D121" s="191">
        <f>ROUNDUP(+E120/K18,0)</f>
        <v>76</v>
      </c>
      <c r="E121" s="184"/>
      <c r="G121" s="199"/>
      <c r="H121" s="199"/>
      <c r="I121" s="200"/>
      <c r="J121" s="200">
        <f>0.5*(0.075+0.05)*0.075*C18*D121</f>
        <v>0.32062500000000005</v>
      </c>
      <c r="K121" s="200">
        <f>+(0.075+0.08)*C18*D121</f>
        <v>10.602</v>
      </c>
      <c r="L121" s="193">
        <f>+D121</f>
        <v>76</v>
      </c>
      <c r="M121" s="198">
        <f>+ROUNDUP(L121,0)</f>
        <v>76</v>
      </c>
      <c r="N121" s="194">
        <f>+(C18-0.08)+((0.075+0.05-0.04)*2)</f>
        <v>0.99</v>
      </c>
      <c r="O121" s="193"/>
      <c r="P121" s="201"/>
      <c r="Q121" s="195"/>
      <c r="R121" s="190">
        <f>+N121*M121+P121*Q121</f>
        <v>75.239999999999995</v>
      </c>
      <c r="S121" s="197">
        <f>((I18*I18)/162)*R121</f>
        <v>46.444444444444436</v>
      </c>
      <c r="T121" s="154" t="s">
        <v>156</v>
      </c>
    </row>
    <row r="122" spans="2:21" hidden="1"/>
    <row r="123" spans="2:21" hidden="1">
      <c r="B123" s="154" t="s">
        <v>154</v>
      </c>
      <c r="C123" s="178" t="s">
        <v>165</v>
      </c>
      <c r="E123" s="184">
        <f>32.19+61.79</f>
        <v>93.97999999999999</v>
      </c>
      <c r="G123" s="185">
        <f>+E123*(C21+E21*2+3)</f>
        <v>404.11399999999992</v>
      </c>
      <c r="H123" s="185">
        <f>+E123*(C21+E21*2)*(D21+E21+F21)</f>
        <v>146.60879999999997</v>
      </c>
      <c r="I123" s="186">
        <f>+(C21+E21*2)*E123*F21</f>
        <v>6.1086999999999998</v>
      </c>
      <c r="J123" s="186">
        <f>+E123*((C21+E21*2)*E21+(D21*E21*2))</f>
        <v>46.520099999999992</v>
      </c>
      <c r="K123" s="186">
        <f>+(D21+$K$104*(D21+E21))*E123*2</f>
        <v>404.11399999999992</v>
      </c>
      <c r="L123" s="187">
        <f>+(E123)/H21+ IF(E123&gt;0,1,0)</f>
        <v>538.02857142857135</v>
      </c>
      <c r="M123" s="188">
        <f>+ROUNDUP(L123,0)</f>
        <v>539</v>
      </c>
      <c r="N123" s="189">
        <f>+(D21+E21-0.08)*2+(C21+E21*2-0.08)</f>
        <v>3.3599999999999994</v>
      </c>
      <c r="O123" s="187">
        <f>+N123/J21+1</f>
        <v>14.439999999999998</v>
      </c>
      <c r="P123" s="188">
        <f>+ROUNDUP(O123,0)</f>
        <v>15</v>
      </c>
      <c r="Q123" s="188">
        <f>+E123+E123/6*50*(G21/1000)</f>
        <v>101.81166666666665</v>
      </c>
      <c r="R123" s="190">
        <f>+N123*M123+P123*Q123</f>
        <v>3338.2149999999992</v>
      </c>
      <c r="S123" s="186">
        <f>((I21*I21)/162)*R123</f>
        <v>2060.6265432098758</v>
      </c>
      <c r="T123" s="154" t="s">
        <v>156</v>
      </c>
    </row>
    <row r="124" spans="2:21" hidden="1">
      <c r="C124" s="154" t="s">
        <v>101</v>
      </c>
      <c r="D124" s="191">
        <f>ROUNDUP(+E123/K21,0)</f>
        <v>32</v>
      </c>
      <c r="E124" s="184"/>
      <c r="G124" s="192"/>
      <c r="H124" s="192"/>
      <c r="I124" s="191"/>
      <c r="J124" s="191">
        <f>0.5*(0.075+0.05)*0.075*C21*D124</f>
        <v>0.15</v>
      </c>
      <c r="K124" s="191">
        <f>+(0.075+0.08)*C21*D124</f>
        <v>4.96</v>
      </c>
      <c r="L124" s="193">
        <f>+D124</f>
        <v>32</v>
      </c>
      <c r="M124" s="188">
        <f>+ROUNDUP(L124,0)</f>
        <v>32</v>
      </c>
      <c r="N124" s="194">
        <f>+(C21-0.08)+((0.075+0.05-0.04)*2)</f>
        <v>1.0900000000000001</v>
      </c>
      <c r="O124" s="193"/>
      <c r="P124" s="195"/>
      <c r="Q124" s="195"/>
      <c r="R124" s="190">
        <f>+N124*M124+P124*Q124</f>
        <v>34.880000000000003</v>
      </c>
      <c r="S124" s="186">
        <f>((I21*I21)/162)*R124</f>
        <v>21.530864197530864</v>
      </c>
      <c r="T124" s="154" t="s">
        <v>156</v>
      </c>
    </row>
    <row r="125" spans="2:21" hidden="1"/>
    <row r="126" spans="2:21" hidden="1">
      <c r="B126" s="154" t="s">
        <v>154</v>
      </c>
      <c r="C126" s="178" t="s">
        <v>166</v>
      </c>
      <c r="E126" s="184">
        <f>205*1.1</f>
        <v>225.50000000000003</v>
      </c>
      <c r="G126" s="196">
        <f>+E126*(C24+E24*2+1.5)</f>
        <v>451.00000000000006</v>
      </c>
      <c r="H126" s="196">
        <f>+E126*(C24+E24*2)*(((D24+E24+F24)*2+0.1)/2)</f>
        <v>56.375000000000007</v>
      </c>
      <c r="I126" s="197">
        <f>+(C24+E24*2)*E126*F24</f>
        <v>5.6375000000000011</v>
      </c>
      <c r="J126" s="197">
        <f>+E126*((C24+E24*2)*E24+(D24*E24)+((D24+0.1)*E24))</f>
        <v>27.060000000000006</v>
      </c>
      <c r="K126" s="197">
        <f>+((D24*2)+$K$104*((D24+E24)+(D24+E24+0.1)))*E126</f>
        <v>338.25000000000006</v>
      </c>
      <c r="L126" s="187">
        <f>+(E126)/H24+ IF(E126&gt;0,1,0)</f>
        <v>1128.5</v>
      </c>
      <c r="M126" s="198">
        <f>+ROUNDUP(L126,0)</f>
        <v>1129</v>
      </c>
      <c r="N126" s="189">
        <f>+(D24+E24-0.08)+(D24+E24+0.1-0.08)+(C24+E24*2-0.08)</f>
        <v>1.1599999999999999</v>
      </c>
      <c r="O126" s="187">
        <f>+N126/J24+1</f>
        <v>5.64</v>
      </c>
      <c r="P126" s="198">
        <f>+ROUNDUP(O126,0)</f>
        <v>6</v>
      </c>
      <c r="Q126" s="188">
        <f>+E126+E126/6*50*(G24/1000)</f>
        <v>244.29166666666669</v>
      </c>
      <c r="R126" s="190">
        <f>+N126*M126+P126*Q126</f>
        <v>2775.39</v>
      </c>
      <c r="S126" s="197">
        <f>((I24*I24)/162)*R126</f>
        <v>1713.2037037037035</v>
      </c>
      <c r="T126" s="154" t="s">
        <v>156</v>
      </c>
    </row>
    <row r="127" spans="2:21" hidden="1">
      <c r="C127" s="154" t="s">
        <v>101</v>
      </c>
      <c r="D127" s="191">
        <f>ROUNDUP(+E126/K24,0)</f>
        <v>76</v>
      </c>
      <c r="E127" s="184"/>
      <c r="G127" s="199"/>
      <c r="H127" s="199"/>
      <c r="I127" s="200"/>
      <c r="J127" s="200">
        <f>0.5*(0.075+0.05)*0.075*C24*D127</f>
        <v>0.106875</v>
      </c>
      <c r="K127" s="200">
        <f>+(0.075+0.08)*C24*D127</f>
        <v>3.5339999999999998</v>
      </c>
      <c r="L127" s="193">
        <f>+D127</f>
        <v>76</v>
      </c>
      <c r="M127" s="198">
        <f>+ROUNDUP(L127,0)</f>
        <v>76</v>
      </c>
      <c r="N127" s="194">
        <f>+(C24-0.08)+((0.075+0.05-0.04)*2)</f>
        <v>0.38999999999999996</v>
      </c>
      <c r="O127" s="193"/>
      <c r="P127" s="201"/>
      <c r="Q127" s="195"/>
      <c r="R127" s="190">
        <f>+N127*M127+P127*Q127</f>
        <v>29.639999999999997</v>
      </c>
      <c r="S127" s="197">
        <f>((I24*I24)/162)*R127</f>
        <v>18.296296296296294</v>
      </c>
      <c r="T127" s="154" t="s">
        <v>156</v>
      </c>
    </row>
    <row r="128" spans="2:21" hidden="1"/>
    <row r="129" spans="2:20" hidden="1">
      <c r="B129" s="154" t="s">
        <v>154</v>
      </c>
      <c r="C129" s="178" t="s">
        <v>167</v>
      </c>
      <c r="E129" s="184">
        <f>41.61*1.1</f>
        <v>45.771000000000001</v>
      </c>
      <c r="G129" s="185">
        <f>+E129*(C27+E27*2+1.5)</f>
        <v>105.27329999999999</v>
      </c>
      <c r="H129" s="185">
        <f>+E129*(C27+E27*2)*(((D27+E27+F27)*2+0.1)/2)</f>
        <v>29.293440000000004</v>
      </c>
      <c r="I129" s="186">
        <f>+(C27+E27*2)*E129*F27</f>
        <v>1.8308400000000002</v>
      </c>
      <c r="J129" s="186">
        <f>+E129*((C27+E27*2)*E27+(D27*E27)+((D27+0.1)*E27))</f>
        <v>9.6119100000000017</v>
      </c>
      <c r="K129" s="186">
        <f>+((D27*2)+$K$104*((D27+E27)+(D27+E27+0.1)))*E129</f>
        <v>123.58170000000001</v>
      </c>
      <c r="L129" s="187">
        <f>+(E129)/H27+ IF(E129&gt;0,1,0)</f>
        <v>229.85499999999999</v>
      </c>
      <c r="M129" s="188">
        <f>+ROUNDUP(L129,0)</f>
        <v>230</v>
      </c>
      <c r="N129" s="189">
        <f>+(D27+E27-0.08)+(D27+E27+0.1-0.08)+(C27+E27*2-0.08)</f>
        <v>2.06</v>
      </c>
      <c r="O129" s="187">
        <f>+N129/J27+1</f>
        <v>9.24</v>
      </c>
      <c r="P129" s="188">
        <f>+ROUNDUP(O129,0)</f>
        <v>10</v>
      </c>
      <c r="Q129" s="188">
        <f>+E129+E129/6*50*(G27/1000)</f>
        <v>49.585250000000002</v>
      </c>
      <c r="R129" s="190">
        <f>+N129*M129+P129*Q129</f>
        <v>969.65250000000003</v>
      </c>
      <c r="S129" s="186">
        <f>((I27*I27)/162)*R129</f>
        <v>598.55092592592587</v>
      </c>
      <c r="T129" s="154" t="s">
        <v>156</v>
      </c>
    </row>
    <row r="130" spans="2:20" hidden="1">
      <c r="C130" s="154" t="s">
        <v>101</v>
      </c>
      <c r="D130" s="191">
        <f>ROUNDUP(+E129/K27,0)</f>
        <v>16</v>
      </c>
      <c r="E130" s="184"/>
      <c r="G130" s="192"/>
      <c r="H130" s="192"/>
      <c r="I130" s="191"/>
      <c r="J130" s="191">
        <f>0.5*(0.075+0.05)*0.075*C27*D130</f>
        <v>4.4999999999999998E-2</v>
      </c>
      <c r="K130" s="191">
        <f>+(0.075+0.08)*C27*D130</f>
        <v>1.488</v>
      </c>
      <c r="L130" s="193">
        <f>+D130</f>
        <v>16</v>
      </c>
      <c r="M130" s="188">
        <f>+ROUNDUP(L130,0)</f>
        <v>16</v>
      </c>
      <c r="N130" s="194">
        <f>+(C27-0.08)+((0.075+0.05-0.04)*2)</f>
        <v>0.69</v>
      </c>
      <c r="O130" s="193"/>
      <c r="P130" s="195"/>
      <c r="Q130" s="195"/>
      <c r="R130" s="190">
        <f>+N130*M130+P130*Q130</f>
        <v>11.04</v>
      </c>
      <c r="S130" s="186">
        <f>((I27*I27)/162)*R130</f>
        <v>6.814814814814814</v>
      </c>
      <c r="T130" s="154" t="s">
        <v>156</v>
      </c>
    </row>
    <row r="131" spans="2:20" hidden="1"/>
    <row r="132" spans="2:20" hidden="1">
      <c r="B132" s="154" t="s">
        <v>154</v>
      </c>
      <c r="C132" s="178" t="s">
        <v>168</v>
      </c>
      <c r="E132" s="184"/>
      <c r="G132" s="185">
        <f>+E132*(C30+E30*2+0.5)</f>
        <v>0</v>
      </c>
      <c r="H132" s="185">
        <f>+E132*(C30+E30*2)*(((D30+E30+F30)*2+0.1)/2)</f>
        <v>0</v>
      </c>
      <c r="I132" s="186">
        <f>+(C30+E30*2)*E132*F30</f>
        <v>0</v>
      </c>
      <c r="J132" s="186">
        <f>+E132*((C30+E30*2)*E30+(D30*E30)+((D30+0.1)*E30))</f>
        <v>0</v>
      </c>
      <c r="K132" s="186">
        <f>+((D30*2)+$K$104*((D30+E30)+(D30+E30+0.1)))*E132</f>
        <v>0</v>
      </c>
      <c r="L132" s="187">
        <f>+(E132)/H30+ IF(E132&gt;0,1,0)</f>
        <v>0</v>
      </c>
      <c r="M132" s="188">
        <f>+ROUNDUP(L132,0)</f>
        <v>0</v>
      </c>
      <c r="N132" s="189">
        <f>+(D30+E30-0.08)+(D30+E30+0.1-0.08)+(C30+E30*2-0.08)</f>
        <v>1.1599999999999999</v>
      </c>
      <c r="O132" s="187">
        <f>+N132/J30+1</f>
        <v>5.64</v>
      </c>
      <c r="P132" s="188">
        <f>+ROUNDUP(O132,0)</f>
        <v>6</v>
      </c>
      <c r="Q132" s="188">
        <f>+E132+E132/6*50*(G30/1000)</f>
        <v>0</v>
      </c>
      <c r="R132" s="190">
        <f>+N132*M132+P132*Q132</f>
        <v>0</v>
      </c>
      <c r="S132" s="186">
        <f>((I30*I30)/162)*R132</f>
        <v>0</v>
      </c>
      <c r="T132" s="154" t="s">
        <v>156</v>
      </c>
    </row>
    <row r="133" spans="2:20" hidden="1">
      <c r="C133" s="154" t="s">
        <v>121</v>
      </c>
      <c r="D133" s="191"/>
      <c r="E133" s="184">
        <f>+E132</f>
        <v>0</v>
      </c>
      <c r="G133" s="185">
        <f>+E133*(C31+0.5)</f>
        <v>0</v>
      </c>
      <c r="H133" s="192">
        <f>+E133*C31*E31</f>
        <v>0</v>
      </c>
      <c r="I133" s="191"/>
      <c r="J133" s="191">
        <f>+E133*C31*E31</f>
        <v>0</v>
      </c>
      <c r="K133" s="191">
        <f>+E133*E31</f>
        <v>0</v>
      </c>
      <c r="L133" s="187">
        <f>+(E133)/H31+ IF(E133&gt;0,1,0)</f>
        <v>0</v>
      </c>
      <c r="M133" s="188">
        <f>+ROUNDUP(L133,0)</f>
        <v>0</v>
      </c>
      <c r="N133" s="189">
        <f>+C31-0.04</f>
        <v>1.46</v>
      </c>
      <c r="O133" s="187">
        <f>+N133/J31+1</f>
        <v>10.733333333333334</v>
      </c>
      <c r="P133" s="188">
        <f>+ROUNDUP(O133,0)</f>
        <v>11</v>
      </c>
      <c r="Q133" s="188">
        <f>+E133+E133/6*50*(G31/1000)</f>
        <v>0</v>
      </c>
      <c r="R133" s="190">
        <f>+N133*M133+P133*Q133</f>
        <v>0</v>
      </c>
      <c r="S133" s="186">
        <f>((I31*I31)/162)*R133</f>
        <v>0</v>
      </c>
      <c r="T133" s="154" t="s">
        <v>156</v>
      </c>
    </row>
    <row r="134" spans="2:20" hidden="1">
      <c r="N134" s="189"/>
    </row>
    <row r="135" spans="2:20" hidden="1">
      <c r="B135" s="154" t="s">
        <v>154</v>
      </c>
      <c r="C135" s="178" t="s">
        <v>169</v>
      </c>
      <c r="E135" s="184">
        <f>205*1.1</f>
        <v>225.50000000000003</v>
      </c>
      <c r="G135" s="196">
        <f>+E135*(C33+E33*2+0.5)</f>
        <v>259.32499999999999</v>
      </c>
      <c r="H135" s="196">
        <f>+E135*(C33+E33*2)*(((D33+E33+F33)*2+0.1)/2)</f>
        <v>95.273750000000035</v>
      </c>
      <c r="I135" s="197">
        <f>+(C33+E33*2)*E135*F33</f>
        <v>7.3287500000000012</v>
      </c>
      <c r="J135" s="197">
        <f>+E135*((C33+E33*2)*E33+(D33*E33)+((D33+0.1)*E33))</f>
        <v>37.20750000000001</v>
      </c>
      <c r="K135" s="197">
        <f>+((D33*2)+$K$104*((D33+E33)+(D33+E33+0.1)))*E135</f>
        <v>473.55000000000007</v>
      </c>
      <c r="L135" s="187">
        <f>+(E135)/H33+ IF(E135&gt;0,1,0)</f>
        <v>903.00000000000011</v>
      </c>
      <c r="M135" s="198">
        <f>+ROUNDUP(L135,0)</f>
        <v>903</v>
      </c>
      <c r="N135" s="189">
        <f>+(D33+E33-0.08)+(D33+E33+0.1-0.08)+(C33+E33*2-0.08)</f>
        <v>1.61</v>
      </c>
      <c r="O135" s="187">
        <f>+N135/J33+1</f>
        <v>7.44</v>
      </c>
      <c r="P135" s="198">
        <f>+ROUNDUP(O135,0)</f>
        <v>8</v>
      </c>
      <c r="Q135" s="188">
        <f>+E135+E135/6*50*(G33/1000)</f>
        <v>244.29166666666669</v>
      </c>
      <c r="R135" s="190">
        <f>+N135*M135+P135*Q135</f>
        <v>3408.1633333333339</v>
      </c>
      <c r="S135" s="197">
        <f>((I33*I33)/162)*R135</f>
        <v>2103.8045267489715</v>
      </c>
      <c r="T135" s="154" t="s">
        <v>156</v>
      </c>
    </row>
    <row r="136" spans="2:20" hidden="1">
      <c r="C136" s="154" t="s">
        <v>121</v>
      </c>
      <c r="D136" s="191"/>
      <c r="E136" s="184">
        <f>+E135</f>
        <v>225.50000000000003</v>
      </c>
      <c r="G136" s="196">
        <f>+E136*(C34+0.5)</f>
        <v>451.00000000000006</v>
      </c>
      <c r="H136" s="199">
        <f>+E136*C34*E34</f>
        <v>33.82500000000001</v>
      </c>
      <c r="I136" s="200"/>
      <c r="J136" s="200">
        <f>+E136*C34*E34</f>
        <v>33.82500000000001</v>
      </c>
      <c r="K136" s="200">
        <f>+E136*E34</f>
        <v>22.550000000000004</v>
      </c>
      <c r="L136" s="187">
        <f>+(E136)/H34+ IF(E136&gt;0,1,0)</f>
        <v>903.00000000000011</v>
      </c>
      <c r="M136" s="198">
        <f>+ROUNDUP(L136,0)</f>
        <v>903</v>
      </c>
      <c r="N136" s="189">
        <f>+C34-0.04</f>
        <v>1.46</v>
      </c>
      <c r="O136" s="187">
        <f>+N136/J34+1</f>
        <v>10.733333333333334</v>
      </c>
      <c r="P136" s="198">
        <f>+ROUNDUP(O136,0)</f>
        <v>11</v>
      </c>
      <c r="Q136" s="188">
        <f>+E136+E136/6*50*(G34/1000)</f>
        <v>244.29166666666669</v>
      </c>
      <c r="R136" s="190">
        <f>+N136*M136+P136*Q136</f>
        <v>4005.5883333333331</v>
      </c>
      <c r="S136" s="197">
        <f>((I34*I34)/162)*R136</f>
        <v>2472.5853909465018</v>
      </c>
      <c r="T136" s="154" t="s">
        <v>156</v>
      </c>
    </row>
    <row r="137" spans="2:20" hidden="1">
      <c r="N137" s="189"/>
    </row>
    <row r="138" spans="2:20" hidden="1">
      <c r="B138" s="154" t="s">
        <v>154</v>
      </c>
      <c r="C138" s="178" t="s">
        <v>170</v>
      </c>
      <c r="E138" s="184">
        <f>205*1.1</f>
        <v>225.50000000000003</v>
      </c>
      <c r="G138" s="196">
        <f>+E138*(C36+E36*2+0.5)</f>
        <v>383.35</v>
      </c>
      <c r="H138" s="196">
        <f>+E138*(C36+E36*2)*(((D36+E36+F36)*2+0.1)/2)</f>
        <v>94.710000000000008</v>
      </c>
      <c r="I138" s="197">
        <f>+(C36+E36*2)*E138*F36</f>
        <v>13.530000000000001</v>
      </c>
      <c r="J138" s="197">
        <f>+E138*((C36+E36*2)*E36+(D36*E36)+((D36+0.1)*E36))</f>
        <v>36.080000000000005</v>
      </c>
      <c r="K138" s="197">
        <f>+((D36*2)+$K$104*((D36+E36)+(D36+E36+0.1)))*E138</f>
        <v>202.95000000000002</v>
      </c>
      <c r="L138" s="187">
        <f>+(E138)/H36+ IF(E138&gt;0,1,0)</f>
        <v>903.00000000000011</v>
      </c>
      <c r="M138" s="198">
        <f>+ROUNDUP(L138,0)</f>
        <v>903</v>
      </c>
      <c r="N138" s="189">
        <f>+(D36+E36-0.08)+(D36+E36+0.1-0.08)+(C36+E36*2-0.08)</f>
        <v>1.5599999999999998</v>
      </c>
      <c r="O138" s="187">
        <f>+N138/J36+1</f>
        <v>7.2399999999999993</v>
      </c>
      <c r="P138" s="198">
        <f>+ROUNDUP(O138,0)</f>
        <v>8</v>
      </c>
      <c r="Q138" s="188">
        <f>+E138+E138/6*50*(G36/1000)</f>
        <v>244.29166666666669</v>
      </c>
      <c r="R138" s="190">
        <f>+N138*M138+P138*Q138</f>
        <v>3363.0133333333333</v>
      </c>
      <c r="S138" s="197">
        <f>((I36*I36)/162)*R138</f>
        <v>2075.9341563786006</v>
      </c>
      <c r="T138" s="154" t="s">
        <v>156</v>
      </c>
    </row>
    <row r="139" spans="2:20" hidden="1">
      <c r="C139" s="154" t="s">
        <v>121</v>
      </c>
      <c r="D139" s="191"/>
      <c r="E139" s="184">
        <f>+E138</f>
        <v>225.50000000000003</v>
      </c>
      <c r="G139" s="196">
        <f>+E139*(C37+0.5)</f>
        <v>451.00000000000006</v>
      </c>
      <c r="H139" s="199">
        <f>+E139*C37*E37</f>
        <v>33.82500000000001</v>
      </c>
      <c r="I139" s="200"/>
      <c r="J139" s="200">
        <f>+E139*C37*E37</f>
        <v>33.82500000000001</v>
      </c>
      <c r="K139" s="200">
        <f>+E139*E37</f>
        <v>22.550000000000004</v>
      </c>
      <c r="L139" s="187">
        <f>+(E139)/H37+ IF(E139&gt;0,1,0)</f>
        <v>903.00000000000011</v>
      </c>
      <c r="M139" s="198">
        <f>+ROUNDUP(L139,0)</f>
        <v>903</v>
      </c>
      <c r="N139" s="189">
        <f>+C37-0.04</f>
        <v>1.46</v>
      </c>
      <c r="O139" s="187">
        <f>+N139/J37+1</f>
        <v>10.733333333333334</v>
      </c>
      <c r="P139" s="198">
        <f>+ROUNDUP(O139,0)</f>
        <v>11</v>
      </c>
      <c r="Q139" s="188">
        <f>+E139+E139/6*50*(G37/1000)</f>
        <v>244.29166666666669</v>
      </c>
      <c r="R139" s="190">
        <f>+N139*M139+P139*Q139</f>
        <v>4005.5883333333331</v>
      </c>
      <c r="S139" s="197">
        <f>((I37*I37)/162)*R139</f>
        <v>2472.5853909465018</v>
      </c>
      <c r="T139" s="154" t="s">
        <v>156</v>
      </c>
    </row>
    <row r="140" spans="2:20" hidden="1">
      <c r="N140" s="189"/>
    </row>
    <row r="141" spans="2:20" hidden="1">
      <c r="B141" s="376" t="s">
        <v>154</v>
      </c>
      <c r="C141" s="377" t="s">
        <v>171</v>
      </c>
      <c r="E141" s="184">
        <v>312.66000000000003</v>
      </c>
      <c r="G141" s="185">
        <f>+E141*(C39+E39)</f>
        <v>343.92600000000004</v>
      </c>
      <c r="H141" s="185">
        <f>+E141*(C39+E39)*E39</f>
        <v>34.392600000000009</v>
      </c>
      <c r="I141" s="186">
        <f>+E141*(C39+E39)*F39</f>
        <v>17.196300000000004</v>
      </c>
      <c r="J141" s="186">
        <f>+E141*((C39+E39)*E39+(E39*D39))</f>
        <v>40.645800000000001</v>
      </c>
      <c r="K141" s="186">
        <f>+E141*(E39*2+D39*2)</f>
        <v>187.59600000000003</v>
      </c>
      <c r="L141" s="187">
        <f>+(E141)/H39+ IF(E141&gt;0,1,0)</f>
        <v>1251.6400000000001</v>
      </c>
      <c r="M141" s="188">
        <f>+ROUNDUP(L141,0)</f>
        <v>1252</v>
      </c>
      <c r="N141" s="189">
        <f>+(C39+E39-0.08)+(D39+E39-0.08)</f>
        <v>1.24</v>
      </c>
      <c r="O141" s="187">
        <f>+N141/J39+1</f>
        <v>5.96</v>
      </c>
      <c r="P141" s="188">
        <f>+ROUNDUP(O141,0)</f>
        <v>6</v>
      </c>
      <c r="Q141" s="188">
        <f>+E141+E141/6*50*(G39/1000)</f>
        <v>338.71500000000003</v>
      </c>
      <c r="R141" s="190">
        <f>+N141*M141+P141*Q141</f>
        <v>3584.7700000000004</v>
      </c>
      <c r="S141" s="186">
        <f>((I39*I39)/162)*R141</f>
        <v>2212.820987654321</v>
      </c>
      <c r="T141" s="154" t="s">
        <v>156</v>
      </c>
    </row>
    <row r="142" spans="2:20" hidden="1">
      <c r="N142" s="189"/>
    </row>
    <row r="143" spans="2:20" hidden="1">
      <c r="B143" s="154" t="s">
        <v>154</v>
      </c>
      <c r="C143" s="178" t="s">
        <v>172</v>
      </c>
      <c r="E143" s="184">
        <f>205*1.1</f>
        <v>225.50000000000003</v>
      </c>
      <c r="G143" s="196">
        <f>+E143*(C41+E41)</f>
        <v>248.05000000000004</v>
      </c>
      <c r="H143" s="196">
        <f>+E143*(C41+E41)*E41</f>
        <v>24.805000000000007</v>
      </c>
      <c r="I143" s="197">
        <f>+E143*(C41+E41)*F41</f>
        <v>12.402500000000003</v>
      </c>
      <c r="J143" s="197">
        <f>+E143*((C41+E41)*E41+(E41*D41))</f>
        <v>31.570000000000007</v>
      </c>
      <c r="K143" s="197">
        <f>+E143*(E41*2+D41*2)</f>
        <v>180.40000000000003</v>
      </c>
      <c r="L143" s="187">
        <f>+(E143)/H41+ IF(E143&gt;0,1,0)</f>
        <v>903.00000000000011</v>
      </c>
      <c r="M143" s="198">
        <f>+ROUNDUP(L143,0)</f>
        <v>903</v>
      </c>
      <c r="N143" s="189">
        <f>+(C41+E41-0.08)+(D41+E41-0.08)</f>
        <v>1.34</v>
      </c>
      <c r="O143" s="187">
        <f>+N143/J41+1</f>
        <v>6.36</v>
      </c>
      <c r="P143" s="198">
        <f>+ROUNDUP(O143,0)</f>
        <v>7</v>
      </c>
      <c r="Q143" s="188">
        <f>+E143+E143/6*50*(G41/1000)</f>
        <v>244.29166666666669</v>
      </c>
      <c r="R143" s="190">
        <f>+N143*M143+P143*Q143</f>
        <v>2920.0616666666665</v>
      </c>
      <c r="S143" s="197">
        <f>((I41*I41)/162)*R143</f>
        <v>1802.5072016460904</v>
      </c>
      <c r="T143" s="154" t="s">
        <v>156</v>
      </c>
    </row>
    <row r="144" spans="2:20" hidden="1">
      <c r="N144" s="189"/>
    </row>
    <row r="145" spans="2:20" hidden="1">
      <c r="B145" s="154" t="s">
        <v>154</v>
      </c>
      <c r="C145" s="178" t="s">
        <v>173</v>
      </c>
      <c r="E145" s="184">
        <v>81.819999999999993</v>
      </c>
      <c r="G145" s="196">
        <f>+E145*(C43+E43*2+1.5)</f>
        <v>196.36799999999997</v>
      </c>
      <c r="H145" s="196">
        <f>+E145*(C43+E43*2)*(((D43+E43+F43)*2+0.6)/2)</f>
        <v>81.001800000000003</v>
      </c>
      <c r="I145" s="197">
        <f>+(C43+E43*2)*E145*F43</f>
        <v>3.6818999999999997</v>
      </c>
      <c r="J145" s="197">
        <f>+E145*((C43+E43*2)*E43+(D43*E43)+((D43+0.6)*E43))</f>
        <v>33.137099999999997</v>
      </c>
      <c r="K145" s="197">
        <f>+((D43*2)+$K$104*((D43+E43)+(D43+E43+0.6)))*E145</f>
        <v>270.00599999999997</v>
      </c>
      <c r="L145" s="187">
        <f>+(E145)/H43+ IF(E145&gt;0,1,0)</f>
        <v>328.28</v>
      </c>
      <c r="M145" s="198">
        <f>+ROUNDUP(L145,0)</f>
        <v>329</v>
      </c>
      <c r="N145" s="189">
        <f>+(E43+D43+E43+C43+2*E43+E43+D43+0.6+E43-9*0.04)+(E43+D43+2*E43-5*0.04)+(E43+0.6+D43+2*E43-5*0.04)+(C43+4*E43-6*0.04)</f>
        <v>6.2</v>
      </c>
      <c r="O145" s="187">
        <f>2*(D43/J43+1)+2*((D43+0.6)/J43+1)+((C43+2*E43)/J43+1)</f>
        <v>23</v>
      </c>
      <c r="P145" s="198">
        <f>+ROUNDUP(O145,0)</f>
        <v>23</v>
      </c>
      <c r="Q145" s="188">
        <f>+E145+E145/6*50*(G43/1000)</f>
        <v>88.638333333333321</v>
      </c>
      <c r="R145" s="190">
        <f>+N145*M145+P145*Q145</f>
        <v>4078.4816666666666</v>
      </c>
      <c r="S145" s="197">
        <f>((I43*I43)/162)*R145</f>
        <v>2517.5812757201643</v>
      </c>
      <c r="T145" s="154" t="s">
        <v>156</v>
      </c>
    </row>
    <row r="146" spans="2:20" hidden="1"/>
    <row r="147" spans="2:20" hidden="1">
      <c r="B147" s="154" t="s">
        <v>154</v>
      </c>
      <c r="C147" s="178" t="s">
        <v>174</v>
      </c>
      <c r="E147" s="184">
        <f>205*1.1</f>
        <v>225.50000000000003</v>
      </c>
      <c r="G147" s="196">
        <f>+E147*(C45+E45*2+1.5)</f>
        <v>586.30000000000007</v>
      </c>
      <c r="H147" s="196">
        <f>+E147*(C45+E45*2)*(((D45+E45+F45)*2+0.6)/2)</f>
        <v>322.46500000000009</v>
      </c>
      <c r="I147" s="197">
        <f>+(C45+E45*2)*E147*F45</f>
        <v>12.402500000000003</v>
      </c>
      <c r="J147" s="197">
        <f>+E147*((C45+E45*2)*E45+(D45*E45)+((D45+0.6)*E45))</f>
        <v>111.62250000000002</v>
      </c>
      <c r="K147" s="197">
        <f>+((D45*2)+$K$104*((D45+E45)+(D45+E45+0.6)))*E147</f>
        <v>924.55000000000007</v>
      </c>
      <c r="L147" s="187">
        <f>+(E147)/H45+ IF(E147&gt;0,1,0)</f>
        <v>903.00000000000011</v>
      </c>
      <c r="M147" s="198">
        <f>+ROUNDUP(L147,0)</f>
        <v>903</v>
      </c>
      <c r="N147" s="189">
        <f>+(E45+D45+E45+C45+2*E45+E45+D45+0.6+E45-9*0.04)+(E45+D45+2*E45-5*0.04)+(E45+0.6+D45+2*E45-5*0.04)+(C45+4*E45-6*0.04)</f>
        <v>7.4000000000000012</v>
      </c>
      <c r="O147" s="187">
        <f>2*(D45/J45+1)+2*((D45+0.6)/J45+1)+((C45+2*E45)/J45+1)</f>
        <v>27</v>
      </c>
      <c r="P147" s="198">
        <f>+ROUNDUP(O147,0)</f>
        <v>27</v>
      </c>
      <c r="Q147" s="188">
        <f>+E147+E147/6*50*(G45/1000)</f>
        <v>244.29166666666669</v>
      </c>
      <c r="R147" s="190">
        <f>+N147*M147+P147*Q147</f>
        <v>13278.075000000001</v>
      </c>
      <c r="S147" s="197">
        <f>((I45*I45)/162)*R147</f>
        <v>8196.3425925925931</v>
      </c>
      <c r="T147" s="154" t="s">
        <v>156</v>
      </c>
    </row>
    <row r="148" spans="2:20" hidden="1"/>
    <row r="149" spans="2:20" hidden="1">
      <c r="B149" s="154" t="s">
        <v>154</v>
      </c>
      <c r="C149" s="178" t="s">
        <v>175</v>
      </c>
      <c r="E149" s="184">
        <v>100</v>
      </c>
      <c r="G149" s="196">
        <f>+E149*(C47+E47*2+1.5)</f>
        <v>270</v>
      </c>
      <c r="H149" s="196">
        <f>+E149*(C47+E47*2)*(D47+F47+F47)</f>
        <v>84.000000000000014</v>
      </c>
      <c r="I149" s="197">
        <f>+(C47+E47*2)*E149*F47</f>
        <v>6</v>
      </c>
      <c r="J149" s="197">
        <f>+E149*((C47+E47*2)*E47+(D47*E47*2))</f>
        <v>24</v>
      </c>
      <c r="K149" s="197">
        <f>+(D47+$K$104*(D47+E47))*E149*2</f>
        <v>259.99999999999994</v>
      </c>
      <c r="L149" s="187">
        <f>+(E149)/H47+ IF(E149&gt;0,1,0)</f>
        <v>401</v>
      </c>
      <c r="M149" s="198">
        <f>+ROUNDUP(L149,0)</f>
        <v>401</v>
      </c>
      <c r="N149" s="189">
        <f>+(D47+E47-0.08)*2+(C47+E47*2-0.08)</f>
        <v>2.36</v>
      </c>
      <c r="O149" s="187">
        <f>+N149/J47+1</f>
        <v>10.44</v>
      </c>
      <c r="P149" s="198">
        <f>+ROUNDUP(O149,0)</f>
        <v>11</v>
      </c>
      <c r="Q149" s="188">
        <f>+E149+E149/6*50*(G47/1000)</f>
        <v>108.33333333333333</v>
      </c>
      <c r="R149" s="190">
        <f>+N149*M149+P149*Q149</f>
        <v>2138.0266666666666</v>
      </c>
      <c r="S149" s="197">
        <f>((I47*I47)/162)*R149</f>
        <v>1319.7695473251028</v>
      </c>
      <c r="T149" s="154" t="s">
        <v>156</v>
      </c>
    </row>
    <row r="150" spans="2:20" hidden="1">
      <c r="C150" s="154" t="s">
        <v>101</v>
      </c>
      <c r="D150" s="191">
        <f>ROUNDUP(+E149/K47,0)</f>
        <v>34</v>
      </c>
      <c r="E150" s="184"/>
      <c r="G150" s="199"/>
      <c r="H150" s="199"/>
      <c r="I150" s="200"/>
      <c r="J150" s="200">
        <f>0.5*(0.075+0.05)*0.075*C47*D150</f>
        <v>0.15937499999999999</v>
      </c>
      <c r="K150" s="200">
        <f>+(0.075+0.08)*C47*D150</f>
        <v>5.27</v>
      </c>
      <c r="L150" s="193">
        <f>+D150</f>
        <v>34</v>
      </c>
      <c r="M150" s="198">
        <f>+ROUNDUP(L150,0)</f>
        <v>34</v>
      </c>
      <c r="N150" s="194">
        <f>+(C47-0.08)+((0.075+0.05-2*0.04)*2)</f>
        <v>1.01</v>
      </c>
      <c r="O150" s="193"/>
      <c r="P150" s="201"/>
      <c r="Q150" s="195"/>
      <c r="R150" s="190">
        <f>+N150*M150+P150*Q150</f>
        <v>34.340000000000003</v>
      </c>
      <c r="S150" s="197">
        <f>((I47*I47)/162)*R150</f>
        <v>21.197530864197532</v>
      </c>
      <c r="T150" s="154" t="s">
        <v>156</v>
      </c>
    </row>
    <row r="151" spans="2:20" hidden="1">
      <c r="E151" s="184"/>
      <c r="M151" s="204"/>
    </row>
    <row r="152" spans="2:20" hidden="1">
      <c r="B152" s="154" t="s">
        <v>154</v>
      </c>
      <c r="C152" s="178" t="s">
        <v>176</v>
      </c>
      <c r="E152" s="184">
        <v>100</v>
      </c>
      <c r="G152" s="196">
        <f>+E152*(C50+E50*2+1.5)</f>
        <v>275</v>
      </c>
      <c r="H152" s="196">
        <f>+E152*(C50+E50*2)*(D50+F50+F50)</f>
        <v>112.50000000000001</v>
      </c>
      <c r="I152" s="197">
        <f>+(C50+E50*2)*E152*F50</f>
        <v>6.25</v>
      </c>
      <c r="J152" s="197">
        <f>+E152*((C50+E50*2)*E50+(D50*E50*2))</f>
        <v>35.625</v>
      </c>
      <c r="K152" s="197">
        <f>+(D50+$K$104*(D50+E50))*E152*2</f>
        <v>345</v>
      </c>
      <c r="L152" s="187">
        <f>+(E152)/H50+ IF(E152&gt;0,1,0)</f>
        <v>401</v>
      </c>
      <c r="M152" s="198">
        <f>+ROUNDUP(L152,0)</f>
        <v>401</v>
      </c>
      <c r="N152" s="189">
        <f>+(D50+E50-0.08)*2+(C50+E50*2-0.08)</f>
        <v>2.8600000000000003</v>
      </c>
      <c r="O152" s="187">
        <f>+N152/J50+1</f>
        <v>12.440000000000001</v>
      </c>
      <c r="P152" s="198">
        <f>+ROUNDUP(O152,0)</f>
        <v>13</v>
      </c>
      <c r="Q152" s="188">
        <f>+E152+E152/6*50*(G50/1000)</f>
        <v>108.33333333333333</v>
      </c>
      <c r="R152" s="190">
        <f>+N152*M152+P152*Q152</f>
        <v>2555.1933333333336</v>
      </c>
      <c r="S152" s="197">
        <f>((I50*I50)/162)*R152</f>
        <v>1577.2798353909466</v>
      </c>
      <c r="T152" s="154" t="s">
        <v>156</v>
      </c>
    </row>
    <row r="153" spans="2:20" hidden="1">
      <c r="C153" s="154" t="s">
        <v>101</v>
      </c>
      <c r="D153" s="191">
        <f>ROUNDUP(+E152/K50,0)</f>
        <v>34</v>
      </c>
      <c r="E153" s="184"/>
      <c r="G153" s="199"/>
      <c r="H153" s="199"/>
      <c r="I153" s="200"/>
      <c r="J153" s="200">
        <f>0.5*(0.075+0.05)*0.075*C50*D153</f>
        <v>0.15937499999999999</v>
      </c>
      <c r="K153" s="200">
        <f>+(0.075+0.08)*C50*D153</f>
        <v>5.27</v>
      </c>
      <c r="L153" s="193">
        <f>+D153</f>
        <v>34</v>
      </c>
      <c r="M153" s="198">
        <f>+ROUNDUP(L153,0)</f>
        <v>34</v>
      </c>
      <c r="N153" s="194">
        <f>+(C50-0.08)+((0.075+0.05-2*0.04)*2)</f>
        <v>1.01</v>
      </c>
      <c r="O153" s="193"/>
      <c r="P153" s="201"/>
      <c r="Q153" s="195"/>
      <c r="R153" s="190">
        <f>+N153*M153+P153*Q153</f>
        <v>34.340000000000003</v>
      </c>
      <c r="S153" s="197">
        <f>((I50*I50)/162)*R153</f>
        <v>21.197530864197532</v>
      </c>
      <c r="T153" s="154" t="s">
        <v>156</v>
      </c>
    </row>
    <row r="154" spans="2:20" hidden="1"/>
    <row r="155" spans="2:20" hidden="1">
      <c r="B155" s="154" t="s">
        <v>154</v>
      </c>
      <c r="C155" s="178" t="s">
        <v>177</v>
      </c>
      <c r="E155" s="184">
        <v>100</v>
      </c>
      <c r="G155" s="196">
        <f>+E155*(C53+E53*2+1.5)</f>
        <v>275</v>
      </c>
      <c r="H155" s="196">
        <f>+E155*(C53+E53*2)*(D53+F53+F53)</f>
        <v>137.5</v>
      </c>
      <c r="I155" s="197">
        <f>+(C53+E53*2)*E155*F53</f>
        <v>6.25</v>
      </c>
      <c r="J155" s="197">
        <f>+E155*((C53+E53*2)*E53+(D53*E53*2))</f>
        <v>40.625</v>
      </c>
      <c r="K155" s="197">
        <f>+(D53+$K$104*(D53+E53))*E155*2</f>
        <v>425</v>
      </c>
      <c r="L155" s="187">
        <f>+(E155)/H53+ IF(E155&gt;0,1,0)</f>
        <v>401</v>
      </c>
      <c r="M155" s="198">
        <f>+ROUNDUP(L155,0)</f>
        <v>401</v>
      </c>
      <c r="N155" s="189">
        <f>+(E53+D53+E53+C53+2*E53+D53+2*E53-0.04*10)+(E53+D53+2*E53-5*0.04)*2+(C53+4*E53-6*0.04)</f>
        <v>6.96</v>
      </c>
      <c r="O155" s="187">
        <f>(2*(D53+E53)+(C53+2*E53)-6*0.04)/J53*2</f>
        <v>26.08</v>
      </c>
      <c r="P155" s="198">
        <f>+ROUNDUP(O155,0)</f>
        <v>27</v>
      </c>
      <c r="Q155" s="188">
        <f>+E155+E155/6*50*(G53/1000)</f>
        <v>108.33333333333333</v>
      </c>
      <c r="R155" s="190">
        <f>+N155*M155+P155*Q155</f>
        <v>5715.96</v>
      </c>
      <c r="S155" s="197">
        <f>((I53*I53)/162)*R155</f>
        <v>3528.37037037037</v>
      </c>
      <c r="T155" s="154" t="s">
        <v>156</v>
      </c>
    </row>
    <row r="156" spans="2:20" hidden="1">
      <c r="C156" s="154" t="s">
        <v>101</v>
      </c>
      <c r="D156" s="191">
        <f>ROUNDUP(+E155/K53,0)</f>
        <v>34</v>
      </c>
      <c r="E156" s="184"/>
      <c r="G156" s="199"/>
      <c r="H156" s="199"/>
      <c r="I156" s="200"/>
      <c r="J156" s="200">
        <f>0.5*(0.075+0.05)*0.075*C53*D156</f>
        <v>0.15937499999999999</v>
      </c>
      <c r="K156" s="200">
        <f>+(0.075+0.08)*C53*D156</f>
        <v>5.27</v>
      </c>
      <c r="L156" s="193">
        <f>+D156</f>
        <v>34</v>
      </c>
      <c r="M156" s="198">
        <f>+ROUNDUP(L156,0)</f>
        <v>34</v>
      </c>
      <c r="N156" s="194">
        <f>+(C53-0.08)+((0.075+0.05-2*0.04)*2)</f>
        <v>1.01</v>
      </c>
      <c r="O156" s="193"/>
      <c r="P156" s="201"/>
      <c r="Q156" s="195"/>
      <c r="R156" s="190">
        <f>+N156*M156+P156*Q156</f>
        <v>34.340000000000003</v>
      </c>
      <c r="S156" s="197">
        <f>((I53*I53)/162)*R156</f>
        <v>21.197530864197532</v>
      </c>
      <c r="T156" s="154" t="s">
        <v>156</v>
      </c>
    </row>
    <row r="157" spans="2:20" hidden="1"/>
    <row r="158" spans="2:20" hidden="1">
      <c r="B158" s="154" t="s">
        <v>154</v>
      </c>
      <c r="C158" s="178" t="s">
        <v>178</v>
      </c>
      <c r="E158" s="184">
        <v>100</v>
      </c>
      <c r="G158" s="196">
        <f>+E158*(C56+E56*2+1.5)</f>
        <v>275</v>
      </c>
      <c r="H158" s="196">
        <f>+E158*(C56+E56*2)*(D56+F56+F56)</f>
        <v>137.5</v>
      </c>
      <c r="I158" s="197">
        <f>+(C56+E56*2)*E158*F56</f>
        <v>6.25</v>
      </c>
      <c r="J158" s="197">
        <f>+E158*((C56+E56*2)*E56+(D56*E56*2))</f>
        <v>40.625</v>
      </c>
      <c r="K158" s="197">
        <f>+(D56+$K$104*(D56+E56))*E158*2</f>
        <v>425</v>
      </c>
      <c r="L158" s="187">
        <f>+(E158)/H56+ IF(E158&gt;0,1,0)</f>
        <v>401</v>
      </c>
      <c r="M158" s="198">
        <f>+ROUNDUP(L158,0)</f>
        <v>401</v>
      </c>
      <c r="N158" s="189">
        <f>+(E56+D56+E56+C56+2*E56+D56+2*E56-0.04*10)+(E56+D56+2*E56-5*0.04)*2+(C56+4*E56-6*0.04)</f>
        <v>6.96</v>
      </c>
      <c r="O158" s="187">
        <f>(2*(D56+E56)+(C56+2*E56)-6*0.04)/J56*2</f>
        <v>26.08</v>
      </c>
      <c r="P158" s="198">
        <f>+ROUNDUP(O158,0)</f>
        <v>27</v>
      </c>
      <c r="Q158" s="188">
        <f>+E158+E158/6*50*(G56/1000)</f>
        <v>108.33333333333333</v>
      </c>
      <c r="R158" s="190">
        <f>+N158*M158+P158*Q158</f>
        <v>5715.96</v>
      </c>
      <c r="S158" s="197">
        <f>((I56*I56)/162)*R158</f>
        <v>3528.37037037037</v>
      </c>
      <c r="T158" s="154" t="s">
        <v>156</v>
      </c>
    </row>
    <row r="159" spans="2:20" hidden="1">
      <c r="C159" s="154" t="s">
        <v>101</v>
      </c>
      <c r="D159" s="191">
        <f>ROUNDUP(+E158/K56,0)</f>
        <v>34</v>
      </c>
      <c r="E159" s="184"/>
      <c r="G159" s="199"/>
      <c r="H159" s="199"/>
      <c r="I159" s="200"/>
      <c r="J159" s="200">
        <f>0.5*(0.075+0.05)*0.075*C56*D159</f>
        <v>0.15937499999999999</v>
      </c>
      <c r="K159" s="200">
        <f>+(0.075+0.08)*C56*D159</f>
        <v>5.27</v>
      </c>
      <c r="L159" s="193">
        <f>+D159</f>
        <v>34</v>
      </c>
      <c r="M159" s="198">
        <f>+ROUNDUP(L159,0)</f>
        <v>34</v>
      </c>
      <c r="N159" s="194">
        <f>+(C56-0.08)+((0.075+0.05-2*0.04)*2)</f>
        <v>1.01</v>
      </c>
      <c r="O159" s="193"/>
      <c r="P159" s="201"/>
      <c r="Q159" s="195"/>
      <c r="R159" s="190">
        <f>+N159*M159+P159*Q159</f>
        <v>34.340000000000003</v>
      </c>
      <c r="S159" s="197">
        <f>((I56*I56)/162)*R159</f>
        <v>21.197530864197532</v>
      </c>
      <c r="T159" s="154" t="s">
        <v>156</v>
      </c>
    </row>
    <row r="160" spans="2:20" hidden="1"/>
    <row r="161" spans="2:20" hidden="1">
      <c r="B161" s="205" t="s">
        <v>179</v>
      </c>
      <c r="C161" s="178" t="s">
        <v>180</v>
      </c>
      <c r="E161" s="184">
        <v>44.65</v>
      </c>
      <c r="G161" s="196">
        <f>+E161*(C59+E59*2+1)</f>
        <v>73.672499999999999</v>
      </c>
      <c r="H161" s="196">
        <f>(+E161*(C59+E59*2)*(D59+F59+F59))*50%</f>
        <v>7.9811875000000008</v>
      </c>
      <c r="I161" s="197">
        <f>+(C59+E59*2)*E161*F59</f>
        <v>1.4511250000000002</v>
      </c>
      <c r="J161" s="197">
        <f>+E161*((C59+E59*2+0.06)*E59+(D59*E59*2))</f>
        <v>7.18865</v>
      </c>
      <c r="K161" s="197">
        <f>+(D59+(D59+E59))*E161*2</f>
        <v>89.3</v>
      </c>
      <c r="L161" s="187">
        <f>+(E161)/H59+ IF(E161&gt;0,1,0)</f>
        <v>179.6</v>
      </c>
      <c r="M161" s="198">
        <f>+ROUNDUP(L161,0)</f>
        <v>180</v>
      </c>
      <c r="N161" s="189">
        <f>+(D59+E59-0.08)*2+(C59+E59*2-0.08)</f>
        <v>1.5100000000000002</v>
      </c>
      <c r="O161" s="187">
        <f>+N161/J59+1</f>
        <v>7.0400000000000009</v>
      </c>
      <c r="P161" s="198">
        <f>+ROUNDUP(O161,0)</f>
        <v>8</v>
      </c>
      <c r="Q161" s="188">
        <f>+E161+E161/6*50*(G59/1000)</f>
        <v>48.37083333333333</v>
      </c>
      <c r="R161" s="190">
        <f>+N161*M161+P161*Q161</f>
        <v>658.76666666666665</v>
      </c>
      <c r="S161" s="197">
        <f>((I59*I59)/162)*R161</f>
        <v>406.64609053497941</v>
      </c>
      <c r="T161" s="154" t="s">
        <v>156</v>
      </c>
    </row>
    <row r="162" spans="2:20" hidden="1">
      <c r="C162" s="154" t="s">
        <v>181</v>
      </c>
      <c r="D162" s="191">
        <f>ROUNDUP(+(E161/SQRT(L59^2+M59^2)),0)</f>
        <v>115</v>
      </c>
      <c r="E162" s="184"/>
      <c r="G162" s="199"/>
      <c r="H162" s="199"/>
      <c r="I162" s="200"/>
      <c r="J162" s="200">
        <f>0.5*(0.075+0.05)*0.075*C59*D162</f>
        <v>0.24257812500000001</v>
      </c>
      <c r="K162" s="200">
        <f>+M59*C59*D162</f>
        <v>14.231250000000001</v>
      </c>
      <c r="L162" s="193"/>
      <c r="M162" s="198">
        <f>+ROUNDUP(L162,0)</f>
        <v>0</v>
      </c>
      <c r="N162" s="194"/>
      <c r="O162" s="193"/>
      <c r="P162" s="201"/>
      <c r="Q162" s="195"/>
      <c r="R162" s="190">
        <f>+N162*M162+P162*Q162</f>
        <v>0</v>
      </c>
      <c r="S162" s="197">
        <f>((I59*I59)/162)*R162</f>
        <v>0</v>
      </c>
    </row>
    <row r="163" spans="2:20" hidden="1">
      <c r="C163" s="154" t="s">
        <v>182</v>
      </c>
      <c r="D163" s="154">
        <f>ROUNDUP(+E161/1,0)</f>
        <v>45</v>
      </c>
    </row>
    <row r="164" spans="2:20" hidden="1"/>
    <row r="165" spans="2:20">
      <c r="B165" s="205" t="s">
        <v>179</v>
      </c>
      <c r="C165" s="375" t="s">
        <v>183</v>
      </c>
      <c r="E165" s="184">
        <v>6.52</v>
      </c>
      <c r="G165" s="185">
        <f>+E165*(C63+E63*2+1)</f>
        <v>10.757999999999999</v>
      </c>
      <c r="H165" s="185">
        <f>(+E165*(C63+E63*2)*(D63+F63+F63))*50%</f>
        <v>1.4833000000000001</v>
      </c>
      <c r="I165" s="186">
        <f>+(C63+E63*2)*E165*F63</f>
        <v>0.21189999999999998</v>
      </c>
      <c r="J165" s="186">
        <f>+E165*((C63+E63*2+0.06)*E63+(D63*E63*2))</f>
        <v>1.24532</v>
      </c>
      <c r="K165" s="186">
        <f>+(D63+(D63+E63))*E165*2</f>
        <v>16.951999999999998</v>
      </c>
      <c r="L165" s="187">
        <f>+(E165)/H63+ IF(E165&gt;0,1,0)</f>
        <v>27.08</v>
      </c>
      <c r="M165" s="188">
        <f>+ROUNDUP(L165,0)</f>
        <v>28</v>
      </c>
      <c r="N165" s="189">
        <f>+(D63+E63-0.08)*2+(C63+E63*2-0.08)</f>
        <v>1.81</v>
      </c>
      <c r="O165" s="187">
        <f>+N165/J63+1</f>
        <v>8.24</v>
      </c>
      <c r="P165" s="188">
        <f>+ROUNDUP(O165,0)</f>
        <v>9</v>
      </c>
      <c r="Q165" s="188">
        <f>+E165+E165/6*50*(G63/1000)</f>
        <v>7.0633333333333326</v>
      </c>
      <c r="R165" s="190">
        <f>+N165*M165+P165*Q165</f>
        <v>114.25</v>
      </c>
      <c r="S165" s="186">
        <f>((I63*I63)/162)*R165</f>
        <v>70.524691358024683</v>
      </c>
      <c r="T165" s="154" t="s">
        <v>156</v>
      </c>
    </row>
    <row r="166" spans="2:20">
      <c r="C166" s="154" t="s">
        <v>181</v>
      </c>
      <c r="D166" s="191">
        <f>ROUNDUP(+(E165/SQRT(L63^2+M63^2)),0)</f>
        <v>17</v>
      </c>
      <c r="E166" s="184"/>
      <c r="G166" s="192"/>
      <c r="H166" s="192"/>
      <c r="I166" s="191"/>
      <c r="J166" s="191">
        <f>0.5*(0.075+0.05)*0.075*C63*D166</f>
        <v>3.5859374999999999E-2</v>
      </c>
      <c r="K166" s="191">
        <f>+M63*C63*D166</f>
        <v>2.1037500000000002</v>
      </c>
      <c r="L166" s="193"/>
      <c r="M166" s="188">
        <f>+ROUNDUP(L166,0)</f>
        <v>0</v>
      </c>
      <c r="N166" s="194"/>
      <c r="O166" s="193"/>
      <c r="P166" s="195"/>
      <c r="Q166" s="195"/>
      <c r="R166" s="190">
        <f>+N166*M166+P166*Q166</f>
        <v>0</v>
      </c>
      <c r="S166" s="186">
        <f>((I63*I63)/162)*R166</f>
        <v>0</v>
      </c>
    </row>
    <row r="167" spans="2:20">
      <c r="C167" s="154" t="s">
        <v>182</v>
      </c>
      <c r="D167" s="154">
        <f>ROUNDUP(+E165/1,0)</f>
        <v>7</v>
      </c>
    </row>
    <row r="168" spans="2:20">
      <c r="K168" s="191"/>
    </row>
    <row r="169" spans="2:20" hidden="1">
      <c r="B169" s="205" t="s">
        <v>179</v>
      </c>
      <c r="C169" s="178" t="s">
        <v>184</v>
      </c>
      <c r="E169" s="184">
        <v>47.63</v>
      </c>
      <c r="G169" s="185">
        <f>+E169*(C67+E67*2+1)</f>
        <v>85.734000000000009</v>
      </c>
      <c r="H169" s="185">
        <f>(+E169*(C67+E67*2)*(D67+F67+F67))*50%</f>
        <v>13.336400000000003</v>
      </c>
      <c r="I169" s="186">
        <f>+(C67+E67*2)*E169*F67</f>
        <v>1.9052000000000004</v>
      </c>
      <c r="J169" s="186">
        <f>+E169*((C67+E67*2+0.06)*E67+(D67*E67*2))</f>
        <v>9.8117800000000006</v>
      </c>
      <c r="K169" s="417">
        <f>+(D67+(D67+E67))*E169*2</f>
        <v>123.83799999999999</v>
      </c>
      <c r="L169" s="187">
        <f>+(E169)/H67+ IF(E169&gt;0,1,0)</f>
        <v>191.52</v>
      </c>
      <c r="M169" s="188">
        <f>+ROUNDUP(L169,0)</f>
        <v>192</v>
      </c>
      <c r="N169" s="189">
        <f>+(D67+E67-0.08)*2+(C67+E67*2-0.08)</f>
        <v>1.96</v>
      </c>
      <c r="O169" s="187">
        <f>+N169/J67+1</f>
        <v>8.84</v>
      </c>
      <c r="P169" s="188">
        <f>+ROUNDUP(O169,0)</f>
        <v>9</v>
      </c>
      <c r="Q169" s="188">
        <f>+E169+E169/6*50*(G67/1000)</f>
        <v>51.599166666666669</v>
      </c>
      <c r="R169" s="190">
        <f>+N169*M169+P169*Q169</f>
        <v>840.71250000000009</v>
      </c>
      <c r="S169" s="186">
        <f>((I67*I67)/162)*R169</f>
        <v>518.95833333333337</v>
      </c>
      <c r="T169" s="154" t="s">
        <v>156</v>
      </c>
    </row>
    <row r="170" spans="2:20" hidden="1">
      <c r="C170" s="154" t="s">
        <v>181</v>
      </c>
      <c r="D170" s="191">
        <f>ROUNDUP(+(E169/SQRT(L67^2+M67^2)),0)</f>
        <v>123</v>
      </c>
      <c r="E170" s="184"/>
      <c r="G170" s="192"/>
      <c r="H170" s="192"/>
      <c r="I170" s="191"/>
      <c r="J170" s="191">
        <f>0.5*(0.075+0.05)*0.075*C67*D170</f>
        <v>0.34593750000000001</v>
      </c>
      <c r="K170" s="191">
        <f>+M67*C67*D170</f>
        <v>20.295000000000002</v>
      </c>
      <c r="L170" s="193"/>
      <c r="M170" s="188">
        <f>+ROUNDUP(L170,0)</f>
        <v>0</v>
      </c>
      <c r="N170" s="194"/>
      <c r="O170" s="193"/>
      <c r="P170" s="195"/>
      <c r="Q170" s="195"/>
      <c r="R170" s="190">
        <f>+N170*M170+P170*Q170</f>
        <v>0</v>
      </c>
      <c r="S170" s="186">
        <f>((I67*I67)/162)*R170</f>
        <v>0</v>
      </c>
    </row>
    <row r="171" spans="2:20" hidden="1">
      <c r="C171" s="154" t="s">
        <v>182</v>
      </c>
      <c r="D171" s="154">
        <f>ROUNDUP(+E169/1,0)</f>
        <v>48</v>
      </c>
    </row>
    <row r="172" spans="2:20" hidden="1"/>
    <row r="173" spans="2:20" hidden="1">
      <c r="B173" s="205" t="s">
        <v>179</v>
      </c>
      <c r="C173" s="178" t="s">
        <v>185</v>
      </c>
      <c r="E173" s="184">
        <v>8.6</v>
      </c>
      <c r="G173" s="196">
        <f>+E173*(C71+E71*2+1)</f>
        <v>17.2</v>
      </c>
      <c r="H173" s="196">
        <f>(+E173*(C71+E71*2)*(D71+F71+F71))*50%</f>
        <v>3.8700000000000006</v>
      </c>
      <c r="I173" s="197">
        <f>+(C71+E71*2)*E173*F71</f>
        <v>0.43</v>
      </c>
      <c r="J173" s="197">
        <f>+E173*((C71+E71*2+0.06)*E71+(D71*E71*2))</f>
        <v>2.2875999999999999</v>
      </c>
      <c r="K173" s="197">
        <f>+(D71+(D71+E71))*E173*2</f>
        <v>29.240000000000002</v>
      </c>
      <c r="L173" s="187">
        <f>+(E173)/H71+ IF(E173&gt;0,1,0)</f>
        <v>35.4</v>
      </c>
      <c r="M173" s="198">
        <f>+ROUNDUP(L173,0)</f>
        <v>36</v>
      </c>
      <c r="N173" s="189">
        <f>+(D71+E71-0.08)*2+(C71+E71*2-0.08)</f>
        <v>2.56</v>
      </c>
      <c r="O173" s="187">
        <f>+N173/J71+1</f>
        <v>11.24</v>
      </c>
      <c r="P173" s="198">
        <f>+ROUNDUP(O173,0)</f>
        <v>12</v>
      </c>
      <c r="Q173" s="188">
        <f>+E173+E173/6*50*(G71/1000)</f>
        <v>9.3166666666666664</v>
      </c>
      <c r="R173" s="190">
        <f>+N173*M173+P173*Q173</f>
        <v>203.95999999999998</v>
      </c>
      <c r="S173" s="197">
        <f>((I71*I71)/162)*R173</f>
        <v>125.90123456790121</v>
      </c>
      <c r="T173" s="154" t="s">
        <v>156</v>
      </c>
    </row>
    <row r="174" spans="2:20" hidden="1">
      <c r="C174" s="154" t="s">
        <v>181</v>
      </c>
      <c r="D174" s="191">
        <f>ROUNDUP(+(E173/SQRT(L71^2+M71^2)),0)</f>
        <v>23</v>
      </c>
      <c r="E174" s="184"/>
      <c r="G174" s="199"/>
      <c r="H174" s="199"/>
      <c r="I174" s="200"/>
      <c r="J174" s="200">
        <f>0.5*(0.075+0.05)*0.075*C71*D174</f>
        <v>8.6249999999999993E-2</v>
      </c>
      <c r="K174" s="200">
        <f>+M71*C71*D174</f>
        <v>5.0600000000000005</v>
      </c>
      <c r="L174" s="193"/>
      <c r="M174" s="198">
        <f>+ROUNDUP(L174,0)</f>
        <v>0</v>
      </c>
      <c r="N174" s="194"/>
      <c r="O174" s="193"/>
      <c r="P174" s="201"/>
      <c r="Q174" s="195"/>
      <c r="R174" s="190">
        <f>+N174*M174+P174*Q174</f>
        <v>0</v>
      </c>
      <c r="S174" s="197">
        <f>((I71*I71)/162)*R174</f>
        <v>0</v>
      </c>
    </row>
    <row r="175" spans="2:20" hidden="1">
      <c r="C175" s="154" t="s">
        <v>182</v>
      </c>
      <c r="D175" s="154">
        <f>ROUNDUP(+E173/1,0)</f>
        <v>9</v>
      </c>
      <c r="H175" s="191"/>
    </row>
    <row r="176" spans="2:20" hidden="1"/>
    <row r="177" spans="2:20" hidden="1">
      <c r="B177" s="205" t="s">
        <v>179</v>
      </c>
      <c r="C177" s="178" t="s">
        <v>186</v>
      </c>
      <c r="E177" s="184">
        <v>100</v>
      </c>
      <c r="G177" s="196">
        <f>+E177*(C75+E75*2+1)</f>
        <v>225</v>
      </c>
      <c r="H177" s="196">
        <f>(+E177*(C75+E75*2)*(D75+F75+F75))*50%</f>
        <v>68.75</v>
      </c>
      <c r="I177" s="197">
        <f>+(C75+E75*2)*E177*F75</f>
        <v>6.25</v>
      </c>
      <c r="J177" s="197">
        <f>+E177*((C75+E75*2+0.06)*E75+(D75*E75*2))</f>
        <v>41.375</v>
      </c>
      <c r="K177" s="197">
        <f>+(D75+(D75+E75))*E177*2</f>
        <v>425</v>
      </c>
      <c r="L177" s="187">
        <f>+(E177)/H75+ IF(E177&gt;0,1,0)</f>
        <v>401</v>
      </c>
      <c r="M177" s="198">
        <f>+ROUNDUP(L177,0)</f>
        <v>401</v>
      </c>
      <c r="N177" s="189">
        <f>+(D75+E75-0.08)*2+(C75+E75*2-0.08)</f>
        <v>3.26</v>
      </c>
      <c r="O177" s="187">
        <f>+N177/J75+1</f>
        <v>14.04</v>
      </c>
      <c r="P177" s="198">
        <f>+ROUNDUP(O177,0)</f>
        <v>15</v>
      </c>
      <c r="Q177" s="188">
        <f>+E177+E177/6*50*(G75/1000)</f>
        <v>108.33333333333333</v>
      </c>
      <c r="R177" s="190">
        <f>+N177*M177+P177*Q177</f>
        <v>2932.26</v>
      </c>
      <c r="S177" s="197">
        <f>((I75*I75)/162)*R177</f>
        <v>1810.0370370370372</v>
      </c>
      <c r="T177" s="154" t="s">
        <v>156</v>
      </c>
    </row>
    <row r="178" spans="2:20" hidden="1">
      <c r="C178" s="154" t="s">
        <v>181</v>
      </c>
      <c r="D178" s="191">
        <f>ROUNDUP(+(E177/SQRT(L75^2+M75^2)),0)</f>
        <v>258</v>
      </c>
      <c r="E178" s="184"/>
      <c r="G178" s="199"/>
      <c r="H178" s="199"/>
      <c r="I178" s="200"/>
      <c r="J178" s="200">
        <f>0.5*(0.075+0.05)*0.075*C75*D178</f>
        <v>1.2093749999999999</v>
      </c>
      <c r="K178" s="200">
        <f>+M75*C75*D178</f>
        <v>70.95</v>
      </c>
      <c r="L178" s="193"/>
      <c r="M178" s="198">
        <f>+ROUNDUP(L178,0)</f>
        <v>0</v>
      </c>
      <c r="N178" s="194"/>
      <c r="O178" s="193"/>
      <c r="P178" s="201"/>
      <c r="Q178" s="195"/>
      <c r="R178" s="190">
        <f>+N178*M178+P178*Q178</f>
        <v>0</v>
      </c>
      <c r="S178" s="197">
        <f>((I75*I75)/162)*R178</f>
        <v>0</v>
      </c>
    </row>
    <row r="179" spans="2:20" hidden="1">
      <c r="C179" s="154" t="s">
        <v>182</v>
      </c>
      <c r="D179" s="154">
        <f>ROUNDUP(+E177/1,0)</f>
        <v>100</v>
      </c>
    </row>
    <row r="180" spans="2:20" hidden="1"/>
    <row r="181" spans="2:20" hidden="1">
      <c r="B181" s="205" t="s">
        <v>187</v>
      </c>
      <c r="C181" s="178" t="s">
        <v>180</v>
      </c>
      <c r="E181" s="184">
        <v>100</v>
      </c>
      <c r="G181" s="196">
        <f>+E181*(C79+E79*2+1)</f>
        <v>165</v>
      </c>
      <c r="H181" s="196">
        <f>0.5*L79*M79*D182</f>
        <v>20.25</v>
      </c>
      <c r="I181" s="197">
        <f>+(L79*(C79+2*E79)*D182*E79)</f>
        <v>5.8500000000000014</v>
      </c>
      <c r="J181" s="197">
        <f>+D182*(L79+M79)*E79*(C79+2*E79)+D182*((L79+M79)*E79*D79)*2</f>
        <v>20.925000000000001</v>
      </c>
      <c r="K181" s="197">
        <f>+(D79+(D79+E79))*E181*2</f>
        <v>200</v>
      </c>
      <c r="L181" s="187">
        <f>+(D182*(L79+M79))/H79+ IF(E181&gt;0,1,0)</f>
        <v>541</v>
      </c>
      <c r="M181" s="198">
        <f>+ROUNDUP(L181,0)</f>
        <v>541</v>
      </c>
      <c r="N181" s="189">
        <f>+(D79+E79-0.08)*2+(C79+E79*2-0.08)</f>
        <v>1.5100000000000002</v>
      </c>
      <c r="O181" s="187">
        <f>+N181/J79+1</f>
        <v>7.0400000000000009</v>
      </c>
      <c r="P181" s="198">
        <f>+ROUNDUP(O181,0)</f>
        <v>8</v>
      </c>
      <c r="Q181" s="188">
        <f>+(L79+M79-2*0.04)*D182+(((L79+M79-2*0.04)*D182)/6*50*(I79/1000))</f>
        <v>137.58333333333334</v>
      </c>
      <c r="R181" s="190">
        <f>+N181*M181+P181*Q181</f>
        <v>1917.5766666666668</v>
      </c>
      <c r="S181" s="197">
        <f>((I79*I79)/162)*R181</f>
        <v>1183.6893004115227</v>
      </c>
      <c r="T181" s="154" t="s">
        <v>156</v>
      </c>
    </row>
    <row r="182" spans="2:20" hidden="1">
      <c r="C182" s="154" t="s">
        <v>181</v>
      </c>
      <c r="D182" s="191">
        <f>ROUNDUP(+(E181/SQRT(L79^2+M79^2)),0)</f>
        <v>100</v>
      </c>
      <c r="E182" s="184"/>
      <c r="G182" s="199"/>
      <c r="H182" s="199"/>
      <c r="I182" s="200"/>
      <c r="J182" s="200"/>
      <c r="K182" s="200"/>
      <c r="L182" s="193"/>
      <c r="M182" s="198"/>
      <c r="N182" s="194"/>
      <c r="O182" s="193"/>
      <c r="P182" s="201"/>
      <c r="Q182" s="195"/>
      <c r="R182" s="190"/>
      <c r="S182" s="197"/>
    </row>
    <row r="183" spans="2:20" hidden="1">
      <c r="C183" s="154" t="s">
        <v>182</v>
      </c>
      <c r="D183" s="154">
        <f>ROUNDUP(+E181/1,0)</f>
        <v>100</v>
      </c>
    </row>
    <row r="184" spans="2:20" hidden="1"/>
    <row r="185" spans="2:20" hidden="1">
      <c r="B185" s="205" t="s">
        <v>187</v>
      </c>
      <c r="C185" s="178" t="s">
        <v>183</v>
      </c>
      <c r="E185" s="184">
        <v>28.19</v>
      </c>
      <c r="G185" s="196">
        <f>+E185*(C83+E83*2+1)</f>
        <v>46.513500000000001</v>
      </c>
      <c r="H185" s="196">
        <f>0.5*L83*M83*D186</f>
        <v>5.8725000000000005</v>
      </c>
      <c r="I185" s="197">
        <f>+(L83*(C83+2*E83)*D186*E83)</f>
        <v>1.6965000000000003</v>
      </c>
      <c r="J185" s="197">
        <f>+D186*(L83+M83)*E83*(C83+2*E83)+D186*((L83+M83)*E83*D83)*2</f>
        <v>7.2427500000000009</v>
      </c>
      <c r="K185" s="197">
        <f>+(D83+(D83+E83))*E185*2</f>
        <v>73.293999999999997</v>
      </c>
      <c r="L185" s="187">
        <f>+(D186*(L83+M83))/H83+ IF(E185&gt;0,1,0)</f>
        <v>157.60000000000002</v>
      </c>
      <c r="M185" s="198">
        <f>+ROUNDUP(L185,0)</f>
        <v>158</v>
      </c>
      <c r="N185" s="189">
        <f>+(D83+E83-0.08)*2+(C83+E83*2-0.08)</f>
        <v>1.81</v>
      </c>
      <c r="O185" s="187">
        <f>+N185/J83+1</f>
        <v>8.24</v>
      </c>
      <c r="P185" s="198">
        <f>+ROUNDUP(O185,0)</f>
        <v>9</v>
      </c>
      <c r="Q185" s="188">
        <f>+(L83+M83-2*0.04)*D186+(((L83+M83-2*0.04)*D186)/6*50*(I83/1000))</f>
        <v>39.899166666666666</v>
      </c>
      <c r="R185" s="190">
        <f>+N185*M185+P185*Q185</f>
        <v>645.07249999999999</v>
      </c>
      <c r="S185" s="197">
        <f>((I83*I83)/162)*R185</f>
        <v>398.1929012345679</v>
      </c>
      <c r="T185" s="154" t="s">
        <v>156</v>
      </c>
    </row>
    <row r="186" spans="2:20" hidden="1">
      <c r="C186" s="154" t="s">
        <v>181</v>
      </c>
      <c r="D186" s="191">
        <f>ROUNDUP(+(E185/SQRT(L83^2+M83^2)),0)</f>
        <v>29</v>
      </c>
      <c r="E186" s="184"/>
      <c r="G186" s="199"/>
      <c r="H186" s="199"/>
      <c r="I186" s="200"/>
      <c r="J186" s="200"/>
      <c r="K186" s="200"/>
      <c r="L186" s="193"/>
      <c r="M186" s="198"/>
      <c r="N186" s="194"/>
      <c r="O186" s="193"/>
      <c r="P186" s="201"/>
      <c r="Q186" s="195"/>
      <c r="R186" s="190"/>
      <c r="S186" s="197"/>
    </row>
    <row r="187" spans="2:20" hidden="1">
      <c r="C187" s="154" t="s">
        <v>182</v>
      </c>
      <c r="D187" s="154">
        <f>ROUNDUP(+E185/1,0)</f>
        <v>29</v>
      </c>
    </row>
    <row r="188" spans="2:20" hidden="1"/>
    <row r="189" spans="2:20" hidden="1">
      <c r="B189" s="205" t="s">
        <v>187</v>
      </c>
      <c r="C189" s="178" t="s">
        <v>184</v>
      </c>
      <c r="E189" s="184">
        <v>100</v>
      </c>
      <c r="G189" s="196">
        <f>+E189*(C87+E87*2+1)</f>
        <v>180</v>
      </c>
      <c r="H189" s="196">
        <f>0.5*L87*M87*D190</f>
        <v>20.25</v>
      </c>
      <c r="I189" s="197">
        <f>+(L87*(C87+2*E87)*D190*E87)</f>
        <v>7.200000000000002</v>
      </c>
      <c r="J189" s="197">
        <f>+D190*(L87+M87)*E87*(C87+2*E87)+D190*((L87+M87)*E87*D87)*2</f>
        <v>27</v>
      </c>
      <c r="K189" s="197">
        <f>+(D87+(D87+E87))*E189*2</f>
        <v>259.99999999999994</v>
      </c>
      <c r="L189" s="187">
        <f>+(D190*(L87+M87))/H87+ IF(E189&gt;0,1,0)</f>
        <v>541</v>
      </c>
      <c r="M189" s="198">
        <f>+ROUNDUP(L189,0)</f>
        <v>541</v>
      </c>
      <c r="N189" s="189">
        <f>+(D87+E87-0.08)*2+(C87+E87*2-0.08)</f>
        <v>1.96</v>
      </c>
      <c r="O189" s="187">
        <f>+N189/J87+1</f>
        <v>8.84</v>
      </c>
      <c r="P189" s="198">
        <f>+ROUNDUP(O189,0)</f>
        <v>9</v>
      </c>
      <c r="Q189" s="188">
        <f>+(L87+M87-2*0.04)*D190+(((L87+M87-2*0.04)*D190)/6*50*(I87/1000))</f>
        <v>137.58333333333334</v>
      </c>
      <c r="R189" s="190">
        <f>+N189*M189+P189*Q189</f>
        <v>2298.6099999999997</v>
      </c>
      <c r="S189" s="197">
        <f>((I87*I87)/162)*R189</f>
        <v>1418.8950617283947</v>
      </c>
      <c r="T189" s="154" t="s">
        <v>156</v>
      </c>
    </row>
    <row r="190" spans="2:20" hidden="1">
      <c r="C190" s="154" t="s">
        <v>181</v>
      </c>
      <c r="D190" s="191">
        <f>ROUNDUP(+(E189/SQRT(L87^2+M87^2)),0)</f>
        <v>100</v>
      </c>
      <c r="E190" s="184"/>
      <c r="G190" s="199"/>
      <c r="H190" s="199"/>
      <c r="I190" s="200"/>
      <c r="J190" s="200"/>
      <c r="K190" s="200"/>
      <c r="L190" s="193"/>
      <c r="M190" s="198"/>
      <c r="N190" s="194"/>
      <c r="O190" s="193"/>
      <c r="P190" s="201"/>
      <c r="Q190" s="195"/>
      <c r="R190" s="190"/>
      <c r="S190" s="197"/>
    </row>
    <row r="191" spans="2:20" hidden="1">
      <c r="C191" s="154" t="s">
        <v>182</v>
      </c>
      <c r="D191" s="154">
        <f>ROUNDUP(+E189/1,0)</f>
        <v>100</v>
      </c>
    </row>
    <row r="192" spans="2:20" hidden="1"/>
    <row r="193" spans="2:20" hidden="1">
      <c r="B193" s="205" t="s">
        <v>187</v>
      </c>
      <c r="C193" s="178" t="s">
        <v>185</v>
      </c>
      <c r="E193" s="184">
        <v>100</v>
      </c>
      <c r="G193" s="196">
        <f>+E193*(C91+E91*2+1)</f>
        <v>200</v>
      </c>
      <c r="H193" s="196">
        <f>0.5*L91*M91*D194</f>
        <v>20.25</v>
      </c>
      <c r="I193" s="197">
        <f>+(L91*(C91+2*E91)*D194*E91)</f>
        <v>9</v>
      </c>
      <c r="J193" s="197">
        <f>+D194*(L91+M91)*E91*(C91+2*E91)+D194*((L91+M91)*E91*D91)*2</f>
        <v>35.1</v>
      </c>
      <c r="K193" s="197">
        <f>+(D91+(D91+E91))*E193*2</f>
        <v>340.00000000000006</v>
      </c>
      <c r="L193" s="187">
        <f>+(D194*(L91+M91))/H91+ IF(E193&gt;0,1,0)</f>
        <v>541</v>
      </c>
      <c r="M193" s="198">
        <f>+ROUNDUP(L193,0)</f>
        <v>541</v>
      </c>
      <c r="N193" s="189">
        <f>+(D91+E91-0.08)*2+(C91+E91*2-0.08)</f>
        <v>2.56</v>
      </c>
      <c r="O193" s="187">
        <f>+N193/J91+1</f>
        <v>11.24</v>
      </c>
      <c r="P193" s="198">
        <f>+ROUNDUP(O193,0)</f>
        <v>12</v>
      </c>
      <c r="Q193" s="188">
        <f>+(L91+M91-2*0.04)*D194+(((L91+M91-2*0.04)*D194)/6*50*(I91/1000))</f>
        <v>137.58333333333334</v>
      </c>
      <c r="R193" s="190">
        <f>+N193*M193+P193*Q193</f>
        <v>3035.96</v>
      </c>
      <c r="S193" s="197">
        <f>((I91*I91)/162)*R193</f>
        <v>1874.0493827160492</v>
      </c>
      <c r="T193" s="154" t="s">
        <v>156</v>
      </c>
    </row>
    <row r="194" spans="2:20" hidden="1">
      <c r="C194" s="154" t="s">
        <v>181</v>
      </c>
      <c r="D194" s="191">
        <f>ROUNDUP(+(E193/SQRT(L91^2+M91^2)),0)</f>
        <v>100</v>
      </c>
      <c r="E194" s="184"/>
      <c r="G194" s="199"/>
      <c r="H194" s="199"/>
      <c r="I194" s="200"/>
      <c r="J194" s="200"/>
      <c r="K194" s="200"/>
      <c r="L194" s="193"/>
      <c r="M194" s="198"/>
      <c r="N194" s="194"/>
      <c r="O194" s="193"/>
      <c r="P194" s="201"/>
      <c r="Q194" s="195"/>
      <c r="R194" s="190"/>
      <c r="S194" s="197"/>
    </row>
    <row r="195" spans="2:20" hidden="1">
      <c r="C195" s="154" t="s">
        <v>182</v>
      </c>
      <c r="D195" s="154">
        <f>ROUNDUP(+E193/1,0)</f>
        <v>100</v>
      </c>
    </row>
    <row r="196" spans="2:20" hidden="1"/>
    <row r="197" spans="2:20" hidden="1">
      <c r="B197" s="205" t="s">
        <v>187</v>
      </c>
      <c r="C197" s="178" t="s">
        <v>186</v>
      </c>
      <c r="E197" s="184">
        <v>100</v>
      </c>
      <c r="G197" s="196">
        <f>+E197*(C95+E95*2+1)</f>
        <v>225</v>
      </c>
      <c r="H197" s="196">
        <f>0.5*L95*M95*D198</f>
        <v>20.25</v>
      </c>
      <c r="I197" s="197">
        <f>+(L95*(C95+2*E95)*D198*E95)</f>
        <v>14.0625</v>
      </c>
      <c r="J197" s="197">
        <f>+D198*(L95+M95)*E95*(C95+2*E95)+D198*((L95+M95)*E95*D95)*2</f>
        <v>54.84375</v>
      </c>
      <c r="K197" s="197">
        <f>+(D95+(D95+E95))*E197*2</f>
        <v>425</v>
      </c>
      <c r="L197" s="187">
        <f>+(D198*(L95+M95))/H95+ IF(E197&gt;0,1,0)</f>
        <v>541</v>
      </c>
      <c r="M197" s="198">
        <f>+ROUNDUP(L197,0)</f>
        <v>541</v>
      </c>
      <c r="N197" s="189">
        <f>+(D95+E95-0.08)*2+(C95+E95*2-0.08)</f>
        <v>3.26</v>
      </c>
      <c r="O197" s="187">
        <f>+N197/J95+1</f>
        <v>14.04</v>
      </c>
      <c r="P197" s="198">
        <f>+ROUNDUP(O197,0)</f>
        <v>15</v>
      </c>
      <c r="Q197" s="188">
        <f>+(L95+M95-2*0.04)*D198+(((L95+M95-2*0.04)*D198)/6*50*(I95/1000))</f>
        <v>137.58333333333334</v>
      </c>
      <c r="R197" s="190">
        <f>+N197*M197+P197*Q197</f>
        <v>3827.41</v>
      </c>
      <c r="S197" s="197">
        <f>((I95*I95)/162)*R197</f>
        <v>2362.5987654320984</v>
      </c>
      <c r="T197" s="154" t="s">
        <v>156</v>
      </c>
    </row>
    <row r="198" spans="2:20" hidden="1">
      <c r="C198" s="154" t="s">
        <v>181</v>
      </c>
      <c r="D198" s="191">
        <f>ROUNDUP(+(E197/SQRT(L95^2+M95^2)),0)</f>
        <v>100</v>
      </c>
      <c r="E198" s="184"/>
      <c r="G198" s="199"/>
      <c r="H198" s="199"/>
      <c r="I198" s="200"/>
      <c r="J198" s="200"/>
      <c r="K198" s="200"/>
      <c r="L198" s="193"/>
      <c r="M198" s="198"/>
      <c r="N198" s="194"/>
      <c r="O198" s="193"/>
      <c r="P198" s="201"/>
      <c r="Q198" s="195"/>
      <c r="R198" s="190"/>
      <c r="S198" s="197"/>
    </row>
    <row r="199" spans="2:20" hidden="1">
      <c r="C199" s="154" t="s">
        <v>182</v>
      </c>
      <c r="D199" s="154">
        <f>ROUNDUP(+E197/1,0)</f>
        <v>100</v>
      </c>
    </row>
    <row r="200" spans="2:20">
      <c r="G200" s="206"/>
      <c r="H200" s="206"/>
      <c r="I200" s="206"/>
    </row>
    <row r="202" spans="2:20">
      <c r="B202" s="202"/>
      <c r="E202" s="202"/>
    </row>
    <row r="204" spans="2:20">
      <c r="E204" s="202"/>
    </row>
    <row r="206" spans="2:20">
      <c r="E206" s="202"/>
    </row>
    <row r="208" spans="2:20">
      <c r="E208" s="202"/>
    </row>
    <row r="223" spans="2:3">
      <c r="B223" s="202" t="s">
        <v>158</v>
      </c>
    </row>
    <row r="224" spans="2:3" ht="28.8">
      <c r="B224" s="207" t="s">
        <v>191</v>
      </c>
      <c r="C224" s="208"/>
    </row>
    <row r="226" spans="2:10">
      <c r="B226" s="154" t="s">
        <v>192</v>
      </c>
      <c r="C226" s="191"/>
    </row>
    <row r="227" spans="2:10">
      <c r="B227" s="154" t="s">
        <v>193</v>
      </c>
      <c r="C227" s="154">
        <v>0.5</v>
      </c>
    </row>
    <row r="228" spans="2:10">
      <c r="C228" s="191"/>
    </row>
    <row r="229" spans="2:10">
      <c r="B229" s="154" t="s">
        <v>194</v>
      </c>
      <c r="C229" s="154">
        <f>ROUNDUP(C224/C227,0)</f>
        <v>0</v>
      </c>
    </row>
    <row r="232" spans="2:10">
      <c r="B232" s="154" t="s">
        <v>195</v>
      </c>
      <c r="C232" s="154">
        <f>C229*0.16*0.5</f>
        <v>0</v>
      </c>
      <c r="E232" s="202" t="s">
        <v>196</v>
      </c>
    </row>
    <row r="233" spans="2:10">
      <c r="B233" s="154" t="s">
        <v>82</v>
      </c>
      <c r="C233" s="154">
        <f>((0.16*2)+(0.15*0.5*2))*C229</f>
        <v>0</v>
      </c>
    </row>
    <row r="235" spans="2:10">
      <c r="B235" s="154" t="s">
        <v>197</v>
      </c>
      <c r="C235" s="193">
        <v>2.12</v>
      </c>
      <c r="D235" s="209">
        <f>ROUNDUP(0.5/0.125,0)+1</f>
        <v>5</v>
      </c>
      <c r="E235" s="154">
        <f>C229</f>
        <v>0</v>
      </c>
      <c r="F235" s="154">
        <v>1.1000000000000001</v>
      </c>
      <c r="G235" s="154">
        <f>PRODUCT(C235:F235)</f>
        <v>0</v>
      </c>
    </row>
    <row r="236" spans="2:10">
      <c r="C236" s="154">
        <v>0.5</v>
      </c>
      <c r="D236" s="209">
        <f>ROUNDUP(C235/0.2+1,0)</f>
        <v>12</v>
      </c>
      <c r="E236" s="154">
        <f>C229</f>
        <v>0</v>
      </c>
      <c r="F236" s="154">
        <v>1.1000000000000001</v>
      </c>
      <c r="G236" s="154">
        <f>PRODUCT(C236:F236)</f>
        <v>0</v>
      </c>
    </row>
    <row r="238" spans="2:10">
      <c r="G238" s="154">
        <f>SUM(G235:G237)</f>
        <v>0</v>
      </c>
      <c r="H238" s="154">
        <f>ROUND(100/162,3)</f>
        <v>0.61699999999999999</v>
      </c>
      <c r="J238" s="193">
        <f>ROUNDUP(PRODUCT(G238:H238),0)</f>
        <v>0</v>
      </c>
    </row>
    <row r="245" spans="2:8">
      <c r="B245" s="202" t="s">
        <v>198</v>
      </c>
    </row>
    <row r="246" spans="2:8">
      <c r="C246" s="202" t="s">
        <v>189</v>
      </c>
      <c r="D246" s="202" t="s">
        <v>486</v>
      </c>
      <c r="F246" s="202" t="s">
        <v>487</v>
      </c>
    </row>
    <row r="247" spans="2:8">
      <c r="B247" s="202" t="s">
        <v>488</v>
      </c>
      <c r="C247" s="191">
        <f>E106</f>
        <v>130.11000000000001</v>
      </c>
      <c r="D247" s="191">
        <f>(C6+E6+E6)</f>
        <v>0.5</v>
      </c>
      <c r="F247" s="154">
        <f>C247*D247</f>
        <v>65.055000000000007</v>
      </c>
      <c r="G247" s="154">
        <v>1.1000000000000001</v>
      </c>
      <c r="H247" s="154">
        <f>F247*G247</f>
        <v>71.560500000000019</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73FC1-25CD-467A-98A7-98576D67A217}">
  <sheetPr>
    <tabColor theme="3" tint="-0.249977111117893"/>
  </sheetPr>
  <dimension ref="A1:M24"/>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3"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ht="24.75" customHeight="1">
      <c r="A1" s="976" t="str">
        <f>'Bill No.8.1 '!A1:F1</f>
        <v>LOT -06 - BILLS OF QUANTITIES</v>
      </c>
      <c r="B1" s="977"/>
      <c r="C1" s="977"/>
      <c r="D1" s="977"/>
      <c r="E1" s="977"/>
      <c r="F1" s="978"/>
    </row>
    <row r="2" spans="1:13" customFormat="1" ht="52.2" customHeight="1">
      <c r="A2" s="872" t="s">
        <v>1508</v>
      </c>
      <c r="B2" s="873"/>
      <c r="C2" s="873"/>
      <c r="D2" s="873"/>
      <c r="E2" s="873"/>
      <c r="F2" s="874"/>
    </row>
    <row r="3" spans="1:13" customFormat="1" ht="14.4" hidden="1">
      <c r="A3" s="748"/>
      <c r="B3" s="749"/>
      <c r="C3" s="749"/>
      <c r="D3" s="749"/>
      <c r="E3" s="750"/>
      <c r="F3" s="751"/>
    </row>
    <row r="4" spans="1:13">
      <c r="A4" s="560"/>
      <c r="B4" s="561" t="s">
        <v>8</v>
      </c>
      <c r="C4" s="306"/>
      <c r="D4" s="562"/>
      <c r="E4" s="307"/>
      <c r="F4" s="563" t="s">
        <v>9</v>
      </c>
    </row>
    <row r="5" spans="1:13" s="11" customFormat="1" ht="34.200000000000003" customHeight="1">
      <c r="A5" s="564"/>
      <c r="B5" s="875" t="s">
        <v>1214</v>
      </c>
      <c r="C5" s="875"/>
      <c r="D5" s="875"/>
      <c r="E5" s="876"/>
      <c r="F5" s="10"/>
      <c r="H5" s="12"/>
      <c r="I5" s="13"/>
      <c r="J5" s="12"/>
      <c r="L5" s="14"/>
    </row>
    <row r="6" spans="1:13" s="11" customFormat="1" ht="34.200000000000003" customHeight="1">
      <c r="A6" s="564"/>
      <c r="B6" s="890" t="s">
        <v>1215</v>
      </c>
      <c r="C6" s="890"/>
      <c r="D6" s="890"/>
      <c r="E6" s="891"/>
      <c r="F6" s="10"/>
      <c r="H6" s="12"/>
      <c r="I6" s="13"/>
      <c r="J6" s="12"/>
      <c r="L6" s="14"/>
    </row>
    <row r="7" spans="1:13" s="11" customFormat="1" ht="34.200000000000003" customHeight="1" thickBot="1">
      <c r="A7" s="564"/>
      <c r="B7" s="890" t="str">
        <f>'Bill No 8.2.3 '!A1</f>
        <v>BILL No. 8.2.3 - STRUCTURE CONSTRUCTION &amp; VEGETATION</v>
      </c>
      <c r="C7" s="890"/>
      <c r="D7" s="890"/>
      <c r="E7" s="891"/>
      <c r="F7" s="10"/>
      <c r="H7" s="12"/>
      <c r="I7" s="13"/>
      <c r="J7" s="12"/>
      <c r="L7" s="14"/>
    </row>
    <row r="8" spans="1:13" s="11" customFormat="1" ht="9.75" hidden="1" customHeight="1" thickBot="1">
      <c r="A8" s="628"/>
      <c r="B8" s="629"/>
      <c r="C8" s="630"/>
      <c r="D8" s="630"/>
      <c r="E8" s="631"/>
      <c r="F8" s="632"/>
      <c r="H8" s="12"/>
      <c r="I8" s="12"/>
      <c r="J8" s="12"/>
    </row>
    <row r="9" spans="1:13" s="11" customFormat="1" ht="24.9" customHeight="1" thickBot="1">
      <c r="A9" s="15"/>
      <c r="B9" s="877" t="s">
        <v>10</v>
      </c>
      <c r="C9" s="877"/>
      <c r="D9" s="877"/>
      <c r="E9" s="878"/>
      <c r="F9" s="16"/>
      <c r="H9" s="12"/>
      <c r="I9" s="17"/>
      <c r="J9" s="12"/>
      <c r="K9" s="14"/>
      <c r="M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sheetData>
  <mergeCells count="6">
    <mergeCell ref="B9:E9"/>
    <mergeCell ref="A1:F1"/>
    <mergeCell ref="A2:F2"/>
    <mergeCell ref="B5:E5"/>
    <mergeCell ref="B6:E6"/>
    <mergeCell ref="B7:E7"/>
  </mergeCells>
  <printOptions horizontalCentered="1"/>
  <pageMargins left="0.75" right="0.4" top="0.75" bottom="0.5" header="0" footer="0"/>
  <pageSetup paperSize="9" scale="70" fitToHeight="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0EFD-4602-4BB1-B881-1D9731B5DD8E}">
  <sheetPr>
    <tabColor rgb="FF00B0F0"/>
  </sheetPr>
  <dimension ref="A1:M34"/>
  <sheetViews>
    <sheetView view="pageBreakPreview" zoomScale="86" zoomScaleNormal="100" zoomScaleSheetLayoutView="86" workbookViewId="0">
      <selection activeCell="I1" sqref="I1:I1048576"/>
    </sheetView>
  </sheetViews>
  <sheetFormatPr defaultColWidth="8.88671875" defaultRowHeight="13.8"/>
  <cols>
    <col min="1" max="1" width="9.5546875" style="578" customWidth="1"/>
    <col min="2" max="2" width="10.33203125" style="574" customWidth="1"/>
    <col min="3" max="3" width="53.109375" style="576" customWidth="1"/>
    <col min="4" max="4" width="7.6640625" style="580" customWidth="1"/>
    <col min="5" max="5" width="8" style="700" customWidth="1"/>
    <col min="6" max="6" width="16.88671875" style="581" customWidth="1"/>
    <col min="7" max="7" width="21" style="581" customWidth="1"/>
    <col min="8" max="8" width="12.109375" style="576" hidden="1" customWidth="1"/>
    <col min="9" max="9" width="15.44140625" style="576" hidden="1" customWidth="1"/>
    <col min="10" max="10" width="12.88671875" style="576" bestFit="1" customWidth="1"/>
    <col min="11" max="11" width="8.88671875" style="576"/>
    <col min="12" max="12" width="12.88671875" style="576" bestFit="1" customWidth="1"/>
    <col min="13" max="256" width="8.88671875" style="576"/>
    <col min="257" max="257" width="3.6640625" style="576" bestFit="1" customWidth="1"/>
    <col min="258" max="258" width="8.33203125" style="576" customWidth="1"/>
    <col min="259" max="259" width="46.109375" style="576" customWidth="1"/>
    <col min="260" max="260" width="11" style="576" customWidth="1"/>
    <col min="261" max="261" width="12.5546875" style="576" customWidth="1"/>
    <col min="262" max="262" width="10.88671875" style="576" customWidth="1"/>
    <col min="263" max="263" width="16.109375" style="576" customWidth="1"/>
    <col min="264" max="264" width="0" style="576" hidden="1" customWidth="1"/>
    <col min="265" max="265" width="15.44140625" style="576" customWidth="1"/>
    <col min="266" max="266" width="12.88671875" style="576" bestFit="1" customWidth="1"/>
    <col min="267" max="267" width="8.88671875" style="576"/>
    <col min="268" max="268" width="12.88671875" style="576" bestFit="1" customWidth="1"/>
    <col min="269" max="512" width="8.88671875" style="576"/>
    <col min="513" max="513" width="3.6640625" style="576" bestFit="1" customWidth="1"/>
    <col min="514" max="514" width="8.33203125" style="576" customWidth="1"/>
    <col min="515" max="515" width="46.109375" style="576" customWidth="1"/>
    <col min="516" max="516" width="11" style="576" customWidth="1"/>
    <col min="517" max="517" width="12.5546875" style="576" customWidth="1"/>
    <col min="518" max="518" width="10.88671875" style="576" customWidth="1"/>
    <col min="519" max="519" width="16.109375" style="576" customWidth="1"/>
    <col min="520" max="520" width="0" style="576" hidden="1" customWidth="1"/>
    <col min="521" max="521" width="15.44140625" style="576" customWidth="1"/>
    <col min="522" max="522" width="12.88671875" style="576" bestFit="1" customWidth="1"/>
    <col min="523" max="523" width="8.88671875" style="576"/>
    <col min="524" max="524" width="12.88671875" style="576" bestFit="1" customWidth="1"/>
    <col min="525" max="768" width="8.88671875" style="576"/>
    <col min="769" max="769" width="3.6640625" style="576" bestFit="1" customWidth="1"/>
    <col min="770" max="770" width="8.33203125" style="576" customWidth="1"/>
    <col min="771" max="771" width="46.109375" style="576" customWidth="1"/>
    <col min="772" max="772" width="11" style="576" customWidth="1"/>
    <col min="773" max="773" width="12.5546875" style="576" customWidth="1"/>
    <col min="774" max="774" width="10.88671875" style="576" customWidth="1"/>
    <col min="775" max="775" width="16.109375" style="576" customWidth="1"/>
    <col min="776" max="776" width="0" style="576" hidden="1" customWidth="1"/>
    <col min="777" max="777" width="15.44140625" style="576" customWidth="1"/>
    <col min="778" max="778" width="12.88671875" style="576" bestFit="1" customWidth="1"/>
    <col min="779" max="779" width="8.88671875" style="576"/>
    <col min="780" max="780" width="12.88671875" style="576" bestFit="1" customWidth="1"/>
    <col min="781" max="1024" width="8.88671875" style="576"/>
    <col min="1025" max="1025" width="3.6640625" style="576" bestFit="1" customWidth="1"/>
    <col min="1026" max="1026" width="8.33203125" style="576" customWidth="1"/>
    <col min="1027" max="1027" width="46.109375" style="576" customWidth="1"/>
    <col min="1028" max="1028" width="11" style="576" customWidth="1"/>
    <col min="1029" max="1029" width="12.5546875" style="576" customWidth="1"/>
    <col min="1030" max="1030" width="10.88671875" style="576" customWidth="1"/>
    <col min="1031" max="1031" width="16.109375" style="576" customWidth="1"/>
    <col min="1032" max="1032" width="0" style="576" hidden="1" customWidth="1"/>
    <col min="1033" max="1033" width="15.44140625" style="576" customWidth="1"/>
    <col min="1034" max="1034" width="12.88671875" style="576" bestFit="1" customWidth="1"/>
    <col min="1035" max="1035" width="8.88671875" style="576"/>
    <col min="1036" max="1036" width="12.88671875" style="576" bestFit="1" customWidth="1"/>
    <col min="1037" max="1280" width="8.88671875" style="576"/>
    <col min="1281" max="1281" width="3.6640625" style="576" bestFit="1" customWidth="1"/>
    <col min="1282" max="1282" width="8.33203125" style="576" customWidth="1"/>
    <col min="1283" max="1283" width="46.109375" style="576" customWidth="1"/>
    <col min="1284" max="1284" width="11" style="576" customWidth="1"/>
    <col min="1285" max="1285" width="12.5546875" style="576" customWidth="1"/>
    <col min="1286" max="1286" width="10.88671875" style="576" customWidth="1"/>
    <col min="1287" max="1287" width="16.109375" style="576" customWidth="1"/>
    <col min="1288" max="1288" width="0" style="576" hidden="1" customWidth="1"/>
    <col min="1289" max="1289" width="15.44140625" style="576" customWidth="1"/>
    <col min="1290" max="1290" width="12.88671875" style="576" bestFit="1" customWidth="1"/>
    <col min="1291" max="1291" width="8.88671875" style="576"/>
    <col min="1292" max="1292" width="12.88671875" style="576" bestFit="1" customWidth="1"/>
    <col min="1293" max="1536" width="8.88671875" style="576"/>
    <col min="1537" max="1537" width="3.6640625" style="576" bestFit="1" customWidth="1"/>
    <col min="1538" max="1538" width="8.33203125" style="576" customWidth="1"/>
    <col min="1539" max="1539" width="46.109375" style="576" customWidth="1"/>
    <col min="1540" max="1540" width="11" style="576" customWidth="1"/>
    <col min="1541" max="1541" width="12.5546875" style="576" customWidth="1"/>
    <col min="1542" max="1542" width="10.88671875" style="576" customWidth="1"/>
    <col min="1543" max="1543" width="16.109375" style="576" customWidth="1"/>
    <col min="1544" max="1544" width="0" style="576" hidden="1" customWidth="1"/>
    <col min="1545" max="1545" width="15.44140625" style="576" customWidth="1"/>
    <col min="1546" max="1546" width="12.88671875" style="576" bestFit="1" customWidth="1"/>
    <col min="1547" max="1547" width="8.88671875" style="576"/>
    <col min="1548" max="1548" width="12.88671875" style="576" bestFit="1" customWidth="1"/>
    <col min="1549" max="1792" width="8.88671875" style="576"/>
    <col min="1793" max="1793" width="3.6640625" style="576" bestFit="1" customWidth="1"/>
    <col min="1794" max="1794" width="8.33203125" style="576" customWidth="1"/>
    <col min="1795" max="1795" width="46.109375" style="576" customWidth="1"/>
    <col min="1796" max="1796" width="11" style="576" customWidth="1"/>
    <col min="1797" max="1797" width="12.5546875" style="576" customWidth="1"/>
    <col min="1798" max="1798" width="10.88671875" style="576" customWidth="1"/>
    <col min="1799" max="1799" width="16.109375" style="576" customWidth="1"/>
    <col min="1800" max="1800" width="0" style="576" hidden="1" customWidth="1"/>
    <col min="1801" max="1801" width="15.44140625" style="576" customWidth="1"/>
    <col min="1802" max="1802" width="12.88671875" style="576" bestFit="1" customWidth="1"/>
    <col min="1803" max="1803" width="8.88671875" style="576"/>
    <col min="1804" max="1804" width="12.88671875" style="576" bestFit="1" customWidth="1"/>
    <col min="1805" max="2048" width="8.88671875" style="576"/>
    <col min="2049" max="2049" width="3.6640625" style="576" bestFit="1" customWidth="1"/>
    <col min="2050" max="2050" width="8.33203125" style="576" customWidth="1"/>
    <col min="2051" max="2051" width="46.109375" style="576" customWidth="1"/>
    <col min="2052" max="2052" width="11" style="576" customWidth="1"/>
    <col min="2053" max="2053" width="12.5546875" style="576" customWidth="1"/>
    <col min="2054" max="2054" width="10.88671875" style="576" customWidth="1"/>
    <col min="2055" max="2055" width="16.109375" style="576" customWidth="1"/>
    <col min="2056" max="2056" width="0" style="576" hidden="1" customWidth="1"/>
    <col min="2057" max="2057" width="15.44140625" style="576" customWidth="1"/>
    <col min="2058" max="2058" width="12.88671875" style="576" bestFit="1" customWidth="1"/>
    <col min="2059" max="2059" width="8.88671875" style="576"/>
    <col min="2060" max="2060" width="12.88671875" style="576" bestFit="1" customWidth="1"/>
    <col min="2061" max="2304" width="8.88671875" style="576"/>
    <col min="2305" max="2305" width="3.6640625" style="576" bestFit="1" customWidth="1"/>
    <col min="2306" max="2306" width="8.33203125" style="576" customWidth="1"/>
    <col min="2307" max="2307" width="46.109375" style="576" customWidth="1"/>
    <col min="2308" max="2308" width="11" style="576" customWidth="1"/>
    <col min="2309" max="2309" width="12.5546875" style="576" customWidth="1"/>
    <col min="2310" max="2310" width="10.88671875" style="576" customWidth="1"/>
    <col min="2311" max="2311" width="16.109375" style="576" customWidth="1"/>
    <col min="2312" max="2312" width="0" style="576" hidden="1" customWidth="1"/>
    <col min="2313" max="2313" width="15.44140625" style="576" customWidth="1"/>
    <col min="2314" max="2314" width="12.88671875" style="576" bestFit="1" customWidth="1"/>
    <col min="2315" max="2315" width="8.88671875" style="576"/>
    <col min="2316" max="2316" width="12.88671875" style="576" bestFit="1" customWidth="1"/>
    <col min="2317" max="2560" width="8.88671875" style="576"/>
    <col min="2561" max="2561" width="3.6640625" style="576" bestFit="1" customWidth="1"/>
    <col min="2562" max="2562" width="8.33203125" style="576" customWidth="1"/>
    <col min="2563" max="2563" width="46.109375" style="576" customWidth="1"/>
    <col min="2564" max="2564" width="11" style="576" customWidth="1"/>
    <col min="2565" max="2565" width="12.5546875" style="576" customWidth="1"/>
    <col min="2566" max="2566" width="10.88671875" style="576" customWidth="1"/>
    <col min="2567" max="2567" width="16.109375" style="576" customWidth="1"/>
    <col min="2568" max="2568" width="0" style="576" hidden="1" customWidth="1"/>
    <col min="2569" max="2569" width="15.44140625" style="576" customWidth="1"/>
    <col min="2570" max="2570" width="12.88671875" style="576" bestFit="1" customWidth="1"/>
    <col min="2571" max="2571" width="8.88671875" style="576"/>
    <col min="2572" max="2572" width="12.88671875" style="576" bestFit="1" customWidth="1"/>
    <col min="2573" max="2816" width="8.88671875" style="576"/>
    <col min="2817" max="2817" width="3.6640625" style="576" bestFit="1" customWidth="1"/>
    <col min="2818" max="2818" width="8.33203125" style="576" customWidth="1"/>
    <col min="2819" max="2819" width="46.109375" style="576" customWidth="1"/>
    <col min="2820" max="2820" width="11" style="576" customWidth="1"/>
    <col min="2821" max="2821" width="12.5546875" style="576" customWidth="1"/>
    <col min="2822" max="2822" width="10.88671875" style="576" customWidth="1"/>
    <col min="2823" max="2823" width="16.109375" style="576" customWidth="1"/>
    <col min="2824" max="2824" width="0" style="576" hidden="1" customWidth="1"/>
    <col min="2825" max="2825" width="15.44140625" style="576" customWidth="1"/>
    <col min="2826" max="2826" width="12.88671875" style="576" bestFit="1" customWidth="1"/>
    <col min="2827" max="2827" width="8.88671875" style="576"/>
    <col min="2828" max="2828" width="12.88671875" style="576" bestFit="1" customWidth="1"/>
    <col min="2829" max="3072" width="8.88671875" style="576"/>
    <col min="3073" max="3073" width="3.6640625" style="576" bestFit="1" customWidth="1"/>
    <col min="3074" max="3074" width="8.33203125" style="576" customWidth="1"/>
    <col min="3075" max="3075" width="46.109375" style="576" customWidth="1"/>
    <col min="3076" max="3076" width="11" style="576" customWidth="1"/>
    <col min="3077" max="3077" width="12.5546875" style="576" customWidth="1"/>
    <col min="3078" max="3078" width="10.88671875" style="576" customWidth="1"/>
    <col min="3079" max="3079" width="16.109375" style="576" customWidth="1"/>
    <col min="3080" max="3080" width="0" style="576" hidden="1" customWidth="1"/>
    <col min="3081" max="3081" width="15.44140625" style="576" customWidth="1"/>
    <col min="3082" max="3082" width="12.88671875" style="576" bestFit="1" customWidth="1"/>
    <col min="3083" max="3083" width="8.88671875" style="576"/>
    <col min="3084" max="3084" width="12.88671875" style="576" bestFit="1" customWidth="1"/>
    <col min="3085" max="3328" width="8.88671875" style="576"/>
    <col min="3329" max="3329" width="3.6640625" style="576" bestFit="1" customWidth="1"/>
    <col min="3330" max="3330" width="8.33203125" style="576" customWidth="1"/>
    <col min="3331" max="3331" width="46.109375" style="576" customWidth="1"/>
    <col min="3332" max="3332" width="11" style="576" customWidth="1"/>
    <col min="3333" max="3333" width="12.5546875" style="576" customWidth="1"/>
    <col min="3334" max="3334" width="10.88671875" style="576" customWidth="1"/>
    <col min="3335" max="3335" width="16.109375" style="576" customWidth="1"/>
    <col min="3336" max="3336" width="0" style="576" hidden="1" customWidth="1"/>
    <col min="3337" max="3337" width="15.44140625" style="576" customWidth="1"/>
    <col min="3338" max="3338" width="12.88671875" style="576" bestFit="1" customWidth="1"/>
    <col min="3339" max="3339" width="8.88671875" style="576"/>
    <col min="3340" max="3340" width="12.88671875" style="576" bestFit="1" customWidth="1"/>
    <col min="3341" max="3584" width="8.88671875" style="576"/>
    <col min="3585" max="3585" width="3.6640625" style="576" bestFit="1" customWidth="1"/>
    <col min="3586" max="3586" width="8.33203125" style="576" customWidth="1"/>
    <col min="3587" max="3587" width="46.109375" style="576" customWidth="1"/>
    <col min="3588" max="3588" width="11" style="576" customWidth="1"/>
    <col min="3589" max="3589" width="12.5546875" style="576" customWidth="1"/>
    <col min="3590" max="3590" width="10.88671875" style="576" customWidth="1"/>
    <col min="3591" max="3591" width="16.109375" style="576" customWidth="1"/>
    <col min="3592" max="3592" width="0" style="576" hidden="1" customWidth="1"/>
    <col min="3593" max="3593" width="15.44140625" style="576" customWidth="1"/>
    <col min="3594" max="3594" width="12.88671875" style="576" bestFit="1" customWidth="1"/>
    <col min="3595" max="3595" width="8.88671875" style="576"/>
    <col min="3596" max="3596" width="12.88671875" style="576" bestFit="1" customWidth="1"/>
    <col min="3597" max="3840" width="8.88671875" style="576"/>
    <col min="3841" max="3841" width="3.6640625" style="576" bestFit="1" customWidth="1"/>
    <col min="3842" max="3842" width="8.33203125" style="576" customWidth="1"/>
    <col min="3843" max="3843" width="46.109375" style="576" customWidth="1"/>
    <col min="3844" max="3844" width="11" style="576" customWidth="1"/>
    <col min="3845" max="3845" width="12.5546875" style="576" customWidth="1"/>
    <col min="3846" max="3846" width="10.88671875" style="576" customWidth="1"/>
    <col min="3847" max="3847" width="16.109375" style="576" customWidth="1"/>
    <col min="3848" max="3848" width="0" style="576" hidden="1" customWidth="1"/>
    <col min="3849" max="3849" width="15.44140625" style="576" customWidth="1"/>
    <col min="3850" max="3850" width="12.88671875" style="576" bestFit="1" customWidth="1"/>
    <col min="3851" max="3851" width="8.88671875" style="576"/>
    <col min="3852" max="3852" width="12.88671875" style="576" bestFit="1" customWidth="1"/>
    <col min="3853" max="4096" width="8.88671875" style="576"/>
    <col min="4097" max="4097" width="3.6640625" style="576" bestFit="1" customWidth="1"/>
    <col min="4098" max="4098" width="8.33203125" style="576" customWidth="1"/>
    <col min="4099" max="4099" width="46.109375" style="576" customWidth="1"/>
    <col min="4100" max="4100" width="11" style="576" customWidth="1"/>
    <col min="4101" max="4101" width="12.5546875" style="576" customWidth="1"/>
    <col min="4102" max="4102" width="10.88671875" style="576" customWidth="1"/>
    <col min="4103" max="4103" width="16.109375" style="576" customWidth="1"/>
    <col min="4104" max="4104" width="0" style="576" hidden="1" customWidth="1"/>
    <col min="4105" max="4105" width="15.44140625" style="576" customWidth="1"/>
    <col min="4106" max="4106" width="12.88671875" style="576" bestFit="1" customWidth="1"/>
    <col min="4107" max="4107" width="8.88671875" style="576"/>
    <col min="4108" max="4108" width="12.88671875" style="576" bestFit="1" customWidth="1"/>
    <col min="4109" max="4352" width="8.88671875" style="576"/>
    <col min="4353" max="4353" width="3.6640625" style="576" bestFit="1" customWidth="1"/>
    <col min="4354" max="4354" width="8.33203125" style="576" customWidth="1"/>
    <col min="4355" max="4355" width="46.109375" style="576" customWidth="1"/>
    <col min="4356" max="4356" width="11" style="576" customWidth="1"/>
    <col min="4357" max="4357" width="12.5546875" style="576" customWidth="1"/>
    <col min="4358" max="4358" width="10.88671875" style="576" customWidth="1"/>
    <col min="4359" max="4359" width="16.109375" style="576" customWidth="1"/>
    <col min="4360" max="4360" width="0" style="576" hidden="1" customWidth="1"/>
    <col min="4361" max="4361" width="15.44140625" style="576" customWidth="1"/>
    <col min="4362" max="4362" width="12.88671875" style="576" bestFit="1" customWidth="1"/>
    <col min="4363" max="4363" width="8.88671875" style="576"/>
    <col min="4364" max="4364" width="12.88671875" style="576" bestFit="1" customWidth="1"/>
    <col min="4365" max="4608" width="8.88671875" style="576"/>
    <col min="4609" max="4609" width="3.6640625" style="576" bestFit="1" customWidth="1"/>
    <col min="4610" max="4610" width="8.33203125" style="576" customWidth="1"/>
    <col min="4611" max="4611" width="46.109375" style="576" customWidth="1"/>
    <col min="4612" max="4612" width="11" style="576" customWidth="1"/>
    <col min="4613" max="4613" width="12.5546875" style="576" customWidth="1"/>
    <col min="4614" max="4614" width="10.88671875" style="576" customWidth="1"/>
    <col min="4615" max="4615" width="16.109375" style="576" customWidth="1"/>
    <col min="4616" max="4616" width="0" style="576" hidden="1" customWidth="1"/>
    <col min="4617" max="4617" width="15.44140625" style="576" customWidth="1"/>
    <col min="4618" max="4618" width="12.88671875" style="576" bestFit="1" customWidth="1"/>
    <col min="4619" max="4619" width="8.88671875" style="576"/>
    <col min="4620" max="4620" width="12.88671875" style="576" bestFit="1" customWidth="1"/>
    <col min="4621" max="4864" width="8.88671875" style="576"/>
    <col min="4865" max="4865" width="3.6640625" style="576" bestFit="1" customWidth="1"/>
    <col min="4866" max="4866" width="8.33203125" style="576" customWidth="1"/>
    <col min="4867" max="4867" width="46.109375" style="576" customWidth="1"/>
    <col min="4868" max="4868" width="11" style="576" customWidth="1"/>
    <col min="4869" max="4869" width="12.5546875" style="576" customWidth="1"/>
    <col min="4870" max="4870" width="10.88671875" style="576" customWidth="1"/>
    <col min="4871" max="4871" width="16.109375" style="576" customWidth="1"/>
    <col min="4872" max="4872" width="0" style="576" hidden="1" customWidth="1"/>
    <col min="4873" max="4873" width="15.44140625" style="576" customWidth="1"/>
    <col min="4874" max="4874" width="12.88671875" style="576" bestFit="1" customWidth="1"/>
    <col min="4875" max="4875" width="8.88671875" style="576"/>
    <col min="4876" max="4876" width="12.88671875" style="576" bestFit="1" customWidth="1"/>
    <col min="4877" max="5120" width="8.88671875" style="576"/>
    <col min="5121" max="5121" width="3.6640625" style="576" bestFit="1" customWidth="1"/>
    <col min="5122" max="5122" width="8.33203125" style="576" customWidth="1"/>
    <col min="5123" max="5123" width="46.109375" style="576" customWidth="1"/>
    <col min="5124" max="5124" width="11" style="576" customWidth="1"/>
    <col min="5125" max="5125" width="12.5546875" style="576" customWidth="1"/>
    <col min="5126" max="5126" width="10.88671875" style="576" customWidth="1"/>
    <col min="5127" max="5127" width="16.109375" style="576" customWidth="1"/>
    <col min="5128" max="5128" width="0" style="576" hidden="1" customWidth="1"/>
    <col min="5129" max="5129" width="15.44140625" style="576" customWidth="1"/>
    <col min="5130" max="5130" width="12.88671875" style="576" bestFit="1" customWidth="1"/>
    <col min="5131" max="5131" width="8.88671875" style="576"/>
    <col min="5132" max="5132" width="12.88671875" style="576" bestFit="1" customWidth="1"/>
    <col min="5133" max="5376" width="8.88671875" style="576"/>
    <col min="5377" max="5377" width="3.6640625" style="576" bestFit="1" customWidth="1"/>
    <col min="5378" max="5378" width="8.33203125" style="576" customWidth="1"/>
    <col min="5379" max="5379" width="46.109375" style="576" customWidth="1"/>
    <col min="5380" max="5380" width="11" style="576" customWidth="1"/>
    <col min="5381" max="5381" width="12.5546875" style="576" customWidth="1"/>
    <col min="5382" max="5382" width="10.88671875" style="576" customWidth="1"/>
    <col min="5383" max="5383" width="16.109375" style="576" customWidth="1"/>
    <col min="5384" max="5384" width="0" style="576" hidden="1" customWidth="1"/>
    <col min="5385" max="5385" width="15.44140625" style="576" customWidth="1"/>
    <col min="5386" max="5386" width="12.88671875" style="576" bestFit="1" customWidth="1"/>
    <col min="5387" max="5387" width="8.88671875" style="576"/>
    <col min="5388" max="5388" width="12.88671875" style="576" bestFit="1" customWidth="1"/>
    <col min="5389" max="5632" width="8.88671875" style="576"/>
    <col min="5633" max="5633" width="3.6640625" style="576" bestFit="1" customWidth="1"/>
    <col min="5634" max="5634" width="8.33203125" style="576" customWidth="1"/>
    <col min="5635" max="5635" width="46.109375" style="576" customWidth="1"/>
    <col min="5636" max="5636" width="11" style="576" customWidth="1"/>
    <col min="5637" max="5637" width="12.5546875" style="576" customWidth="1"/>
    <col min="5638" max="5638" width="10.88671875" style="576" customWidth="1"/>
    <col min="5639" max="5639" width="16.109375" style="576" customWidth="1"/>
    <col min="5640" max="5640" width="0" style="576" hidden="1" customWidth="1"/>
    <col min="5641" max="5641" width="15.44140625" style="576" customWidth="1"/>
    <col min="5642" max="5642" width="12.88671875" style="576" bestFit="1" customWidth="1"/>
    <col min="5643" max="5643" width="8.88671875" style="576"/>
    <col min="5644" max="5644" width="12.88671875" style="576" bestFit="1" customWidth="1"/>
    <col min="5645" max="5888" width="8.88671875" style="576"/>
    <col min="5889" max="5889" width="3.6640625" style="576" bestFit="1" customWidth="1"/>
    <col min="5890" max="5890" width="8.33203125" style="576" customWidth="1"/>
    <col min="5891" max="5891" width="46.109375" style="576" customWidth="1"/>
    <col min="5892" max="5892" width="11" style="576" customWidth="1"/>
    <col min="5893" max="5893" width="12.5546875" style="576" customWidth="1"/>
    <col min="5894" max="5894" width="10.88671875" style="576" customWidth="1"/>
    <col min="5895" max="5895" width="16.109375" style="576" customWidth="1"/>
    <col min="5896" max="5896" width="0" style="576" hidden="1" customWidth="1"/>
    <col min="5897" max="5897" width="15.44140625" style="576" customWidth="1"/>
    <col min="5898" max="5898" width="12.88671875" style="576" bestFit="1" customWidth="1"/>
    <col min="5899" max="5899" width="8.88671875" style="576"/>
    <col min="5900" max="5900" width="12.88671875" style="576" bestFit="1" customWidth="1"/>
    <col min="5901" max="6144" width="8.88671875" style="576"/>
    <col min="6145" max="6145" width="3.6640625" style="576" bestFit="1" customWidth="1"/>
    <col min="6146" max="6146" width="8.33203125" style="576" customWidth="1"/>
    <col min="6147" max="6147" width="46.109375" style="576" customWidth="1"/>
    <col min="6148" max="6148" width="11" style="576" customWidth="1"/>
    <col min="6149" max="6149" width="12.5546875" style="576" customWidth="1"/>
    <col min="6150" max="6150" width="10.88671875" style="576" customWidth="1"/>
    <col min="6151" max="6151" width="16.109375" style="576" customWidth="1"/>
    <col min="6152" max="6152" width="0" style="576" hidden="1" customWidth="1"/>
    <col min="6153" max="6153" width="15.44140625" style="576" customWidth="1"/>
    <col min="6154" max="6154" width="12.88671875" style="576" bestFit="1" customWidth="1"/>
    <col min="6155" max="6155" width="8.88671875" style="576"/>
    <col min="6156" max="6156" width="12.88671875" style="576" bestFit="1" customWidth="1"/>
    <col min="6157" max="6400" width="8.88671875" style="576"/>
    <col min="6401" max="6401" width="3.6640625" style="576" bestFit="1" customWidth="1"/>
    <col min="6402" max="6402" width="8.33203125" style="576" customWidth="1"/>
    <col min="6403" max="6403" width="46.109375" style="576" customWidth="1"/>
    <col min="6404" max="6404" width="11" style="576" customWidth="1"/>
    <col min="6405" max="6405" width="12.5546875" style="576" customWidth="1"/>
    <col min="6406" max="6406" width="10.88671875" style="576" customWidth="1"/>
    <col min="6407" max="6407" width="16.109375" style="576" customWidth="1"/>
    <col min="6408" max="6408" width="0" style="576" hidden="1" customWidth="1"/>
    <col min="6409" max="6409" width="15.44140625" style="576" customWidth="1"/>
    <col min="6410" max="6410" width="12.88671875" style="576" bestFit="1" customWidth="1"/>
    <col min="6411" max="6411" width="8.88671875" style="576"/>
    <col min="6412" max="6412" width="12.88671875" style="576" bestFit="1" customWidth="1"/>
    <col min="6413" max="6656" width="8.88671875" style="576"/>
    <col min="6657" max="6657" width="3.6640625" style="576" bestFit="1" customWidth="1"/>
    <col min="6658" max="6658" width="8.33203125" style="576" customWidth="1"/>
    <col min="6659" max="6659" width="46.109375" style="576" customWidth="1"/>
    <col min="6660" max="6660" width="11" style="576" customWidth="1"/>
    <col min="6661" max="6661" width="12.5546875" style="576" customWidth="1"/>
    <col min="6662" max="6662" width="10.88671875" style="576" customWidth="1"/>
    <col min="6663" max="6663" width="16.109375" style="576" customWidth="1"/>
    <col min="6664" max="6664" width="0" style="576" hidden="1" customWidth="1"/>
    <col min="6665" max="6665" width="15.44140625" style="576" customWidth="1"/>
    <col min="6666" max="6666" width="12.88671875" style="576" bestFit="1" customWidth="1"/>
    <col min="6667" max="6667" width="8.88671875" style="576"/>
    <col min="6668" max="6668" width="12.88671875" style="576" bestFit="1" customWidth="1"/>
    <col min="6669" max="6912" width="8.88671875" style="576"/>
    <col min="6913" max="6913" width="3.6640625" style="576" bestFit="1" customWidth="1"/>
    <col min="6914" max="6914" width="8.33203125" style="576" customWidth="1"/>
    <col min="6915" max="6915" width="46.109375" style="576" customWidth="1"/>
    <col min="6916" max="6916" width="11" style="576" customWidth="1"/>
    <col min="6917" max="6917" width="12.5546875" style="576" customWidth="1"/>
    <col min="6918" max="6918" width="10.88671875" style="576" customWidth="1"/>
    <col min="6919" max="6919" width="16.109375" style="576" customWidth="1"/>
    <col min="6920" max="6920" width="0" style="576" hidden="1" customWidth="1"/>
    <col min="6921" max="6921" width="15.44140625" style="576" customWidth="1"/>
    <col min="6922" max="6922" width="12.88671875" style="576" bestFit="1" customWidth="1"/>
    <col min="6923" max="6923" width="8.88671875" style="576"/>
    <col min="6924" max="6924" width="12.88671875" style="576" bestFit="1" customWidth="1"/>
    <col min="6925" max="7168" width="8.88671875" style="576"/>
    <col min="7169" max="7169" width="3.6640625" style="576" bestFit="1" customWidth="1"/>
    <col min="7170" max="7170" width="8.33203125" style="576" customWidth="1"/>
    <col min="7171" max="7171" width="46.109375" style="576" customWidth="1"/>
    <col min="7172" max="7172" width="11" style="576" customWidth="1"/>
    <col min="7173" max="7173" width="12.5546875" style="576" customWidth="1"/>
    <col min="7174" max="7174" width="10.88671875" style="576" customWidth="1"/>
    <col min="7175" max="7175" width="16.109375" style="576" customWidth="1"/>
    <col min="7176" max="7176" width="0" style="576" hidden="1" customWidth="1"/>
    <col min="7177" max="7177" width="15.44140625" style="576" customWidth="1"/>
    <col min="7178" max="7178" width="12.88671875" style="576" bestFit="1" customWidth="1"/>
    <col min="7179" max="7179" width="8.88671875" style="576"/>
    <col min="7180" max="7180" width="12.88671875" style="576" bestFit="1" customWidth="1"/>
    <col min="7181" max="7424" width="8.88671875" style="576"/>
    <col min="7425" max="7425" width="3.6640625" style="576" bestFit="1" customWidth="1"/>
    <col min="7426" max="7426" width="8.33203125" style="576" customWidth="1"/>
    <col min="7427" max="7427" width="46.109375" style="576" customWidth="1"/>
    <col min="7428" max="7428" width="11" style="576" customWidth="1"/>
    <col min="7429" max="7429" width="12.5546875" style="576" customWidth="1"/>
    <col min="7430" max="7430" width="10.88671875" style="576" customWidth="1"/>
    <col min="7431" max="7431" width="16.109375" style="576" customWidth="1"/>
    <col min="7432" max="7432" width="0" style="576" hidden="1" customWidth="1"/>
    <col min="7433" max="7433" width="15.44140625" style="576" customWidth="1"/>
    <col min="7434" max="7434" width="12.88671875" style="576" bestFit="1" customWidth="1"/>
    <col min="7435" max="7435" width="8.88671875" style="576"/>
    <col min="7436" max="7436" width="12.88671875" style="576" bestFit="1" customWidth="1"/>
    <col min="7437" max="7680" width="8.88671875" style="576"/>
    <col min="7681" max="7681" width="3.6640625" style="576" bestFit="1" customWidth="1"/>
    <col min="7682" max="7682" width="8.33203125" style="576" customWidth="1"/>
    <col min="7683" max="7683" width="46.109375" style="576" customWidth="1"/>
    <col min="7684" max="7684" width="11" style="576" customWidth="1"/>
    <col min="7685" max="7685" width="12.5546875" style="576" customWidth="1"/>
    <col min="7686" max="7686" width="10.88671875" style="576" customWidth="1"/>
    <col min="7687" max="7687" width="16.109375" style="576" customWidth="1"/>
    <col min="7688" max="7688" width="0" style="576" hidden="1" customWidth="1"/>
    <col min="7689" max="7689" width="15.44140625" style="576" customWidth="1"/>
    <col min="7690" max="7690" width="12.88671875" style="576" bestFit="1" customWidth="1"/>
    <col min="7691" max="7691" width="8.88671875" style="576"/>
    <col min="7692" max="7692" width="12.88671875" style="576" bestFit="1" customWidth="1"/>
    <col min="7693" max="7936" width="8.88671875" style="576"/>
    <col min="7937" max="7937" width="3.6640625" style="576" bestFit="1" customWidth="1"/>
    <col min="7938" max="7938" width="8.33203125" style="576" customWidth="1"/>
    <col min="7939" max="7939" width="46.109375" style="576" customWidth="1"/>
    <col min="7940" max="7940" width="11" style="576" customWidth="1"/>
    <col min="7941" max="7941" width="12.5546875" style="576" customWidth="1"/>
    <col min="7942" max="7942" width="10.88671875" style="576" customWidth="1"/>
    <col min="7943" max="7943" width="16.109375" style="576" customWidth="1"/>
    <col min="7944" max="7944" width="0" style="576" hidden="1" customWidth="1"/>
    <col min="7945" max="7945" width="15.44140625" style="576" customWidth="1"/>
    <col min="7946" max="7946" width="12.88671875" style="576" bestFit="1" customWidth="1"/>
    <col min="7947" max="7947" width="8.88671875" style="576"/>
    <col min="7948" max="7948" width="12.88671875" style="576" bestFit="1" customWidth="1"/>
    <col min="7949" max="8192" width="8.88671875" style="576"/>
    <col min="8193" max="8193" width="3.6640625" style="576" bestFit="1" customWidth="1"/>
    <col min="8194" max="8194" width="8.33203125" style="576" customWidth="1"/>
    <col min="8195" max="8195" width="46.109375" style="576" customWidth="1"/>
    <col min="8196" max="8196" width="11" style="576" customWidth="1"/>
    <col min="8197" max="8197" width="12.5546875" style="576" customWidth="1"/>
    <col min="8198" max="8198" width="10.88671875" style="576" customWidth="1"/>
    <col min="8199" max="8199" width="16.109375" style="576" customWidth="1"/>
    <col min="8200" max="8200" width="0" style="576" hidden="1" customWidth="1"/>
    <col min="8201" max="8201" width="15.44140625" style="576" customWidth="1"/>
    <col min="8202" max="8202" width="12.88671875" style="576" bestFit="1" customWidth="1"/>
    <col min="8203" max="8203" width="8.88671875" style="576"/>
    <col min="8204" max="8204" width="12.88671875" style="576" bestFit="1" customWidth="1"/>
    <col min="8205" max="8448" width="8.88671875" style="576"/>
    <col min="8449" max="8449" width="3.6640625" style="576" bestFit="1" customWidth="1"/>
    <col min="8450" max="8450" width="8.33203125" style="576" customWidth="1"/>
    <col min="8451" max="8451" width="46.109375" style="576" customWidth="1"/>
    <col min="8452" max="8452" width="11" style="576" customWidth="1"/>
    <col min="8453" max="8453" width="12.5546875" style="576" customWidth="1"/>
    <col min="8454" max="8454" width="10.88671875" style="576" customWidth="1"/>
    <col min="8455" max="8455" width="16.109375" style="576" customWidth="1"/>
    <col min="8456" max="8456" width="0" style="576" hidden="1" customWidth="1"/>
    <col min="8457" max="8457" width="15.44140625" style="576" customWidth="1"/>
    <col min="8458" max="8458" width="12.88671875" style="576" bestFit="1" customWidth="1"/>
    <col min="8459" max="8459" width="8.88671875" style="576"/>
    <col min="8460" max="8460" width="12.88671875" style="576" bestFit="1" customWidth="1"/>
    <col min="8461" max="8704" width="8.88671875" style="576"/>
    <col min="8705" max="8705" width="3.6640625" style="576" bestFit="1" customWidth="1"/>
    <col min="8706" max="8706" width="8.33203125" style="576" customWidth="1"/>
    <col min="8707" max="8707" width="46.109375" style="576" customWidth="1"/>
    <col min="8708" max="8708" width="11" style="576" customWidth="1"/>
    <col min="8709" max="8709" width="12.5546875" style="576" customWidth="1"/>
    <col min="8710" max="8710" width="10.88671875" style="576" customWidth="1"/>
    <col min="8711" max="8711" width="16.109375" style="576" customWidth="1"/>
    <col min="8712" max="8712" width="0" style="576" hidden="1" customWidth="1"/>
    <col min="8713" max="8713" width="15.44140625" style="576" customWidth="1"/>
    <col min="8714" max="8714" width="12.88671875" style="576" bestFit="1" customWidth="1"/>
    <col min="8715" max="8715" width="8.88671875" style="576"/>
    <col min="8716" max="8716" width="12.88671875" style="576" bestFit="1" customWidth="1"/>
    <col min="8717" max="8960" width="8.88671875" style="576"/>
    <col min="8961" max="8961" width="3.6640625" style="576" bestFit="1" customWidth="1"/>
    <col min="8962" max="8962" width="8.33203125" style="576" customWidth="1"/>
    <col min="8963" max="8963" width="46.109375" style="576" customWidth="1"/>
    <col min="8964" max="8964" width="11" style="576" customWidth="1"/>
    <col min="8965" max="8965" width="12.5546875" style="576" customWidth="1"/>
    <col min="8966" max="8966" width="10.88671875" style="576" customWidth="1"/>
    <col min="8967" max="8967" width="16.109375" style="576" customWidth="1"/>
    <col min="8968" max="8968" width="0" style="576" hidden="1" customWidth="1"/>
    <col min="8969" max="8969" width="15.44140625" style="576" customWidth="1"/>
    <col min="8970" max="8970" width="12.88671875" style="576" bestFit="1" customWidth="1"/>
    <col min="8971" max="8971" width="8.88671875" style="576"/>
    <col min="8972" max="8972" width="12.88671875" style="576" bestFit="1" customWidth="1"/>
    <col min="8973" max="9216" width="8.88671875" style="576"/>
    <col min="9217" max="9217" width="3.6640625" style="576" bestFit="1" customWidth="1"/>
    <col min="9218" max="9218" width="8.33203125" style="576" customWidth="1"/>
    <col min="9219" max="9219" width="46.109375" style="576" customWidth="1"/>
    <col min="9220" max="9220" width="11" style="576" customWidth="1"/>
    <col min="9221" max="9221" width="12.5546875" style="576" customWidth="1"/>
    <col min="9222" max="9222" width="10.88671875" style="576" customWidth="1"/>
    <col min="9223" max="9223" width="16.109375" style="576" customWidth="1"/>
    <col min="9224" max="9224" width="0" style="576" hidden="1" customWidth="1"/>
    <col min="9225" max="9225" width="15.44140625" style="576" customWidth="1"/>
    <col min="9226" max="9226" width="12.88671875" style="576" bestFit="1" customWidth="1"/>
    <col min="9227" max="9227" width="8.88671875" style="576"/>
    <col min="9228" max="9228" width="12.88671875" style="576" bestFit="1" customWidth="1"/>
    <col min="9229" max="9472" width="8.88671875" style="576"/>
    <col min="9473" max="9473" width="3.6640625" style="576" bestFit="1" customWidth="1"/>
    <col min="9474" max="9474" width="8.33203125" style="576" customWidth="1"/>
    <col min="9475" max="9475" width="46.109375" style="576" customWidth="1"/>
    <col min="9476" max="9476" width="11" style="576" customWidth="1"/>
    <col min="9477" max="9477" width="12.5546875" style="576" customWidth="1"/>
    <col min="9478" max="9478" width="10.88671875" style="576" customWidth="1"/>
    <col min="9479" max="9479" width="16.109375" style="576" customWidth="1"/>
    <col min="9480" max="9480" width="0" style="576" hidden="1" customWidth="1"/>
    <col min="9481" max="9481" width="15.44140625" style="576" customWidth="1"/>
    <col min="9482" max="9482" width="12.88671875" style="576" bestFit="1" customWidth="1"/>
    <col min="9483" max="9483" width="8.88671875" style="576"/>
    <col min="9484" max="9484" width="12.88671875" style="576" bestFit="1" customWidth="1"/>
    <col min="9485" max="9728" width="8.88671875" style="576"/>
    <col min="9729" max="9729" width="3.6640625" style="576" bestFit="1" customWidth="1"/>
    <col min="9730" max="9730" width="8.33203125" style="576" customWidth="1"/>
    <col min="9731" max="9731" width="46.109375" style="576" customWidth="1"/>
    <col min="9732" max="9732" width="11" style="576" customWidth="1"/>
    <col min="9733" max="9733" width="12.5546875" style="576" customWidth="1"/>
    <col min="9734" max="9734" width="10.88671875" style="576" customWidth="1"/>
    <col min="9735" max="9735" width="16.109375" style="576" customWidth="1"/>
    <col min="9736" max="9736" width="0" style="576" hidden="1" customWidth="1"/>
    <col min="9737" max="9737" width="15.44140625" style="576" customWidth="1"/>
    <col min="9738" max="9738" width="12.88671875" style="576" bestFit="1" customWidth="1"/>
    <col min="9739" max="9739" width="8.88671875" style="576"/>
    <col min="9740" max="9740" width="12.88671875" style="576" bestFit="1" customWidth="1"/>
    <col min="9741" max="9984" width="8.88671875" style="576"/>
    <col min="9985" max="9985" width="3.6640625" style="576" bestFit="1" customWidth="1"/>
    <col min="9986" max="9986" width="8.33203125" style="576" customWidth="1"/>
    <col min="9987" max="9987" width="46.109375" style="576" customWidth="1"/>
    <col min="9988" max="9988" width="11" style="576" customWidth="1"/>
    <col min="9989" max="9989" width="12.5546875" style="576" customWidth="1"/>
    <col min="9990" max="9990" width="10.88671875" style="576" customWidth="1"/>
    <col min="9991" max="9991" width="16.109375" style="576" customWidth="1"/>
    <col min="9992" max="9992" width="0" style="576" hidden="1" customWidth="1"/>
    <col min="9993" max="9993" width="15.44140625" style="576" customWidth="1"/>
    <col min="9994" max="9994" width="12.88671875" style="576" bestFit="1" customWidth="1"/>
    <col min="9995" max="9995" width="8.88671875" style="576"/>
    <col min="9996" max="9996" width="12.88671875" style="576" bestFit="1" customWidth="1"/>
    <col min="9997" max="10240" width="8.88671875" style="576"/>
    <col min="10241" max="10241" width="3.6640625" style="576" bestFit="1" customWidth="1"/>
    <col min="10242" max="10242" width="8.33203125" style="576" customWidth="1"/>
    <col min="10243" max="10243" width="46.109375" style="576" customWidth="1"/>
    <col min="10244" max="10244" width="11" style="576" customWidth="1"/>
    <col min="10245" max="10245" width="12.5546875" style="576" customWidth="1"/>
    <col min="10246" max="10246" width="10.88671875" style="576" customWidth="1"/>
    <col min="10247" max="10247" width="16.109375" style="576" customWidth="1"/>
    <col min="10248" max="10248" width="0" style="576" hidden="1" customWidth="1"/>
    <col min="10249" max="10249" width="15.44140625" style="576" customWidth="1"/>
    <col min="10250" max="10250" width="12.88671875" style="576" bestFit="1" customWidth="1"/>
    <col min="10251" max="10251" width="8.88671875" style="576"/>
    <col min="10252" max="10252" width="12.88671875" style="576" bestFit="1" customWidth="1"/>
    <col min="10253" max="10496" width="8.88671875" style="576"/>
    <col min="10497" max="10497" width="3.6640625" style="576" bestFit="1" customWidth="1"/>
    <col min="10498" max="10498" width="8.33203125" style="576" customWidth="1"/>
    <col min="10499" max="10499" width="46.109375" style="576" customWidth="1"/>
    <col min="10500" max="10500" width="11" style="576" customWidth="1"/>
    <col min="10501" max="10501" width="12.5546875" style="576" customWidth="1"/>
    <col min="10502" max="10502" width="10.88671875" style="576" customWidth="1"/>
    <col min="10503" max="10503" width="16.109375" style="576" customWidth="1"/>
    <col min="10504" max="10504" width="0" style="576" hidden="1" customWidth="1"/>
    <col min="10505" max="10505" width="15.44140625" style="576" customWidth="1"/>
    <col min="10506" max="10506" width="12.88671875" style="576" bestFit="1" customWidth="1"/>
    <col min="10507" max="10507" width="8.88671875" style="576"/>
    <col min="10508" max="10508" width="12.88671875" style="576" bestFit="1" customWidth="1"/>
    <col min="10509" max="10752" width="8.88671875" style="576"/>
    <col min="10753" max="10753" width="3.6640625" style="576" bestFit="1" customWidth="1"/>
    <col min="10754" max="10754" width="8.33203125" style="576" customWidth="1"/>
    <col min="10755" max="10755" width="46.109375" style="576" customWidth="1"/>
    <col min="10756" max="10756" width="11" style="576" customWidth="1"/>
    <col min="10757" max="10757" width="12.5546875" style="576" customWidth="1"/>
    <col min="10758" max="10758" width="10.88671875" style="576" customWidth="1"/>
    <col min="10759" max="10759" width="16.109375" style="576" customWidth="1"/>
    <col min="10760" max="10760" width="0" style="576" hidden="1" customWidth="1"/>
    <col min="10761" max="10761" width="15.44140625" style="576" customWidth="1"/>
    <col min="10762" max="10762" width="12.88671875" style="576" bestFit="1" customWidth="1"/>
    <col min="10763" max="10763" width="8.88671875" style="576"/>
    <col min="10764" max="10764" width="12.88671875" style="576" bestFit="1" customWidth="1"/>
    <col min="10765" max="11008" width="8.88671875" style="576"/>
    <col min="11009" max="11009" width="3.6640625" style="576" bestFit="1" customWidth="1"/>
    <col min="11010" max="11010" width="8.33203125" style="576" customWidth="1"/>
    <col min="11011" max="11011" width="46.109375" style="576" customWidth="1"/>
    <col min="11012" max="11012" width="11" style="576" customWidth="1"/>
    <col min="11013" max="11013" width="12.5546875" style="576" customWidth="1"/>
    <col min="11014" max="11014" width="10.88671875" style="576" customWidth="1"/>
    <col min="11015" max="11015" width="16.109375" style="576" customWidth="1"/>
    <col min="11016" max="11016" width="0" style="576" hidden="1" customWidth="1"/>
    <col min="11017" max="11017" width="15.44140625" style="576" customWidth="1"/>
    <col min="11018" max="11018" width="12.88671875" style="576" bestFit="1" customWidth="1"/>
    <col min="11019" max="11019" width="8.88671875" style="576"/>
    <col min="11020" max="11020" width="12.88671875" style="576" bestFit="1" customWidth="1"/>
    <col min="11021" max="11264" width="8.88671875" style="576"/>
    <col min="11265" max="11265" width="3.6640625" style="576" bestFit="1" customWidth="1"/>
    <col min="11266" max="11266" width="8.33203125" style="576" customWidth="1"/>
    <col min="11267" max="11267" width="46.109375" style="576" customWidth="1"/>
    <col min="11268" max="11268" width="11" style="576" customWidth="1"/>
    <col min="11269" max="11269" width="12.5546875" style="576" customWidth="1"/>
    <col min="11270" max="11270" width="10.88671875" style="576" customWidth="1"/>
    <col min="11271" max="11271" width="16.109375" style="576" customWidth="1"/>
    <col min="11272" max="11272" width="0" style="576" hidden="1" customWidth="1"/>
    <col min="11273" max="11273" width="15.44140625" style="576" customWidth="1"/>
    <col min="11274" max="11274" width="12.88671875" style="576" bestFit="1" customWidth="1"/>
    <col min="11275" max="11275" width="8.88671875" style="576"/>
    <col min="11276" max="11276" width="12.88671875" style="576" bestFit="1" customWidth="1"/>
    <col min="11277" max="11520" width="8.88671875" style="576"/>
    <col min="11521" max="11521" width="3.6640625" style="576" bestFit="1" customWidth="1"/>
    <col min="11522" max="11522" width="8.33203125" style="576" customWidth="1"/>
    <col min="11523" max="11523" width="46.109375" style="576" customWidth="1"/>
    <col min="11524" max="11524" width="11" style="576" customWidth="1"/>
    <col min="11525" max="11525" width="12.5546875" style="576" customWidth="1"/>
    <col min="11526" max="11526" width="10.88671875" style="576" customWidth="1"/>
    <col min="11527" max="11527" width="16.109375" style="576" customWidth="1"/>
    <col min="11528" max="11528" width="0" style="576" hidden="1" customWidth="1"/>
    <col min="11529" max="11529" width="15.44140625" style="576" customWidth="1"/>
    <col min="11530" max="11530" width="12.88671875" style="576" bestFit="1" customWidth="1"/>
    <col min="11531" max="11531" width="8.88671875" style="576"/>
    <col min="11532" max="11532" width="12.88671875" style="576" bestFit="1" customWidth="1"/>
    <col min="11533" max="11776" width="8.88671875" style="576"/>
    <col min="11777" max="11777" width="3.6640625" style="576" bestFit="1" customWidth="1"/>
    <col min="11778" max="11778" width="8.33203125" style="576" customWidth="1"/>
    <col min="11779" max="11779" width="46.109375" style="576" customWidth="1"/>
    <col min="11780" max="11780" width="11" style="576" customWidth="1"/>
    <col min="11781" max="11781" width="12.5546875" style="576" customWidth="1"/>
    <col min="11782" max="11782" width="10.88671875" style="576" customWidth="1"/>
    <col min="11783" max="11783" width="16.109375" style="576" customWidth="1"/>
    <col min="11784" max="11784" width="0" style="576" hidden="1" customWidth="1"/>
    <col min="11785" max="11785" width="15.44140625" style="576" customWidth="1"/>
    <col min="11786" max="11786" width="12.88671875" style="576" bestFit="1" customWidth="1"/>
    <col min="11787" max="11787" width="8.88671875" style="576"/>
    <col min="11788" max="11788" width="12.88671875" style="576" bestFit="1" customWidth="1"/>
    <col min="11789" max="12032" width="8.88671875" style="576"/>
    <col min="12033" max="12033" width="3.6640625" style="576" bestFit="1" customWidth="1"/>
    <col min="12034" max="12034" width="8.33203125" style="576" customWidth="1"/>
    <col min="12035" max="12035" width="46.109375" style="576" customWidth="1"/>
    <col min="12036" max="12036" width="11" style="576" customWidth="1"/>
    <col min="12037" max="12037" width="12.5546875" style="576" customWidth="1"/>
    <col min="12038" max="12038" width="10.88671875" style="576" customWidth="1"/>
    <col min="12039" max="12039" width="16.109375" style="576" customWidth="1"/>
    <col min="12040" max="12040" width="0" style="576" hidden="1" customWidth="1"/>
    <col min="12041" max="12041" width="15.44140625" style="576" customWidth="1"/>
    <col min="12042" max="12042" width="12.88671875" style="576" bestFit="1" customWidth="1"/>
    <col min="12043" max="12043" width="8.88671875" style="576"/>
    <col min="12044" max="12044" width="12.88671875" style="576" bestFit="1" customWidth="1"/>
    <col min="12045" max="12288" width="8.88671875" style="576"/>
    <col min="12289" max="12289" width="3.6640625" style="576" bestFit="1" customWidth="1"/>
    <col min="12290" max="12290" width="8.33203125" style="576" customWidth="1"/>
    <col min="12291" max="12291" width="46.109375" style="576" customWidth="1"/>
    <col min="12292" max="12292" width="11" style="576" customWidth="1"/>
    <col min="12293" max="12293" width="12.5546875" style="576" customWidth="1"/>
    <col min="12294" max="12294" width="10.88671875" style="576" customWidth="1"/>
    <col min="12295" max="12295" width="16.109375" style="576" customWidth="1"/>
    <col min="12296" max="12296" width="0" style="576" hidden="1" customWidth="1"/>
    <col min="12297" max="12297" width="15.44140625" style="576" customWidth="1"/>
    <col min="12298" max="12298" width="12.88671875" style="576" bestFit="1" customWidth="1"/>
    <col min="12299" max="12299" width="8.88671875" style="576"/>
    <col min="12300" max="12300" width="12.88671875" style="576" bestFit="1" customWidth="1"/>
    <col min="12301" max="12544" width="8.88671875" style="576"/>
    <col min="12545" max="12545" width="3.6640625" style="576" bestFit="1" customWidth="1"/>
    <col min="12546" max="12546" width="8.33203125" style="576" customWidth="1"/>
    <col min="12547" max="12547" width="46.109375" style="576" customWidth="1"/>
    <col min="12548" max="12548" width="11" style="576" customWidth="1"/>
    <col min="12549" max="12549" width="12.5546875" style="576" customWidth="1"/>
    <col min="12550" max="12550" width="10.88671875" style="576" customWidth="1"/>
    <col min="12551" max="12551" width="16.109375" style="576" customWidth="1"/>
    <col min="12552" max="12552" width="0" style="576" hidden="1" customWidth="1"/>
    <col min="12553" max="12553" width="15.44140625" style="576" customWidth="1"/>
    <col min="12554" max="12554" width="12.88671875" style="576" bestFit="1" customWidth="1"/>
    <col min="12555" max="12555" width="8.88671875" style="576"/>
    <col min="12556" max="12556" width="12.88671875" style="576" bestFit="1" customWidth="1"/>
    <col min="12557" max="12800" width="8.88671875" style="576"/>
    <col min="12801" max="12801" width="3.6640625" style="576" bestFit="1" customWidth="1"/>
    <col min="12802" max="12802" width="8.33203125" style="576" customWidth="1"/>
    <col min="12803" max="12803" width="46.109375" style="576" customWidth="1"/>
    <col min="12804" max="12804" width="11" style="576" customWidth="1"/>
    <col min="12805" max="12805" width="12.5546875" style="576" customWidth="1"/>
    <col min="12806" max="12806" width="10.88671875" style="576" customWidth="1"/>
    <col min="12807" max="12807" width="16.109375" style="576" customWidth="1"/>
    <col min="12808" max="12808" width="0" style="576" hidden="1" customWidth="1"/>
    <col min="12809" max="12809" width="15.44140625" style="576" customWidth="1"/>
    <col min="12810" max="12810" width="12.88671875" style="576" bestFit="1" customWidth="1"/>
    <col min="12811" max="12811" width="8.88671875" style="576"/>
    <col min="12812" max="12812" width="12.88671875" style="576" bestFit="1" customWidth="1"/>
    <col min="12813" max="13056" width="8.88671875" style="576"/>
    <col min="13057" max="13057" width="3.6640625" style="576" bestFit="1" customWidth="1"/>
    <col min="13058" max="13058" width="8.33203125" style="576" customWidth="1"/>
    <col min="13059" max="13059" width="46.109375" style="576" customWidth="1"/>
    <col min="13060" max="13060" width="11" style="576" customWidth="1"/>
    <col min="13061" max="13061" width="12.5546875" style="576" customWidth="1"/>
    <col min="13062" max="13062" width="10.88671875" style="576" customWidth="1"/>
    <col min="13063" max="13063" width="16.109375" style="576" customWidth="1"/>
    <col min="13064" max="13064" width="0" style="576" hidden="1" customWidth="1"/>
    <col min="13065" max="13065" width="15.44140625" style="576" customWidth="1"/>
    <col min="13066" max="13066" width="12.88671875" style="576" bestFit="1" customWidth="1"/>
    <col min="13067" max="13067" width="8.88671875" style="576"/>
    <col min="13068" max="13068" width="12.88671875" style="576" bestFit="1" customWidth="1"/>
    <col min="13069" max="13312" width="8.88671875" style="576"/>
    <col min="13313" max="13313" width="3.6640625" style="576" bestFit="1" customWidth="1"/>
    <col min="13314" max="13314" width="8.33203125" style="576" customWidth="1"/>
    <col min="13315" max="13315" width="46.109375" style="576" customWidth="1"/>
    <col min="13316" max="13316" width="11" style="576" customWidth="1"/>
    <col min="13317" max="13317" width="12.5546875" style="576" customWidth="1"/>
    <col min="13318" max="13318" width="10.88671875" style="576" customWidth="1"/>
    <col min="13319" max="13319" width="16.109375" style="576" customWidth="1"/>
    <col min="13320" max="13320" width="0" style="576" hidden="1" customWidth="1"/>
    <col min="13321" max="13321" width="15.44140625" style="576" customWidth="1"/>
    <col min="13322" max="13322" width="12.88671875" style="576" bestFit="1" customWidth="1"/>
    <col min="13323" max="13323" width="8.88671875" style="576"/>
    <col min="13324" max="13324" width="12.88671875" style="576" bestFit="1" customWidth="1"/>
    <col min="13325" max="13568" width="8.88671875" style="576"/>
    <col min="13569" max="13569" width="3.6640625" style="576" bestFit="1" customWidth="1"/>
    <col min="13570" max="13570" width="8.33203125" style="576" customWidth="1"/>
    <col min="13571" max="13571" width="46.109375" style="576" customWidth="1"/>
    <col min="13572" max="13572" width="11" style="576" customWidth="1"/>
    <col min="13573" max="13573" width="12.5546875" style="576" customWidth="1"/>
    <col min="13574" max="13574" width="10.88671875" style="576" customWidth="1"/>
    <col min="13575" max="13575" width="16.109375" style="576" customWidth="1"/>
    <col min="13576" max="13576" width="0" style="576" hidden="1" customWidth="1"/>
    <col min="13577" max="13577" width="15.44140625" style="576" customWidth="1"/>
    <col min="13578" max="13578" width="12.88671875" style="576" bestFit="1" customWidth="1"/>
    <col min="13579" max="13579" width="8.88671875" style="576"/>
    <col min="13580" max="13580" width="12.88671875" style="576" bestFit="1" customWidth="1"/>
    <col min="13581" max="13824" width="8.88671875" style="576"/>
    <col min="13825" max="13825" width="3.6640625" style="576" bestFit="1" customWidth="1"/>
    <col min="13826" max="13826" width="8.33203125" style="576" customWidth="1"/>
    <col min="13827" max="13827" width="46.109375" style="576" customWidth="1"/>
    <col min="13828" max="13828" width="11" style="576" customWidth="1"/>
    <col min="13829" max="13829" width="12.5546875" style="576" customWidth="1"/>
    <col min="13830" max="13830" width="10.88671875" style="576" customWidth="1"/>
    <col min="13831" max="13831" width="16.109375" style="576" customWidth="1"/>
    <col min="13832" max="13832" width="0" style="576" hidden="1" customWidth="1"/>
    <col min="13833" max="13833" width="15.44140625" style="576" customWidth="1"/>
    <col min="13834" max="13834" width="12.88671875" style="576" bestFit="1" customWidth="1"/>
    <col min="13835" max="13835" width="8.88671875" style="576"/>
    <col min="13836" max="13836" width="12.88671875" style="576" bestFit="1" customWidth="1"/>
    <col min="13837" max="14080" width="8.88671875" style="576"/>
    <col min="14081" max="14081" width="3.6640625" style="576" bestFit="1" customWidth="1"/>
    <col min="14082" max="14082" width="8.33203125" style="576" customWidth="1"/>
    <col min="14083" max="14083" width="46.109375" style="576" customWidth="1"/>
    <col min="14084" max="14084" width="11" style="576" customWidth="1"/>
    <col min="14085" max="14085" width="12.5546875" style="576" customWidth="1"/>
    <col min="14086" max="14086" width="10.88671875" style="576" customWidth="1"/>
    <col min="14087" max="14087" width="16.109375" style="576" customWidth="1"/>
    <col min="14088" max="14088" width="0" style="576" hidden="1" customWidth="1"/>
    <col min="14089" max="14089" width="15.44140625" style="576" customWidth="1"/>
    <col min="14090" max="14090" width="12.88671875" style="576" bestFit="1" customWidth="1"/>
    <col min="14091" max="14091" width="8.88671875" style="576"/>
    <col min="14092" max="14092" width="12.88671875" style="576" bestFit="1" customWidth="1"/>
    <col min="14093" max="14336" width="8.88671875" style="576"/>
    <col min="14337" max="14337" width="3.6640625" style="576" bestFit="1" customWidth="1"/>
    <col min="14338" max="14338" width="8.33203125" style="576" customWidth="1"/>
    <col min="14339" max="14339" width="46.109375" style="576" customWidth="1"/>
    <col min="14340" max="14340" width="11" style="576" customWidth="1"/>
    <col min="14341" max="14341" width="12.5546875" style="576" customWidth="1"/>
    <col min="14342" max="14342" width="10.88671875" style="576" customWidth="1"/>
    <col min="14343" max="14343" width="16.109375" style="576" customWidth="1"/>
    <col min="14344" max="14344" width="0" style="576" hidden="1" customWidth="1"/>
    <col min="14345" max="14345" width="15.44140625" style="576" customWidth="1"/>
    <col min="14346" max="14346" width="12.88671875" style="576" bestFit="1" customWidth="1"/>
    <col min="14347" max="14347" width="8.88671875" style="576"/>
    <col min="14348" max="14348" width="12.88671875" style="576" bestFit="1" customWidth="1"/>
    <col min="14349" max="14592" width="8.88671875" style="576"/>
    <col min="14593" max="14593" width="3.6640625" style="576" bestFit="1" customWidth="1"/>
    <col min="14594" max="14594" width="8.33203125" style="576" customWidth="1"/>
    <col min="14595" max="14595" width="46.109375" style="576" customWidth="1"/>
    <col min="14596" max="14596" width="11" style="576" customWidth="1"/>
    <col min="14597" max="14597" width="12.5546875" style="576" customWidth="1"/>
    <col min="14598" max="14598" width="10.88671875" style="576" customWidth="1"/>
    <col min="14599" max="14599" width="16.109375" style="576" customWidth="1"/>
    <col min="14600" max="14600" width="0" style="576" hidden="1" customWidth="1"/>
    <col min="14601" max="14601" width="15.44140625" style="576" customWidth="1"/>
    <col min="14602" max="14602" width="12.88671875" style="576" bestFit="1" customWidth="1"/>
    <col min="14603" max="14603" width="8.88671875" style="576"/>
    <col min="14604" max="14604" width="12.88671875" style="576" bestFit="1" customWidth="1"/>
    <col min="14605" max="14848" width="8.88671875" style="576"/>
    <col min="14849" max="14849" width="3.6640625" style="576" bestFit="1" customWidth="1"/>
    <col min="14850" max="14850" width="8.33203125" style="576" customWidth="1"/>
    <col min="14851" max="14851" width="46.109375" style="576" customWidth="1"/>
    <col min="14852" max="14852" width="11" style="576" customWidth="1"/>
    <col min="14853" max="14853" width="12.5546875" style="576" customWidth="1"/>
    <col min="14854" max="14854" width="10.88671875" style="576" customWidth="1"/>
    <col min="14855" max="14855" width="16.109375" style="576" customWidth="1"/>
    <col min="14856" max="14856" width="0" style="576" hidden="1" customWidth="1"/>
    <col min="14857" max="14857" width="15.44140625" style="576" customWidth="1"/>
    <col min="14858" max="14858" width="12.88671875" style="576" bestFit="1" customWidth="1"/>
    <col min="14859" max="14859" width="8.88671875" style="576"/>
    <col min="14860" max="14860" width="12.88671875" style="576" bestFit="1" customWidth="1"/>
    <col min="14861" max="15104" width="8.88671875" style="576"/>
    <col min="15105" max="15105" width="3.6640625" style="576" bestFit="1" customWidth="1"/>
    <col min="15106" max="15106" width="8.33203125" style="576" customWidth="1"/>
    <col min="15107" max="15107" width="46.109375" style="576" customWidth="1"/>
    <col min="15108" max="15108" width="11" style="576" customWidth="1"/>
    <col min="15109" max="15109" width="12.5546875" style="576" customWidth="1"/>
    <col min="15110" max="15110" width="10.88671875" style="576" customWidth="1"/>
    <col min="15111" max="15111" width="16.109375" style="576" customWidth="1"/>
    <col min="15112" max="15112" width="0" style="576" hidden="1" customWidth="1"/>
    <col min="15113" max="15113" width="15.44140625" style="576" customWidth="1"/>
    <col min="15114" max="15114" width="12.88671875" style="576" bestFit="1" customWidth="1"/>
    <col min="15115" max="15115" width="8.88671875" style="576"/>
    <col min="15116" max="15116" width="12.88671875" style="576" bestFit="1" customWidth="1"/>
    <col min="15117" max="15360" width="8.88671875" style="576"/>
    <col min="15361" max="15361" width="3.6640625" style="576" bestFit="1" customWidth="1"/>
    <col min="15362" max="15362" width="8.33203125" style="576" customWidth="1"/>
    <col min="15363" max="15363" width="46.109375" style="576" customWidth="1"/>
    <col min="15364" max="15364" width="11" style="576" customWidth="1"/>
    <col min="15365" max="15365" width="12.5546875" style="576" customWidth="1"/>
    <col min="15366" max="15366" width="10.88671875" style="576" customWidth="1"/>
    <col min="15367" max="15367" width="16.109375" style="576" customWidth="1"/>
    <col min="15368" max="15368" width="0" style="576" hidden="1" customWidth="1"/>
    <col min="15369" max="15369" width="15.44140625" style="576" customWidth="1"/>
    <col min="15370" max="15370" width="12.88671875" style="576" bestFit="1" customWidth="1"/>
    <col min="15371" max="15371" width="8.88671875" style="576"/>
    <col min="15372" max="15372" width="12.88671875" style="576" bestFit="1" customWidth="1"/>
    <col min="15373" max="15616" width="8.88671875" style="576"/>
    <col min="15617" max="15617" width="3.6640625" style="576" bestFit="1" customWidth="1"/>
    <col min="15618" max="15618" width="8.33203125" style="576" customWidth="1"/>
    <col min="15619" max="15619" width="46.109375" style="576" customWidth="1"/>
    <col min="15620" max="15620" width="11" style="576" customWidth="1"/>
    <col min="15621" max="15621" width="12.5546875" style="576" customWidth="1"/>
    <col min="15622" max="15622" width="10.88671875" style="576" customWidth="1"/>
    <col min="15623" max="15623" width="16.109375" style="576" customWidth="1"/>
    <col min="15624" max="15624" width="0" style="576" hidden="1" customWidth="1"/>
    <col min="15625" max="15625" width="15.44140625" style="576" customWidth="1"/>
    <col min="15626" max="15626" width="12.88671875" style="576" bestFit="1" customWidth="1"/>
    <col min="15627" max="15627" width="8.88671875" style="576"/>
    <col min="15628" max="15628" width="12.88671875" style="576" bestFit="1" customWidth="1"/>
    <col min="15629" max="15872" width="8.88671875" style="576"/>
    <col min="15873" max="15873" width="3.6640625" style="576" bestFit="1" customWidth="1"/>
    <col min="15874" max="15874" width="8.33203125" style="576" customWidth="1"/>
    <col min="15875" max="15875" width="46.109375" style="576" customWidth="1"/>
    <col min="15876" max="15876" width="11" style="576" customWidth="1"/>
    <col min="15877" max="15877" width="12.5546875" style="576" customWidth="1"/>
    <col min="15878" max="15878" width="10.88671875" style="576" customWidth="1"/>
    <col min="15879" max="15879" width="16.109375" style="576" customWidth="1"/>
    <col min="15880" max="15880" width="0" style="576" hidden="1" customWidth="1"/>
    <col min="15881" max="15881" width="15.44140625" style="576" customWidth="1"/>
    <col min="15882" max="15882" width="12.88671875" style="576" bestFit="1" customWidth="1"/>
    <col min="15883" max="15883" width="8.88671875" style="576"/>
    <col min="15884" max="15884" width="12.88671875" style="576" bestFit="1" customWidth="1"/>
    <col min="15885" max="16128" width="8.88671875" style="576"/>
    <col min="16129" max="16129" width="3.6640625" style="576" bestFit="1" customWidth="1"/>
    <col min="16130" max="16130" width="8.33203125" style="576" customWidth="1"/>
    <col min="16131" max="16131" width="46.109375" style="576" customWidth="1"/>
    <col min="16132" max="16132" width="11" style="576" customWidth="1"/>
    <col min="16133" max="16133" width="12.5546875" style="576" customWidth="1"/>
    <col min="16134" max="16134" width="10.88671875" style="576" customWidth="1"/>
    <col min="16135" max="16135" width="16.109375" style="576" customWidth="1"/>
    <col min="16136" max="16136" width="0" style="576" hidden="1" customWidth="1"/>
    <col min="16137" max="16137" width="15.44140625" style="576" customWidth="1"/>
    <col min="16138" max="16138" width="12.88671875" style="576" bestFit="1" customWidth="1"/>
    <col min="16139" max="16139" width="8.88671875" style="576"/>
    <col min="16140" max="16140" width="12.88671875" style="576" bestFit="1" customWidth="1"/>
    <col min="16141" max="16384" width="8.88671875" style="576"/>
  </cols>
  <sheetData>
    <row r="1" spans="1:13" s="27" customFormat="1" ht="83.25" customHeight="1" thickBot="1">
      <c r="A1" s="984" t="s">
        <v>1214</v>
      </c>
      <c r="B1" s="985"/>
      <c r="C1" s="985"/>
      <c r="D1" s="986" t="s">
        <v>1489</v>
      </c>
      <c r="E1" s="986"/>
      <c r="F1" s="986"/>
      <c r="G1" s="987"/>
    </row>
    <row r="2" spans="1:13" s="565" customFormat="1" ht="15" customHeight="1">
      <c r="A2" s="988" t="s">
        <v>11</v>
      </c>
      <c r="B2" s="989" t="s">
        <v>12</v>
      </c>
      <c r="C2" s="886" t="s">
        <v>8</v>
      </c>
      <c r="D2" s="886" t="s">
        <v>13</v>
      </c>
      <c r="E2" s="990" t="s">
        <v>14</v>
      </c>
      <c r="F2" s="992" t="s">
        <v>15</v>
      </c>
      <c r="G2" s="993" t="s">
        <v>16</v>
      </c>
    </row>
    <row r="3" spans="1:13" s="565" customFormat="1" ht="15" customHeight="1">
      <c r="A3" s="884"/>
      <c r="B3" s="886"/>
      <c r="C3" s="887"/>
      <c r="D3" s="887"/>
      <c r="E3" s="991"/>
      <c r="F3" s="888"/>
      <c r="G3" s="889"/>
    </row>
    <row r="4" spans="1:13" s="565" customFormat="1" ht="30" customHeight="1">
      <c r="A4" s="434" t="s">
        <v>1216</v>
      </c>
      <c r="B4" s="723"/>
      <c r="C4" s="435" t="s">
        <v>838</v>
      </c>
      <c r="D4" s="723"/>
      <c r="E4" s="695"/>
      <c r="F4" s="436"/>
      <c r="G4" s="437"/>
      <c r="H4" s="566"/>
      <c r="I4" s="567"/>
    </row>
    <row r="5" spans="1:13" s="27" customFormat="1" ht="30" customHeight="1">
      <c r="A5" s="222" t="s">
        <v>1217</v>
      </c>
      <c r="B5" s="46" t="s">
        <v>18</v>
      </c>
      <c r="C5" s="47" t="s">
        <v>505</v>
      </c>
      <c r="D5" s="46" t="s">
        <v>312</v>
      </c>
      <c r="E5" s="238">
        <v>1752</v>
      </c>
      <c r="F5" s="439"/>
      <c r="G5" s="440"/>
      <c r="H5" s="568">
        <f>F5*0.897728</f>
        <v>0</v>
      </c>
      <c r="I5" s="40">
        <f>'QTY83.2'!J9+Drains83.2!G106+Drains83.2!G112+Drains83.2!G161+Drains83.2!G206</f>
        <v>1751.739</v>
      </c>
      <c r="J5" s="569"/>
      <c r="K5" s="569"/>
      <c r="L5" s="569"/>
      <c r="M5" s="569"/>
    </row>
    <row r="6" spans="1:13" s="27" customFormat="1" ht="30" customHeight="1">
      <c r="A6" s="222" t="s">
        <v>1218</v>
      </c>
      <c r="B6" s="46" t="s">
        <v>21</v>
      </c>
      <c r="C6" s="47" t="s">
        <v>22</v>
      </c>
      <c r="D6" s="46" t="s">
        <v>23</v>
      </c>
      <c r="E6" s="238">
        <v>60</v>
      </c>
      <c r="F6" s="439"/>
      <c r="G6" s="440"/>
      <c r="H6" s="568">
        <f t="shared" ref="H6:H7" si="0">F6*0.897728</f>
        <v>0</v>
      </c>
      <c r="I6" s="40"/>
    </row>
    <row r="7" spans="1:13" s="27" customFormat="1" ht="30" customHeight="1">
      <c r="A7" s="222" t="s">
        <v>1219</v>
      </c>
      <c r="B7" s="46" t="s">
        <v>24</v>
      </c>
      <c r="C7" s="47" t="s">
        <v>843</v>
      </c>
      <c r="D7" s="46" t="s">
        <v>23</v>
      </c>
      <c r="E7" s="238">
        <v>25</v>
      </c>
      <c r="F7" s="439"/>
      <c r="G7" s="440"/>
      <c r="H7" s="568">
        <f t="shared" si="0"/>
        <v>0</v>
      </c>
      <c r="I7" s="40"/>
    </row>
    <row r="8" spans="1:13" s="27" customFormat="1" ht="30" customHeight="1">
      <c r="A8" s="222" t="s">
        <v>1220</v>
      </c>
      <c r="B8" s="56" t="s">
        <v>200</v>
      </c>
      <c r="C8" s="223" t="s">
        <v>201</v>
      </c>
      <c r="D8" s="36" t="s">
        <v>23</v>
      </c>
      <c r="E8" s="239">
        <v>10</v>
      </c>
      <c r="F8" s="57"/>
      <c r="G8" s="39"/>
      <c r="H8" s="40"/>
      <c r="I8" s="40"/>
      <c r="J8" s="349"/>
    </row>
    <row r="9" spans="1:13" s="27" customFormat="1" ht="30" customHeight="1">
      <c r="A9" s="222" t="s">
        <v>1221</v>
      </c>
      <c r="B9" s="56" t="s">
        <v>202</v>
      </c>
      <c r="C9" s="223" t="s">
        <v>203</v>
      </c>
      <c r="D9" s="36" t="s">
        <v>23</v>
      </c>
      <c r="E9" s="239">
        <v>10</v>
      </c>
      <c r="F9" s="57"/>
      <c r="G9" s="39"/>
      <c r="H9" s="40"/>
      <c r="I9" s="40"/>
      <c r="J9" s="349"/>
    </row>
    <row r="10" spans="1:13" s="27" customFormat="1" ht="30" customHeight="1">
      <c r="A10" s="222" t="s">
        <v>1222</v>
      </c>
      <c r="B10" s="46" t="s">
        <v>26</v>
      </c>
      <c r="C10" s="47" t="s">
        <v>1138</v>
      </c>
      <c r="D10" s="46" t="s">
        <v>23</v>
      </c>
      <c r="E10" s="239">
        <v>10</v>
      </c>
      <c r="F10" s="439"/>
      <c r="G10" s="440"/>
      <c r="H10" s="40"/>
      <c r="I10" s="40"/>
    </row>
    <row r="11" spans="1:13" s="27" customFormat="1" ht="30" customHeight="1">
      <c r="A11" s="222" t="s">
        <v>1223</v>
      </c>
      <c r="B11" s="46" t="s">
        <v>205</v>
      </c>
      <c r="C11" s="47" t="s">
        <v>206</v>
      </c>
      <c r="D11" s="46" t="s">
        <v>23</v>
      </c>
      <c r="E11" s="239">
        <v>10</v>
      </c>
      <c r="F11" s="439"/>
      <c r="G11" s="440"/>
      <c r="H11" s="40"/>
      <c r="I11" s="40"/>
    </row>
    <row r="12" spans="1:13" customFormat="1" ht="30" customHeight="1">
      <c r="A12" s="770" t="s">
        <v>1224</v>
      </c>
      <c r="B12" s="350"/>
      <c r="C12" s="351" t="s">
        <v>399</v>
      </c>
      <c r="D12" s="350"/>
      <c r="E12" s="693"/>
      <c r="F12" s="57"/>
      <c r="G12" s="771"/>
    </row>
    <row r="13" spans="1:13" customFormat="1" ht="30" customHeight="1">
      <c r="A13" s="222" t="s">
        <v>1217</v>
      </c>
      <c r="B13" s="350" t="s">
        <v>401</v>
      </c>
      <c r="C13" s="353" t="s">
        <v>402</v>
      </c>
      <c r="D13" s="350" t="s">
        <v>28</v>
      </c>
      <c r="E13" s="693">
        <v>5</v>
      </c>
      <c r="F13" s="57"/>
      <c r="G13" s="771"/>
    </row>
    <row r="14" spans="1:13" customFormat="1" ht="30" customHeight="1">
      <c r="A14" s="222" t="s">
        <v>1218</v>
      </c>
      <c r="B14" s="354" t="s">
        <v>404</v>
      </c>
      <c r="C14" s="355" t="s">
        <v>405</v>
      </c>
      <c r="D14" s="354" t="s">
        <v>28</v>
      </c>
      <c r="E14" s="694">
        <v>5</v>
      </c>
      <c r="F14" s="357"/>
      <c r="G14" s="771"/>
    </row>
    <row r="15" spans="1:13" s="573" customFormat="1" ht="30" customHeight="1" thickBot="1">
      <c r="A15" s="570"/>
      <c r="B15" s="981" t="s">
        <v>1502</v>
      </c>
      <c r="C15" s="982"/>
      <c r="D15" s="982"/>
      <c r="E15" s="982"/>
      <c r="F15" s="983"/>
      <c r="G15" s="571"/>
      <c r="H15" s="572"/>
    </row>
    <row r="16" spans="1:13" ht="13.2">
      <c r="A16" s="574"/>
      <c r="C16" s="565"/>
      <c r="D16" s="574"/>
      <c r="E16" s="697"/>
      <c r="F16" s="575"/>
      <c r="G16" s="575"/>
    </row>
    <row r="17" spans="1:8" ht="13.2">
      <c r="A17" s="577"/>
      <c r="C17" s="565"/>
      <c r="D17" s="574"/>
      <c r="E17" s="697"/>
      <c r="F17" s="575"/>
      <c r="G17" s="575"/>
    </row>
    <row r="18" spans="1:8" ht="13.2">
      <c r="A18" s="574"/>
      <c r="C18" s="565"/>
      <c r="D18" s="574"/>
      <c r="E18" s="697"/>
      <c r="F18" s="575"/>
      <c r="G18" s="575"/>
    </row>
    <row r="19" spans="1:8">
      <c r="C19" s="565"/>
      <c r="D19" s="574"/>
      <c r="E19" s="697"/>
      <c r="F19" s="575"/>
      <c r="G19" s="575"/>
    </row>
    <row r="20" spans="1:8">
      <c r="A20" s="579"/>
      <c r="C20" s="565"/>
      <c r="D20" s="574"/>
      <c r="E20" s="697"/>
      <c r="F20" s="575"/>
      <c r="G20" s="575"/>
    </row>
    <row r="21" spans="1:8">
      <c r="C21" s="565"/>
      <c r="D21" s="574"/>
      <c r="E21" s="697"/>
      <c r="F21" s="575"/>
      <c r="G21" s="575"/>
    </row>
    <row r="24" spans="1:8" ht="13.2">
      <c r="A24" s="565"/>
      <c r="B24" s="565"/>
      <c r="C24" s="565"/>
      <c r="D24" s="565"/>
      <c r="E24" s="698"/>
      <c r="F24" s="565"/>
      <c r="G24" s="565"/>
    </row>
    <row r="25" spans="1:8">
      <c r="B25" s="578"/>
      <c r="C25" s="578"/>
      <c r="D25" s="578"/>
      <c r="E25" s="699"/>
      <c r="F25" s="578"/>
      <c r="G25" s="578"/>
      <c r="H25" s="578"/>
    </row>
    <row r="26" spans="1:8" ht="13.2">
      <c r="A26" s="565"/>
      <c r="B26" s="565"/>
      <c r="C26" s="565"/>
      <c r="D26" s="565"/>
      <c r="E26" s="698"/>
      <c r="F26" s="565"/>
      <c r="G26" s="565"/>
      <c r="H26" s="565"/>
    </row>
    <row r="31" spans="1:8">
      <c r="C31" s="565"/>
      <c r="D31" s="574"/>
      <c r="E31" s="697"/>
      <c r="F31" s="575"/>
      <c r="G31" s="575"/>
    </row>
    <row r="32" spans="1:8">
      <c r="C32" s="565"/>
      <c r="D32" s="574"/>
      <c r="E32" s="697"/>
      <c r="F32" s="575"/>
      <c r="G32" s="575"/>
    </row>
    <row r="33" spans="3:7">
      <c r="C33" s="565"/>
      <c r="D33" s="574"/>
      <c r="E33" s="697"/>
      <c r="F33" s="575"/>
      <c r="G33" s="575"/>
    </row>
    <row r="34" spans="3:7">
      <c r="C34" s="565"/>
      <c r="D34" s="574"/>
      <c r="E34" s="697"/>
      <c r="F34" s="575"/>
      <c r="G34" s="575"/>
    </row>
  </sheetData>
  <mergeCells count="10">
    <mergeCell ref="B15:F15"/>
    <mergeCell ref="A1:C1"/>
    <mergeCell ref="D1:G1"/>
    <mergeCell ref="A2:A3"/>
    <mergeCell ref="B2:B3"/>
    <mergeCell ref="C2:C3"/>
    <mergeCell ref="D2:D3"/>
    <mergeCell ref="E2:E3"/>
    <mergeCell ref="F2:F3"/>
    <mergeCell ref="G2:G3"/>
  </mergeCells>
  <printOptions horizontalCentered="1"/>
  <pageMargins left="0.75" right="0.4" top="0.75" bottom="0.5" header="0" footer="0"/>
  <pageSetup paperSize="9" scale="70" fitToHeight="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203D-791F-459D-B968-0311F0EDFE80}">
  <sheetPr>
    <tabColor rgb="FF00B0F0"/>
  </sheetPr>
  <dimension ref="A1:K33"/>
  <sheetViews>
    <sheetView view="pageBreakPreview" zoomScale="85" zoomScaleNormal="100" zoomScaleSheetLayoutView="85" workbookViewId="0">
      <pane ySplit="3" topLeftCell="A7" activePane="bottomLeft" state="frozen"/>
      <selection activeCell="E36" sqref="E36"/>
      <selection pane="bottomLeft" activeCell="I1" sqref="I1:K1048576"/>
    </sheetView>
  </sheetViews>
  <sheetFormatPr defaultColWidth="8.88671875" defaultRowHeight="13.8"/>
  <cols>
    <col min="1" max="1" width="9.44140625" style="596" customWidth="1"/>
    <col min="2" max="2" width="10.6640625" style="580" customWidth="1"/>
    <col min="3" max="3" width="50.6640625" style="576" customWidth="1"/>
    <col min="4" max="4" width="7.6640625" style="580" customWidth="1"/>
    <col min="5" max="5" width="10" style="702" customWidth="1"/>
    <col min="6" max="6" width="16.44140625" style="581" customWidth="1"/>
    <col min="7" max="7" width="20.33203125" style="581" customWidth="1"/>
    <col min="8" max="8" width="12.109375" style="576" customWidth="1"/>
    <col min="9" max="9" width="12.88671875" style="597" hidden="1" customWidth="1"/>
    <col min="10" max="10" width="13.5546875" style="576" hidden="1" customWidth="1"/>
    <col min="11" max="11" width="12.88671875" style="576" hidden="1" customWidth="1"/>
    <col min="12" max="12" width="10.33203125" style="576" bestFit="1" customWidth="1"/>
    <col min="13" max="255" width="8.88671875" style="576"/>
    <col min="256" max="256" width="3.6640625" style="576" bestFit="1" customWidth="1"/>
    <col min="257" max="257" width="8.33203125" style="576" customWidth="1"/>
    <col min="258" max="258" width="46.109375" style="576" customWidth="1"/>
    <col min="259" max="259" width="11" style="576" customWidth="1"/>
    <col min="260" max="260" width="12.5546875" style="576" customWidth="1"/>
    <col min="261" max="261" width="10.88671875" style="576" customWidth="1"/>
    <col min="262" max="262" width="16.109375" style="576" customWidth="1"/>
    <col min="263" max="263" width="0" style="576" hidden="1" customWidth="1"/>
    <col min="264" max="264" width="15.44140625" style="576" customWidth="1"/>
    <col min="265" max="265" width="12.88671875" style="576" bestFit="1" customWidth="1"/>
    <col min="266" max="266" width="8.88671875" style="576"/>
    <col min="267" max="267" width="12.88671875" style="576" bestFit="1" customWidth="1"/>
    <col min="268" max="511" width="8.88671875" style="576"/>
    <col min="512" max="512" width="3.6640625" style="576" bestFit="1" customWidth="1"/>
    <col min="513" max="513" width="8.33203125" style="576" customWidth="1"/>
    <col min="514" max="514" width="46.109375" style="576" customWidth="1"/>
    <col min="515" max="515" width="11" style="576" customWidth="1"/>
    <col min="516" max="516" width="12.5546875" style="576" customWidth="1"/>
    <col min="517" max="517" width="10.88671875" style="576" customWidth="1"/>
    <col min="518" max="518" width="16.109375" style="576" customWidth="1"/>
    <col min="519" max="519" width="0" style="576" hidden="1" customWidth="1"/>
    <col min="520" max="520" width="15.44140625" style="576" customWidth="1"/>
    <col min="521" max="521" width="12.88671875" style="576" bestFit="1" customWidth="1"/>
    <col min="522" max="522" width="8.88671875" style="576"/>
    <col min="523" max="523" width="12.88671875" style="576" bestFit="1" customWidth="1"/>
    <col min="524" max="767" width="8.88671875" style="576"/>
    <col min="768" max="768" width="3.6640625" style="576" bestFit="1" customWidth="1"/>
    <col min="769" max="769" width="8.33203125" style="576" customWidth="1"/>
    <col min="770" max="770" width="46.109375" style="576" customWidth="1"/>
    <col min="771" max="771" width="11" style="576" customWidth="1"/>
    <col min="772" max="772" width="12.5546875" style="576" customWidth="1"/>
    <col min="773" max="773" width="10.88671875" style="576" customWidth="1"/>
    <col min="774" max="774" width="16.109375" style="576" customWidth="1"/>
    <col min="775" max="775" width="0" style="576" hidden="1" customWidth="1"/>
    <col min="776" max="776" width="15.44140625" style="576" customWidth="1"/>
    <col min="777" max="777" width="12.88671875" style="576" bestFit="1" customWidth="1"/>
    <col min="778" max="778" width="8.88671875" style="576"/>
    <col min="779" max="779" width="12.88671875" style="576" bestFit="1" customWidth="1"/>
    <col min="780" max="1023" width="8.88671875" style="576"/>
    <col min="1024" max="1024" width="3.6640625" style="576" bestFit="1" customWidth="1"/>
    <col min="1025" max="1025" width="8.33203125" style="576" customWidth="1"/>
    <col min="1026" max="1026" width="46.109375" style="576" customWidth="1"/>
    <col min="1027" max="1027" width="11" style="576" customWidth="1"/>
    <col min="1028" max="1028" width="12.5546875" style="576" customWidth="1"/>
    <col min="1029" max="1029" width="10.88671875" style="576" customWidth="1"/>
    <col min="1030" max="1030" width="16.109375" style="576" customWidth="1"/>
    <col min="1031" max="1031" width="0" style="576" hidden="1" customWidth="1"/>
    <col min="1032" max="1032" width="15.44140625" style="576" customWidth="1"/>
    <col min="1033" max="1033" width="12.88671875" style="576" bestFit="1" customWidth="1"/>
    <col min="1034" max="1034" width="8.88671875" style="576"/>
    <col min="1035" max="1035" width="12.88671875" style="576" bestFit="1" customWidth="1"/>
    <col min="1036" max="1279" width="8.88671875" style="576"/>
    <col min="1280" max="1280" width="3.6640625" style="576" bestFit="1" customWidth="1"/>
    <col min="1281" max="1281" width="8.33203125" style="576" customWidth="1"/>
    <col min="1282" max="1282" width="46.109375" style="576" customWidth="1"/>
    <col min="1283" max="1283" width="11" style="576" customWidth="1"/>
    <col min="1284" max="1284" width="12.5546875" style="576" customWidth="1"/>
    <col min="1285" max="1285" width="10.88671875" style="576" customWidth="1"/>
    <col min="1286" max="1286" width="16.109375" style="576" customWidth="1"/>
    <col min="1287" max="1287" width="0" style="576" hidden="1" customWidth="1"/>
    <col min="1288" max="1288" width="15.44140625" style="576" customWidth="1"/>
    <col min="1289" max="1289" width="12.88671875" style="576" bestFit="1" customWidth="1"/>
    <col min="1290" max="1290" width="8.88671875" style="576"/>
    <col min="1291" max="1291" width="12.88671875" style="576" bestFit="1" customWidth="1"/>
    <col min="1292" max="1535" width="8.88671875" style="576"/>
    <col min="1536" max="1536" width="3.6640625" style="576" bestFit="1" customWidth="1"/>
    <col min="1537" max="1537" width="8.33203125" style="576" customWidth="1"/>
    <col min="1538" max="1538" width="46.109375" style="576" customWidth="1"/>
    <col min="1539" max="1539" width="11" style="576" customWidth="1"/>
    <col min="1540" max="1540" width="12.5546875" style="576" customWidth="1"/>
    <col min="1541" max="1541" width="10.88671875" style="576" customWidth="1"/>
    <col min="1542" max="1542" width="16.109375" style="576" customWidth="1"/>
    <col min="1543" max="1543" width="0" style="576" hidden="1" customWidth="1"/>
    <col min="1544" max="1544" width="15.44140625" style="576" customWidth="1"/>
    <col min="1545" max="1545" width="12.88671875" style="576" bestFit="1" customWidth="1"/>
    <col min="1546" max="1546" width="8.88671875" style="576"/>
    <col min="1547" max="1547" width="12.88671875" style="576" bestFit="1" customWidth="1"/>
    <col min="1548" max="1791" width="8.88671875" style="576"/>
    <col min="1792" max="1792" width="3.6640625" style="576" bestFit="1" customWidth="1"/>
    <col min="1793" max="1793" width="8.33203125" style="576" customWidth="1"/>
    <col min="1794" max="1794" width="46.109375" style="576" customWidth="1"/>
    <col min="1795" max="1795" width="11" style="576" customWidth="1"/>
    <col min="1796" max="1796" width="12.5546875" style="576" customWidth="1"/>
    <col min="1797" max="1797" width="10.88671875" style="576" customWidth="1"/>
    <col min="1798" max="1798" width="16.109375" style="576" customWidth="1"/>
    <col min="1799" max="1799" width="0" style="576" hidden="1" customWidth="1"/>
    <col min="1800" max="1800" width="15.44140625" style="576" customWidth="1"/>
    <col min="1801" max="1801" width="12.88671875" style="576" bestFit="1" customWidth="1"/>
    <col min="1802" max="1802" width="8.88671875" style="576"/>
    <col min="1803" max="1803" width="12.88671875" style="576" bestFit="1" customWidth="1"/>
    <col min="1804" max="2047" width="8.88671875" style="576"/>
    <col min="2048" max="2048" width="3.6640625" style="576" bestFit="1" customWidth="1"/>
    <col min="2049" max="2049" width="8.33203125" style="576" customWidth="1"/>
    <col min="2050" max="2050" width="46.109375" style="576" customWidth="1"/>
    <col min="2051" max="2051" width="11" style="576" customWidth="1"/>
    <col min="2052" max="2052" width="12.5546875" style="576" customWidth="1"/>
    <col min="2053" max="2053" width="10.88671875" style="576" customWidth="1"/>
    <col min="2054" max="2054" width="16.109375" style="576" customWidth="1"/>
    <col min="2055" max="2055" width="0" style="576" hidden="1" customWidth="1"/>
    <col min="2056" max="2056" width="15.44140625" style="576" customWidth="1"/>
    <col min="2057" max="2057" width="12.88671875" style="576" bestFit="1" customWidth="1"/>
    <col min="2058" max="2058" width="8.88671875" style="576"/>
    <col min="2059" max="2059" width="12.88671875" style="576" bestFit="1" customWidth="1"/>
    <col min="2060" max="2303" width="8.88671875" style="576"/>
    <col min="2304" max="2304" width="3.6640625" style="576" bestFit="1" customWidth="1"/>
    <col min="2305" max="2305" width="8.33203125" style="576" customWidth="1"/>
    <col min="2306" max="2306" width="46.109375" style="576" customWidth="1"/>
    <col min="2307" max="2307" width="11" style="576" customWidth="1"/>
    <col min="2308" max="2308" width="12.5546875" style="576" customWidth="1"/>
    <col min="2309" max="2309" width="10.88671875" style="576" customWidth="1"/>
    <col min="2310" max="2310" width="16.109375" style="576" customWidth="1"/>
    <col min="2311" max="2311" width="0" style="576" hidden="1" customWidth="1"/>
    <col min="2312" max="2312" width="15.44140625" style="576" customWidth="1"/>
    <col min="2313" max="2313" width="12.88671875" style="576" bestFit="1" customWidth="1"/>
    <col min="2314" max="2314" width="8.88671875" style="576"/>
    <col min="2315" max="2315" width="12.88671875" style="576" bestFit="1" customWidth="1"/>
    <col min="2316" max="2559" width="8.88671875" style="576"/>
    <col min="2560" max="2560" width="3.6640625" style="576" bestFit="1" customWidth="1"/>
    <col min="2561" max="2561" width="8.33203125" style="576" customWidth="1"/>
    <col min="2562" max="2562" width="46.109375" style="576" customWidth="1"/>
    <col min="2563" max="2563" width="11" style="576" customWidth="1"/>
    <col min="2564" max="2564" width="12.5546875" style="576" customWidth="1"/>
    <col min="2565" max="2565" width="10.88671875" style="576" customWidth="1"/>
    <col min="2566" max="2566" width="16.109375" style="576" customWidth="1"/>
    <col min="2567" max="2567" width="0" style="576" hidden="1" customWidth="1"/>
    <col min="2568" max="2568" width="15.44140625" style="576" customWidth="1"/>
    <col min="2569" max="2569" width="12.88671875" style="576" bestFit="1" customWidth="1"/>
    <col min="2570" max="2570" width="8.88671875" style="576"/>
    <col min="2571" max="2571" width="12.88671875" style="576" bestFit="1" customWidth="1"/>
    <col min="2572" max="2815" width="8.88671875" style="576"/>
    <col min="2816" max="2816" width="3.6640625" style="576" bestFit="1" customWidth="1"/>
    <col min="2817" max="2817" width="8.33203125" style="576" customWidth="1"/>
    <col min="2818" max="2818" width="46.109375" style="576" customWidth="1"/>
    <col min="2819" max="2819" width="11" style="576" customWidth="1"/>
    <col min="2820" max="2820" width="12.5546875" style="576" customWidth="1"/>
    <col min="2821" max="2821" width="10.88671875" style="576" customWidth="1"/>
    <col min="2822" max="2822" width="16.109375" style="576" customWidth="1"/>
    <col min="2823" max="2823" width="0" style="576" hidden="1" customWidth="1"/>
    <col min="2824" max="2824" width="15.44140625" style="576" customWidth="1"/>
    <col min="2825" max="2825" width="12.88671875" style="576" bestFit="1" customWidth="1"/>
    <col min="2826" max="2826" width="8.88671875" style="576"/>
    <col min="2827" max="2827" width="12.88671875" style="576" bestFit="1" customWidth="1"/>
    <col min="2828" max="3071" width="8.88671875" style="576"/>
    <col min="3072" max="3072" width="3.6640625" style="576" bestFit="1" customWidth="1"/>
    <col min="3073" max="3073" width="8.33203125" style="576" customWidth="1"/>
    <col min="3074" max="3074" width="46.109375" style="576" customWidth="1"/>
    <col min="3075" max="3075" width="11" style="576" customWidth="1"/>
    <col min="3076" max="3076" width="12.5546875" style="576" customWidth="1"/>
    <col min="3077" max="3077" width="10.88671875" style="576" customWidth="1"/>
    <col min="3078" max="3078" width="16.109375" style="576" customWidth="1"/>
    <col min="3079" max="3079" width="0" style="576" hidden="1" customWidth="1"/>
    <col min="3080" max="3080" width="15.44140625" style="576" customWidth="1"/>
    <col min="3081" max="3081" width="12.88671875" style="576" bestFit="1" customWidth="1"/>
    <col min="3082" max="3082" width="8.88671875" style="576"/>
    <col min="3083" max="3083" width="12.88671875" style="576" bestFit="1" customWidth="1"/>
    <col min="3084" max="3327" width="8.88671875" style="576"/>
    <col min="3328" max="3328" width="3.6640625" style="576" bestFit="1" customWidth="1"/>
    <col min="3329" max="3329" width="8.33203125" style="576" customWidth="1"/>
    <col min="3330" max="3330" width="46.109375" style="576" customWidth="1"/>
    <col min="3331" max="3331" width="11" style="576" customWidth="1"/>
    <col min="3332" max="3332" width="12.5546875" style="576" customWidth="1"/>
    <col min="3333" max="3333" width="10.88671875" style="576" customWidth="1"/>
    <col min="3334" max="3334" width="16.109375" style="576" customWidth="1"/>
    <col min="3335" max="3335" width="0" style="576" hidden="1" customWidth="1"/>
    <col min="3336" max="3336" width="15.44140625" style="576" customWidth="1"/>
    <col min="3337" max="3337" width="12.88671875" style="576" bestFit="1" customWidth="1"/>
    <col min="3338" max="3338" width="8.88671875" style="576"/>
    <col min="3339" max="3339" width="12.88671875" style="576" bestFit="1" customWidth="1"/>
    <col min="3340" max="3583" width="8.88671875" style="576"/>
    <col min="3584" max="3584" width="3.6640625" style="576" bestFit="1" customWidth="1"/>
    <col min="3585" max="3585" width="8.33203125" style="576" customWidth="1"/>
    <col min="3586" max="3586" width="46.109375" style="576" customWidth="1"/>
    <col min="3587" max="3587" width="11" style="576" customWidth="1"/>
    <col min="3588" max="3588" width="12.5546875" style="576" customWidth="1"/>
    <col min="3589" max="3589" width="10.88671875" style="576" customWidth="1"/>
    <col min="3590" max="3590" width="16.109375" style="576" customWidth="1"/>
    <col min="3591" max="3591" width="0" style="576" hidden="1" customWidth="1"/>
    <col min="3592" max="3592" width="15.44140625" style="576" customWidth="1"/>
    <col min="3593" max="3593" width="12.88671875" style="576" bestFit="1" customWidth="1"/>
    <col min="3594" max="3594" width="8.88671875" style="576"/>
    <col min="3595" max="3595" width="12.88671875" style="576" bestFit="1" customWidth="1"/>
    <col min="3596" max="3839" width="8.88671875" style="576"/>
    <col min="3840" max="3840" width="3.6640625" style="576" bestFit="1" customWidth="1"/>
    <col min="3841" max="3841" width="8.33203125" style="576" customWidth="1"/>
    <col min="3842" max="3842" width="46.109375" style="576" customWidth="1"/>
    <col min="3843" max="3843" width="11" style="576" customWidth="1"/>
    <col min="3844" max="3844" width="12.5546875" style="576" customWidth="1"/>
    <col min="3845" max="3845" width="10.88671875" style="576" customWidth="1"/>
    <col min="3846" max="3846" width="16.109375" style="576" customWidth="1"/>
    <col min="3847" max="3847" width="0" style="576" hidden="1" customWidth="1"/>
    <col min="3848" max="3848" width="15.44140625" style="576" customWidth="1"/>
    <col min="3849" max="3849" width="12.88671875" style="576" bestFit="1" customWidth="1"/>
    <col min="3850" max="3850" width="8.88671875" style="576"/>
    <col min="3851" max="3851" width="12.88671875" style="576" bestFit="1" customWidth="1"/>
    <col min="3852" max="4095" width="8.88671875" style="576"/>
    <col min="4096" max="4096" width="3.6640625" style="576" bestFit="1" customWidth="1"/>
    <col min="4097" max="4097" width="8.33203125" style="576" customWidth="1"/>
    <col min="4098" max="4098" width="46.109375" style="576" customWidth="1"/>
    <col min="4099" max="4099" width="11" style="576" customWidth="1"/>
    <col min="4100" max="4100" width="12.5546875" style="576" customWidth="1"/>
    <col min="4101" max="4101" width="10.88671875" style="576" customWidth="1"/>
    <col min="4102" max="4102" width="16.109375" style="576" customWidth="1"/>
    <col min="4103" max="4103" width="0" style="576" hidden="1" customWidth="1"/>
    <col min="4104" max="4104" width="15.44140625" style="576" customWidth="1"/>
    <col min="4105" max="4105" width="12.88671875" style="576" bestFit="1" customWidth="1"/>
    <col min="4106" max="4106" width="8.88671875" style="576"/>
    <col min="4107" max="4107" width="12.88671875" style="576" bestFit="1" customWidth="1"/>
    <col min="4108" max="4351" width="8.88671875" style="576"/>
    <col min="4352" max="4352" width="3.6640625" style="576" bestFit="1" customWidth="1"/>
    <col min="4353" max="4353" width="8.33203125" style="576" customWidth="1"/>
    <col min="4354" max="4354" width="46.109375" style="576" customWidth="1"/>
    <col min="4355" max="4355" width="11" style="576" customWidth="1"/>
    <col min="4356" max="4356" width="12.5546875" style="576" customWidth="1"/>
    <col min="4357" max="4357" width="10.88671875" style="576" customWidth="1"/>
    <col min="4358" max="4358" width="16.109375" style="576" customWidth="1"/>
    <col min="4359" max="4359" width="0" style="576" hidden="1" customWidth="1"/>
    <col min="4360" max="4360" width="15.44140625" style="576" customWidth="1"/>
    <col min="4361" max="4361" width="12.88671875" style="576" bestFit="1" customWidth="1"/>
    <col min="4362" max="4362" width="8.88671875" style="576"/>
    <col min="4363" max="4363" width="12.88671875" style="576" bestFit="1" customWidth="1"/>
    <col min="4364" max="4607" width="8.88671875" style="576"/>
    <col min="4608" max="4608" width="3.6640625" style="576" bestFit="1" customWidth="1"/>
    <col min="4609" max="4609" width="8.33203125" style="576" customWidth="1"/>
    <col min="4610" max="4610" width="46.109375" style="576" customWidth="1"/>
    <col min="4611" max="4611" width="11" style="576" customWidth="1"/>
    <col min="4612" max="4612" width="12.5546875" style="576" customWidth="1"/>
    <col min="4613" max="4613" width="10.88671875" style="576" customWidth="1"/>
    <col min="4614" max="4614" width="16.109375" style="576" customWidth="1"/>
    <col min="4615" max="4615" width="0" style="576" hidden="1" customWidth="1"/>
    <col min="4616" max="4616" width="15.44140625" style="576" customWidth="1"/>
    <col min="4617" max="4617" width="12.88671875" style="576" bestFit="1" customWidth="1"/>
    <col min="4618" max="4618" width="8.88671875" style="576"/>
    <col min="4619" max="4619" width="12.88671875" style="576" bestFit="1" customWidth="1"/>
    <col min="4620" max="4863" width="8.88671875" style="576"/>
    <col min="4864" max="4864" width="3.6640625" style="576" bestFit="1" customWidth="1"/>
    <col min="4865" max="4865" width="8.33203125" style="576" customWidth="1"/>
    <col min="4866" max="4866" width="46.109375" style="576" customWidth="1"/>
    <col min="4867" max="4867" width="11" style="576" customWidth="1"/>
    <col min="4868" max="4868" width="12.5546875" style="576" customWidth="1"/>
    <col min="4869" max="4869" width="10.88671875" style="576" customWidth="1"/>
    <col min="4870" max="4870" width="16.109375" style="576" customWidth="1"/>
    <col min="4871" max="4871" width="0" style="576" hidden="1" customWidth="1"/>
    <col min="4872" max="4872" width="15.44140625" style="576" customWidth="1"/>
    <col min="4873" max="4873" width="12.88671875" style="576" bestFit="1" customWidth="1"/>
    <col min="4874" max="4874" width="8.88671875" style="576"/>
    <col min="4875" max="4875" width="12.88671875" style="576" bestFit="1" customWidth="1"/>
    <col min="4876" max="5119" width="8.88671875" style="576"/>
    <col min="5120" max="5120" width="3.6640625" style="576" bestFit="1" customWidth="1"/>
    <col min="5121" max="5121" width="8.33203125" style="576" customWidth="1"/>
    <col min="5122" max="5122" width="46.109375" style="576" customWidth="1"/>
    <col min="5123" max="5123" width="11" style="576" customWidth="1"/>
    <col min="5124" max="5124" width="12.5546875" style="576" customWidth="1"/>
    <col min="5125" max="5125" width="10.88671875" style="576" customWidth="1"/>
    <col min="5126" max="5126" width="16.109375" style="576" customWidth="1"/>
    <col min="5127" max="5127" width="0" style="576" hidden="1" customWidth="1"/>
    <col min="5128" max="5128" width="15.44140625" style="576" customWidth="1"/>
    <col min="5129" max="5129" width="12.88671875" style="576" bestFit="1" customWidth="1"/>
    <col min="5130" max="5130" width="8.88671875" style="576"/>
    <col min="5131" max="5131" width="12.88671875" style="576" bestFit="1" customWidth="1"/>
    <col min="5132" max="5375" width="8.88671875" style="576"/>
    <col min="5376" max="5376" width="3.6640625" style="576" bestFit="1" customWidth="1"/>
    <col min="5377" max="5377" width="8.33203125" style="576" customWidth="1"/>
    <col min="5378" max="5378" width="46.109375" style="576" customWidth="1"/>
    <col min="5379" max="5379" width="11" style="576" customWidth="1"/>
    <col min="5380" max="5380" width="12.5546875" style="576" customWidth="1"/>
    <col min="5381" max="5381" width="10.88671875" style="576" customWidth="1"/>
    <col min="5382" max="5382" width="16.109375" style="576" customWidth="1"/>
    <col min="5383" max="5383" width="0" style="576" hidden="1" customWidth="1"/>
    <col min="5384" max="5384" width="15.44140625" style="576" customWidth="1"/>
    <col min="5385" max="5385" width="12.88671875" style="576" bestFit="1" customWidth="1"/>
    <col min="5386" max="5386" width="8.88671875" style="576"/>
    <col min="5387" max="5387" width="12.88671875" style="576" bestFit="1" customWidth="1"/>
    <col min="5388" max="5631" width="8.88671875" style="576"/>
    <col min="5632" max="5632" width="3.6640625" style="576" bestFit="1" customWidth="1"/>
    <col min="5633" max="5633" width="8.33203125" style="576" customWidth="1"/>
    <col min="5634" max="5634" width="46.109375" style="576" customWidth="1"/>
    <col min="5635" max="5635" width="11" style="576" customWidth="1"/>
    <col min="5636" max="5636" width="12.5546875" style="576" customWidth="1"/>
    <col min="5637" max="5637" width="10.88671875" style="576" customWidth="1"/>
    <col min="5638" max="5638" width="16.109375" style="576" customWidth="1"/>
    <col min="5639" max="5639" width="0" style="576" hidden="1" customWidth="1"/>
    <col min="5640" max="5640" width="15.44140625" style="576" customWidth="1"/>
    <col min="5641" max="5641" width="12.88671875" style="576" bestFit="1" customWidth="1"/>
    <col min="5642" max="5642" width="8.88671875" style="576"/>
    <col min="5643" max="5643" width="12.88671875" style="576" bestFit="1" customWidth="1"/>
    <col min="5644" max="5887" width="8.88671875" style="576"/>
    <col min="5888" max="5888" width="3.6640625" style="576" bestFit="1" customWidth="1"/>
    <col min="5889" max="5889" width="8.33203125" style="576" customWidth="1"/>
    <col min="5890" max="5890" width="46.109375" style="576" customWidth="1"/>
    <col min="5891" max="5891" width="11" style="576" customWidth="1"/>
    <col min="5892" max="5892" width="12.5546875" style="576" customWidth="1"/>
    <col min="5893" max="5893" width="10.88671875" style="576" customWidth="1"/>
    <col min="5894" max="5894" width="16.109375" style="576" customWidth="1"/>
    <col min="5895" max="5895" width="0" style="576" hidden="1" customWidth="1"/>
    <col min="5896" max="5896" width="15.44140625" style="576" customWidth="1"/>
    <col min="5897" max="5897" width="12.88671875" style="576" bestFit="1" customWidth="1"/>
    <col min="5898" max="5898" width="8.88671875" style="576"/>
    <col min="5899" max="5899" width="12.88671875" style="576" bestFit="1" customWidth="1"/>
    <col min="5900" max="6143" width="8.88671875" style="576"/>
    <col min="6144" max="6144" width="3.6640625" style="576" bestFit="1" customWidth="1"/>
    <col min="6145" max="6145" width="8.33203125" style="576" customWidth="1"/>
    <col min="6146" max="6146" width="46.109375" style="576" customWidth="1"/>
    <col min="6147" max="6147" width="11" style="576" customWidth="1"/>
    <col min="6148" max="6148" width="12.5546875" style="576" customWidth="1"/>
    <col min="6149" max="6149" width="10.88671875" style="576" customWidth="1"/>
    <col min="6150" max="6150" width="16.109375" style="576" customWidth="1"/>
    <col min="6151" max="6151" width="0" style="576" hidden="1" customWidth="1"/>
    <col min="6152" max="6152" width="15.44140625" style="576" customWidth="1"/>
    <col min="6153" max="6153" width="12.88671875" style="576" bestFit="1" customWidth="1"/>
    <col min="6154" max="6154" width="8.88671875" style="576"/>
    <col min="6155" max="6155" width="12.88671875" style="576" bestFit="1" customWidth="1"/>
    <col min="6156" max="6399" width="8.88671875" style="576"/>
    <col min="6400" max="6400" width="3.6640625" style="576" bestFit="1" customWidth="1"/>
    <col min="6401" max="6401" width="8.33203125" style="576" customWidth="1"/>
    <col min="6402" max="6402" width="46.109375" style="576" customWidth="1"/>
    <col min="6403" max="6403" width="11" style="576" customWidth="1"/>
    <col min="6404" max="6404" width="12.5546875" style="576" customWidth="1"/>
    <col min="6405" max="6405" width="10.88671875" style="576" customWidth="1"/>
    <col min="6406" max="6406" width="16.109375" style="576" customWidth="1"/>
    <col min="6407" max="6407" width="0" style="576" hidden="1" customWidth="1"/>
    <col min="6408" max="6408" width="15.44140625" style="576" customWidth="1"/>
    <col min="6409" max="6409" width="12.88671875" style="576" bestFit="1" customWidth="1"/>
    <col min="6410" max="6410" width="8.88671875" style="576"/>
    <col min="6411" max="6411" width="12.88671875" style="576" bestFit="1" customWidth="1"/>
    <col min="6412" max="6655" width="8.88671875" style="576"/>
    <col min="6656" max="6656" width="3.6640625" style="576" bestFit="1" customWidth="1"/>
    <col min="6657" max="6657" width="8.33203125" style="576" customWidth="1"/>
    <col min="6658" max="6658" width="46.109375" style="576" customWidth="1"/>
    <col min="6659" max="6659" width="11" style="576" customWidth="1"/>
    <col min="6660" max="6660" width="12.5546875" style="576" customWidth="1"/>
    <col min="6661" max="6661" width="10.88671875" style="576" customWidth="1"/>
    <col min="6662" max="6662" width="16.109375" style="576" customWidth="1"/>
    <col min="6663" max="6663" width="0" style="576" hidden="1" customWidth="1"/>
    <col min="6664" max="6664" width="15.44140625" style="576" customWidth="1"/>
    <col min="6665" max="6665" width="12.88671875" style="576" bestFit="1" customWidth="1"/>
    <col min="6666" max="6666" width="8.88671875" style="576"/>
    <col min="6667" max="6667" width="12.88671875" style="576" bestFit="1" customWidth="1"/>
    <col min="6668" max="6911" width="8.88671875" style="576"/>
    <col min="6912" max="6912" width="3.6640625" style="576" bestFit="1" customWidth="1"/>
    <col min="6913" max="6913" width="8.33203125" style="576" customWidth="1"/>
    <col min="6914" max="6914" width="46.109375" style="576" customWidth="1"/>
    <col min="6915" max="6915" width="11" style="576" customWidth="1"/>
    <col min="6916" max="6916" width="12.5546875" style="576" customWidth="1"/>
    <col min="6917" max="6917" width="10.88671875" style="576" customWidth="1"/>
    <col min="6918" max="6918" width="16.109375" style="576" customWidth="1"/>
    <col min="6919" max="6919" width="0" style="576" hidden="1" customWidth="1"/>
    <col min="6920" max="6920" width="15.44140625" style="576" customWidth="1"/>
    <col min="6921" max="6921" width="12.88671875" style="576" bestFit="1" customWidth="1"/>
    <col min="6922" max="6922" width="8.88671875" style="576"/>
    <col min="6923" max="6923" width="12.88671875" style="576" bestFit="1" customWidth="1"/>
    <col min="6924" max="7167" width="8.88671875" style="576"/>
    <col min="7168" max="7168" width="3.6640625" style="576" bestFit="1" customWidth="1"/>
    <col min="7169" max="7169" width="8.33203125" style="576" customWidth="1"/>
    <col min="7170" max="7170" width="46.109375" style="576" customWidth="1"/>
    <col min="7171" max="7171" width="11" style="576" customWidth="1"/>
    <col min="7172" max="7172" width="12.5546875" style="576" customWidth="1"/>
    <col min="7173" max="7173" width="10.88671875" style="576" customWidth="1"/>
    <col min="7174" max="7174" width="16.109375" style="576" customWidth="1"/>
    <col min="7175" max="7175" width="0" style="576" hidden="1" customWidth="1"/>
    <col min="7176" max="7176" width="15.44140625" style="576" customWidth="1"/>
    <col min="7177" max="7177" width="12.88671875" style="576" bestFit="1" customWidth="1"/>
    <col min="7178" max="7178" width="8.88671875" style="576"/>
    <col min="7179" max="7179" width="12.88671875" style="576" bestFit="1" customWidth="1"/>
    <col min="7180" max="7423" width="8.88671875" style="576"/>
    <col min="7424" max="7424" width="3.6640625" style="576" bestFit="1" customWidth="1"/>
    <col min="7425" max="7425" width="8.33203125" style="576" customWidth="1"/>
    <col min="7426" max="7426" width="46.109375" style="576" customWidth="1"/>
    <col min="7427" max="7427" width="11" style="576" customWidth="1"/>
    <col min="7428" max="7428" width="12.5546875" style="576" customWidth="1"/>
    <col min="7429" max="7429" width="10.88671875" style="576" customWidth="1"/>
    <col min="7430" max="7430" width="16.109375" style="576" customWidth="1"/>
    <col min="7431" max="7431" width="0" style="576" hidden="1" customWidth="1"/>
    <col min="7432" max="7432" width="15.44140625" style="576" customWidth="1"/>
    <col min="7433" max="7433" width="12.88671875" style="576" bestFit="1" customWidth="1"/>
    <col min="7434" max="7434" width="8.88671875" style="576"/>
    <col min="7435" max="7435" width="12.88671875" style="576" bestFit="1" customWidth="1"/>
    <col min="7436" max="7679" width="8.88671875" style="576"/>
    <col min="7680" max="7680" width="3.6640625" style="576" bestFit="1" customWidth="1"/>
    <col min="7681" max="7681" width="8.33203125" style="576" customWidth="1"/>
    <col min="7682" max="7682" width="46.109375" style="576" customWidth="1"/>
    <col min="7683" max="7683" width="11" style="576" customWidth="1"/>
    <col min="7684" max="7684" width="12.5546875" style="576" customWidth="1"/>
    <col min="7685" max="7685" width="10.88671875" style="576" customWidth="1"/>
    <col min="7686" max="7686" width="16.109375" style="576" customWidth="1"/>
    <col min="7687" max="7687" width="0" style="576" hidden="1" customWidth="1"/>
    <col min="7688" max="7688" width="15.44140625" style="576" customWidth="1"/>
    <col min="7689" max="7689" width="12.88671875" style="576" bestFit="1" customWidth="1"/>
    <col min="7690" max="7690" width="8.88671875" style="576"/>
    <col min="7691" max="7691" width="12.88671875" style="576" bestFit="1" customWidth="1"/>
    <col min="7692" max="7935" width="8.88671875" style="576"/>
    <col min="7936" max="7936" width="3.6640625" style="576" bestFit="1" customWidth="1"/>
    <col min="7937" max="7937" width="8.33203125" style="576" customWidth="1"/>
    <col min="7938" max="7938" width="46.109375" style="576" customWidth="1"/>
    <col min="7939" max="7939" width="11" style="576" customWidth="1"/>
    <col min="7940" max="7940" width="12.5546875" style="576" customWidth="1"/>
    <col min="7941" max="7941" width="10.88671875" style="576" customWidth="1"/>
    <col min="7942" max="7942" width="16.109375" style="576" customWidth="1"/>
    <col min="7943" max="7943" width="0" style="576" hidden="1" customWidth="1"/>
    <col min="7944" max="7944" width="15.44140625" style="576" customWidth="1"/>
    <col min="7945" max="7945" width="12.88671875" style="576" bestFit="1" customWidth="1"/>
    <col min="7946" max="7946" width="8.88671875" style="576"/>
    <col min="7947" max="7947" width="12.88671875" style="576" bestFit="1" customWidth="1"/>
    <col min="7948" max="8191" width="8.88671875" style="576"/>
    <col min="8192" max="8192" width="3.6640625" style="576" bestFit="1" customWidth="1"/>
    <col min="8193" max="8193" width="8.33203125" style="576" customWidth="1"/>
    <col min="8194" max="8194" width="46.109375" style="576" customWidth="1"/>
    <col min="8195" max="8195" width="11" style="576" customWidth="1"/>
    <col min="8196" max="8196" width="12.5546875" style="576" customWidth="1"/>
    <col min="8197" max="8197" width="10.88671875" style="576" customWidth="1"/>
    <col min="8198" max="8198" width="16.109375" style="576" customWidth="1"/>
    <col min="8199" max="8199" width="0" style="576" hidden="1" customWidth="1"/>
    <col min="8200" max="8200" width="15.44140625" style="576" customWidth="1"/>
    <col min="8201" max="8201" width="12.88671875" style="576" bestFit="1" customWidth="1"/>
    <col min="8202" max="8202" width="8.88671875" style="576"/>
    <col min="8203" max="8203" width="12.88671875" style="576" bestFit="1" customWidth="1"/>
    <col min="8204" max="8447" width="8.88671875" style="576"/>
    <col min="8448" max="8448" width="3.6640625" style="576" bestFit="1" customWidth="1"/>
    <col min="8449" max="8449" width="8.33203125" style="576" customWidth="1"/>
    <col min="8450" max="8450" width="46.109375" style="576" customWidth="1"/>
    <col min="8451" max="8451" width="11" style="576" customWidth="1"/>
    <col min="8452" max="8452" width="12.5546875" style="576" customWidth="1"/>
    <col min="8453" max="8453" width="10.88671875" style="576" customWidth="1"/>
    <col min="8454" max="8454" width="16.109375" style="576" customWidth="1"/>
    <col min="8455" max="8455" width="0" style="576" hidden="1" customWidth="1"/>
    <col min="8456" max="8456" width="15.44140625" style="576" customWidth="1"/>
    <col min="8457" max="8457" width="12.88671875" style="576" bestFit="1" customWidth="1"/>
    <col min="8458" max="8458" width="8.88671875" style="576"/>
    <col min="8459" max="8459" width="12.88671875" style="576" bestFit="1" customWidth="1"/>
    <col min="8460" max="8703" width="8.88671875" style="576"/>
    <col min="8704" max="8704" width="3.6640625" style="576" bestFit="1" customWidth="1"/>
    <col min="8705" max="8705" width="8.33203125" style="576" customWidth="1"/>
    <col min="8706" max="8706" width="46.109375" style="576" customWidth="1"/>
    <col min="8707" max="8707" width="11" style="576" customWidth="1"/>
    <col min="8708" max="8708" width="12.5546875" style="576" customWidth="1"/>
    <col min="8709" max="8709" width="10.88671875" style="576" customWidth="1"/>
    <col min="8710" max="8710" width="16.109375" style="576" customWidth="1"/>
    <col min="8711" max="8711" width="0" style="576" hidden="1" customWidth="1"/>
    <col min="8712" max="8712" width="15.44140625" style="576" customWidth="1"/>
    <col min="8713" max="8713" width="12.88671875" style="576" bestFit="1" customWidth="1"/>
    <col min="8714" max="8714" width="8.88671875" style="576"/>
    <col min="8715" max="8715" width="12.88671875" style="576" bestFit="1" customWidth="1"/>
    <col min="8716" max="8959" width="8.88671875" style="576"/>
    <col min="8960" max="8960" width="3.6640625" style="576" bestFit="1" customWidth="1"/>
    <col min="8961" max="8961" width="8.33203125" style="576" customWidth="1"/>
    <col min="8962" max="8962" width="46.109375" style="576" customWidth="1"/>
    <col min="8963" max="8963" width="11" style="576" customWidth="1"/>
    <col min="8964" max="8964" width="12.5546875" style="576" customWidth="1"/>
    <col min="8965" max="8965" width="10.88671875" style="576" customWidth="1"/>
    <col min="8966" max="8966" width="16.109375" style="576" customWidth="1"/>
    <col min="8967" max="8967" width="0" style="576" hidden="1" customWidth="1"/>
    <col min="8968" max="8968" width="15.44140625" style="576" customWidth="1"/>
    <col min="8969" max="8969" width="12.88671875" style="576" bestFit="1" customWidth="1"/>
    <col min="8970" max="8970" width="8.88671875" style="576"/>
    <col min="8971" max="8971" width="12.88671875" style="576" bestFit="1" customWidth="1"/>
    <col min="8972" max="9215" width="8.88671875" style="576"/>
    <col min="9216" max="9216" width="3.6640625" style="576" bestFit="1" customWidth="1"/>
    <col min="9217" max="9217" width="8.33203125" style="576" customWidth="1"/>
    <col min="9218" max="9218" width="46.109375" style="576" customWidth="1"/>
    <col min="9219" max="9219" width="11" style="576" customWidth="1"/>
    <col min="9220" max="9220" width="12.5546875" style="576" customWidth="1"/>
    <col min="9221" max="9221" width="10.88671875" style="576" customWidth="1"/>
    <col min="9222" max="9222" width="16.109375" style="576" customWidth="1"/>
    <col min="9223" max="9223" width="0" style="576" hidden="1" customWidth="1"/>
    <col min="9224" max="9224" width="15.44140625" style="576" customWidth="1"/>
    <col min="9225" max="9225" width="12.88671875" style="576" bestFit="1" customWidth="1"/>
    <col min="9226" max="9226" width="8.88671875" style="576"/>
    <col min="9227" max="9227" width="12.88671875" style="576" bestFit="1" customWidth="1"/>
    <col min="9228" max="9471" width="8.88671875" style="576"/>
    <col min="9472" max="9472" width="3.6640625" style="576" bestFit="1" customWidth="1"/>
    <col min="9473" max="9473" width="8.33203125" style="576" customWidth="1"/>
    <col min="9474" max="9474" width="46.109375" style="576" customWidth="1"/>
    <col min="9475" max="9475" width="11" style="576" customWidth="1"/>
    <col min="9476" max="9476" width="12.5546875" style="576" customWidth="1"/>
    <col min="9477" max="9477" width="10.88671875" style="576" customWidth="1"/>
    <col min="9478" max="9478" width="16.109375" style="576" customWidth="1"/>
    <col min="9479" max="9479" width="0" style="576" hidden="1" customWidth="1"/>
    <col min="9480" max="9480" width="15.44140625" style="576" customWidth="1"/>
    <col min="9481" max="9481" width="12.88671875" style="576" bestFit="1" customWidth="1"/>
    <col min="9482" max="9482" width="8.88671875" style="576"/>
    <col min="9483" max="9483" width="12.88671875" style="576" bestFit="1" customWidth="1"/>
    <col min="9484" max="9727" width="8.88671875" style="576"/>
    <col min="9728" max="9728" width="3.6640625" style="576" bestFit="1" customWidth="1"/>
    <col min="9729" max="9729" width="8.33203125" style="576" customWidth="1"/>
    <col min="9730" max="9730" width="46.109375" style="576" customWidth="1"/>
    <col min="9731" max="9731" width="11" style="576" customWidth="1"/>
    <col min="9732" max="9732" width="12.5546875" style="576" customWidth="1"/>
    <col min="9733" max="9733" width="10.88671875" style="576" customWidth="1"/>
    <col min="9734" max="9734" width="16.109375" style="576" customWidth="1"/>
    <col min="9735" max="9735" width="0" style="576" hidden="1" customWidth="1"/>
    <col min="9736" max="9736" width="15.44140625" style="576" customWidth="1"/>
    <col min="9737" max="9737" width="12.88671875" style="576" bestFit="1" customWidth="1"/>
    <col min="9738" max="9738" width="8.88671875" style="576"/>
    <col min="9739" max="9739" width="12.88671875" style="576" bestFit="1" customWidth="1"/>
    <col min="9740" max="9983" width="8.88671875" style="576"/>
    <col min="9984" max="9984" width="3.6640625" style="576" bestFit="1" customWidth="1"/>
    <col min="9985" max="9985" width="8.33203125" style="576" customWidth="1"/>
    <col min="9986" max="9986" width="46.109375" style="576" customWidth="1"/>
    <col min="9987" max="9987" width="11" style="576" customWidth="1"/>
    <col min="9988" max="9988" width="12.5546875" style="576" customWidth="1"/>
    <col min="9989" max="9989" width="10.88671875" style="576" customWidth="1"/>
    <col min="9990" max="9990" width="16.109375" style="576" customWidth="1"/>
    <col min="9991" max="9991" width="0" style="576" hidden="1" customWidth="1"/>
    <col min="9992" max="9992" width="15.44140625" style="576" customWidth="1"/>
    <col min="9993" max="9993" width="12.88671875" style="576" bestFit="1" customWidth="1"/>
    <col min="9994" max="9994" width="8.88671875" style="576"/>
    <col min="9995" max="9995" width="12.88671875" style="576" bestFit="1" customWidth="1"/>
    <col min="9996" max="10239" width="8.88671875" style="576"/>
    <col min="10240" max="10240" width="3.6640625" style="576" bestFit="1" customWidth="1"/>
    <col min="10241" max="10241" width="8.33203125" style="576" customWidth="1"/>
    <col min="10242" max="10242" width="46.109375" style="576" customWidth="1"/>
    <col min="10243" max="10243" width="11" style="576" customWidth="1"/>
    <col min="10244" max="10244" width="12.5546875" style="576" customWidth="1"/>
    <col min="10245" max="10245" width="10.88671875" style="576" customWidth="1"/>
    <col min="10246" max="10246" width="16.109375" style="576" customWidth="1"/>
    <col min="10247" max="10247" width="0" style="576" hidden="1" customWidth="1"/>
    <col min="10248" max="10248" width="15.44140625" style="576" customWidth="1"/>
    <col min="10249" max="10249" width="12.88671875" style="576" bestFit="1" customWidth="1"/>
    <col min="10250" max="10250" width="8.88671875" style="576"/>
    <col min="10251" max="10251" width="12.88671875" style="576" bestFit="1" customWidth="1"/>
    <col min="10252" max="10495" width="8.88671875" style="576"/>
    <col min="10496" max="10496" width="3.6640625" style="576" bestFit="1" customWidth="1"/>
    <col min="10497" max="10497" width="8.33203125" style="576" customWidth="1"/>
    <col min="10498" max="10498" width="46.109375" style="576" customWidth="1"/>
    <col min="10499" max="10499" width="11" style="576" customWidth="1"/>
    <col min="10500" max="10500" width="12.5546875" style="576" customWidth="1"/>
    <col min="10501" max="10501" width="10.88671875" style="576" customWidth="1"/>
    <col min="10502" max="10502" width="16.109375" style="576" customWidth="1"/>
    <col min="10503" max="10503" width="0" style="576" hidden="1" customWidth="1"/>
    <col min="10504" max="10504" width="15.44140625" style="576" customWidth="1"/>
    <col min="10505" max="10505" width="12.88671875" style="576" bestFit="1" customWidth="1"/>
    <col min="10506" max="10506" width="8.88671875" style="576"/>
    <col min="10507" max="10507" width="12.88671875" style="576" bestFit="1" customWidth="1"/>
    <col min="10508" max="10751" width="8.88671875" style="576"/>
    <col min="10752" max="10752" width="3.6640625" style="576" bestFit="1" customWidth="1"/>
    <col min="10753" max="10753" width="8.33203125" style="576" customWidth="1"/>
    <col min="10754" max="10754" width="46.109375" style="576" customWidth="1"/>
    <col min="10755" max="10755" width="11" style="576" customWidth="1"/>
    <col min="10756" max="10756" width="12.5546875" style="576" customWidth="1"/>
    <col min="10757" max="10757" width="10.88671875" style="576" customWidth="1"/>
    <col min="10758" max="10758" width="16.109375" style="576" customWidth="1"/>
    <col min="10759" max="10759" width="0" style="576" hidden="1" customWidth="1"/>
    <col min="10760" max="10760" width="15.44140625" style="576" customWidth="1"/>
    <col min="10761" max="10761" width="12.88671875" style="576" bestFit="1" customWidth="1"/>
    <col min="10762" max="10762" width="8.88671875" style="576"/>
    <col min="10763" max="10763" width="12.88671875" style="576" bestFit="1" customWidth="1"/>
    <col min="10764" max="11007" width="8.88671875" style="576"/>
    <col min="11008" max="11008" width="3.6640625" style="576" bestFit="1" customWidth="1"/>
    <col min="11009" max="11009" width="8.33203125" style="576" customWidth="1"/>
    <col min="11010" max="11010" width="46.109375" style="576" customWidth="1"/>
    <col min="11011" max="11011" width="11" style="576" customWidth="1"/>
    <col min="11012" max="11012" width="12.5546875" style="576" customWidth="1"/>
    <col min="11013" max="11013" width="10.88671875" style="576" customWidth="1"/>
    <col min="11014" max="11014" width="16.109375" style="576" customWidth="1"/>
    <col min="11015" max="11015" width="0" style="576" hidden="1" customWidth="1"/>
    <col min="11016" max="11016" width="15.44140625" style="576" customWidth="1"/>
    <col min="11017" max="11017" width="12.88671875" style="576" bestFit="1" customWidth="1"/>
    <col min="11018" max="11018" width="8.88671875" style="576"/>
    <col min="11019" max="11019" width="12.88671875" style="576" bestFit="1" customWidth="1"/>
    <col min="11020" max="11263" width="8.88671875" style="576"/>
    <col min="11264" max="11264" width="3.6640625" style="576" bestFit="1" customWidth="1"/>
    <col min="11265" max="11265" width="8.33203125" style="576" customWidth="1"/>
    <col min="11266" max="11266" width="46.109375" style="576" customWidth="1"/>
    <col min="11267" max="11267" width="11" style="576" customWidth="1"/>
    <col min="11268" max="11268" width="12.5546875" style="576" customWidth="1"/>
    <col min="11269" max="11269" width="10.88671875" style="576" customWidth="1"/>
    <col min="11270" max="11270" width="16.109375" style="576" customWidth="1"/>
    <col min="11271" max="11271" width="0" style="576" hidden="1" customWidth="1"/>
    <col min="11272" max="11272" width="15.44140625" style="576" customWidth="1"/>
    <col min="11273" max="11273" width="12.88671875" style="576" bestFit="1" customWidth="1"/>
    <col min="11274" max="11274" width="8.88671875" style="576"/>
    <col min="11275" max="11275" width="12.88671875" style="576" bestFit="1" customWidth="1"/>
    <col min="11276" max="11519" width="8.88671875" style="576"/>
    <col min="11520" max="11520" width="3.6640625" style="576" bestFit="1" customWidth="1"/>
    <col min="11521" max="11521" width="8.33203125" style="576" customWidth="1"/>
    <col min="11522" max="11522" width="46.109375" style="576" customWidth="1"/>
    <col min="11523" max="11523" width="11" style="576" customWidth="1"/>
    <col min="11524" max="11524" width="12.5546875" style="576" customWidth="1"/>
    <col min="11525" max="11525" width="10.88671875" style="576" customWidth="1"/>
    <col min="11526" max="11526" width="16.109375" style="576" customWidth="1"/>
    <col min="11527" max="11527" width="0" style="576" hidden="1" customWidth="1"/>
    <col min="11528" max="11528" width="15.44140625" style="576" customWidth="1"/>
    <col min="11529" max="11529" width="12.88671875" style="576" bestFit="1" customWidth="1"/>
    <col min="11530" max="11530" width="8.88671875" style="576"/>
    <col min="11531" max="11531" width="12.88671875" style="576" bestFit="1" customWidth="1"/>
    <col min="11532" max="11775" width="8.88671875" style="576"/>
    <col min="11776" max="11776" width="3.6640625" style="576" bestFit="1" customWidth="1"/>
    <col min="11777" max="11777" width="8.33203125" style="576" customWidth="1"/>
    <col min="11778" max="11778" width="46.109375" style="576" customWidth="1"/>
    <col min="11779" max="11779" width="11" style="576" customWidth="1"/>
    <col min="11780" max="11780" width="12.5546875" style="576" customWidth="1"/>
    <col min="11781" max="11781" width="10.88671875" style="576" customWidth="1"/>
    <col min="11782" max="11782" width="16.109375" style="576" customWidth="1"/>
    <col min="11783" max="11783" width="0" style="576" hidden="1" customWidth="1"/>
    <col min="11784" max="11784" width="15.44140625" style="576" customWidth="1"/>
    <col min="11785" max="11785" width="12.88671875" style="576" bestFit="1" customWidth="1"/>
    <col min="11786" max="11786" width="8.88671875" style="576"/>
    <col min="11787" max="11787" width="12.88671875" style="576" bestFit="1" customWidth="1"/>
    <col min="11788" max="12031" width="8.88671875" style="576"/>
    <col min="12032" max="12032" width="3.6640625" style="576" bestFit="1" customWidth="1"/>
    <col min="12033" max="12033" width="8.33203125" style="576" customWidth="1"/>
    <col min="12034" max="12034" width="46.109375" style="576" customWidth="1"/>
    <col min="12035" max="12035" width="11" style="576" customWidth="1"/>
    <col min="12036" max="12036" width="12.5546875" style="576" customWidth="1"/>
    <col min="12037" max="12037" width="10.88671875" style="576" customWidth="1"/>
    <col min="12038" max="12038" width="16.109375" style="576" customWidth="1"/>
    <col min="12039" max="12039" width="0" style="576" hidden="1" customWidth="1"/>
    <col min="12040" max="12040" width="15.44140625" style="576" customWidth="1"/>
    <col min="12041" max="12041" width="12.88671875" style="576" bestFit="1" customWidth="1"/>
    <col min="12042" max="12042" width="8.88671875" style="576"/>
    <col min="12043" max="12043" width="12.88671875" style="576" bestFit="1" customWidth="1"/>
    <col min="12044" max="12287" width="8.88671875" style="576"/>
    <col min="12288" max="12288" width="3.6640625" style="576" bestFit="1" customWidth="1"/>
    <col min="12289" max="12289" width="8.33203125" style="576" customWidth="1"/>
    <col min="12290" max="12290" width="46.109375" style="576" customWidth="1"/>
    <col min="12291" max="12291" width="11" style="576" customWidth="1"/>
    <col min="12292" max="12292" width="12.5546875" style="576" customWidth="1"/>
    <col min="12293" max="12293" width="10.88671875" style="576" customWidth="1"/>
    <col min="12294" max="12294" width="16.109375" style="576" customWidth="1"/>
    <col min="12295" max="12295" width="0" style="576" hidden="1" customWidth="1"/>
    <col min="12296" max="12296" width="15.44140625" style="576" customWidth="1"/>
    <col min="12297" max="12297" width="12.88671875" style="576" bestFit="1" customWidth="1"/>
    <col min="12298" max="12298" width="8.88671875" style="576"/>
    <col min="12299" max="12299" width="12.88671875" style="576" bestFit="1" customWidth="1"/>
    <col min="12300" max="12543" width="8.88671875" style="576"/>
    <col min="12544" max="12544" width="3.6640625" style="576" bestFit="1" customWidth="1"/>
    <col min="12545" max="12545" width="8.33203125" style="576" customWidth="1"/>
    <col min="12546" max="12546" width="46.109375" style="576" customWidth="1"/>
    <col min="12547" max="12547" width="11" style="576" customWidth="1"/>
    <col min="12548" max="12548" width="12.5546875" style="576" customWidth="1"/>
    <col min="12549" max="12549" width="10.88671875" style="576" customWidth="1"/>
    <col min="12550" max="12550" width="16.109375" style="576" customWidth="1"/>
    <col min="12551" max="12551" width="0" style="576" hidden="1" customWidth="1"/>
    <col min="12552" max="12552" width="15.44140625" style="576" customWidth="1"/>
    <col min="12553" max="12553" width="12.88671875" style="576" bestFit="1" customWidth="1"/>
    <col min="12554" max="12554" width="8.88671875" style="576"/>
    <col min="12555" max="12555" width="12.88671875" style="576" bestFit="1" customWidth="1"/>
    <col min="12556" max="12799" width="8.88671875" style="576"/>
    <col min="12800" max="12800" width="3.6640625" style="576" bestFit="1" customWidth="1"/>
    <col min="12801" max="12801" width="8.33203125" style="576" customWidth="1"/>
    <col min="12802" max="12802" width="46.109375" style="576" customWidth="1"/>
    <col min="12803" max="12803" width="11" style="576" customWidth="1"/>
    <col min="12804" max="12804" width="12.5546875" style="576" customWidth="1"/>
    <col min="12805" max="12805" width="10.88671875" style="576" customWidth="1"/>
    <col min="12806" max="12806" width="16.109375" style="576" customWidth="1"/>
    <col min="12807" max="12807" width="0" style="576" hidden="1" customWidth="1"/>
    <col min="12808" max="12808" width="15.44140625" style="576" customWidth="1"/>
    <col min="12809" max="12809" width="12.88671875" style="576" bestFit="1" customWidth="1"/>
    <col min="12810" max="12810" width="8.88671875" style="576"/>
    <col min="12811" max="12811" width="12.88671875" style="576" bestFit="1" customWidth="1"/>
    <col min="12812" max="13055" width="8.88671875" style="576"/>
    <col min="13056" max="13056" width="3.6640625" style="576" bestFit="1" customWidth="1"/>
    <col min="13057" max="13057" width="8.33203125" style="576" customWidth="1"/>
    <col min="13058" max="13058" width="46.109375" style="576" customWidth="1"/>
    <col min="13059" max="13059" width="11" style="576" customWidth="1"/>
    <col min="13060" max="13060" width="12.5546875" style="576" customWidth="1"/>
    <col min="13061" max="13061" width="10.88671875" style="576" customWidth="1"/>
    <col min="13062" max="13062" width="16.109375" style="576" customWidth="1"/>
    <col min="13063" max="13063" width="0" style="576" hidden="1" customWidth="1"/>
    <col min="13064" max="13064" width="15.44140625" style="576" customWidth="1"/>
    <col min="13065" max="13065" width="12.88671875" style="576" bestFit="1" customWidth="1"/>
    <col min="13066" max="13066" width="8.88671875" style="576"/>
    <col min="13067" max="13067" width="12.88671875" style="576" bestFit="1" customWidth="1"/>
    <col min="13068" max="13311" width="8.88671875" style="576"/>
    <col min="13312" max="13312" width="3.6640625" style="576" bestFit="1" customWidth="1"/>
    <col min="13313" max="13313" width="8.33203125" style="576" customWidth="1"/>
    <col min="13314" max="13314" width="46.109375" style="576" customWidth="1"/>
    <col min="13315" max="13315" width="11" style="576" customWidth="1"/>
    <col min="13316" max="13316" width="12.5546875" style="576" customWidth="1"/>
    <col min="13317" max="13317" width="10.88671875" style="576" customWidth="1"/>
    <col min="13318" max="13318" width="16.109375" style="576" customWidth="1"/>
    <col min="13319" max="13319" width="0" style="576" hidden="1" customWidth="1"/>
    <col min="13320" max="13320" width="15.44140625" style="576" customWidth="1"/>
    <col min="13321" max="13321" width="12.88671875" style="576" bestFit="1" customWidth="1"/>
    <col min="13322" max="13322" width="8.88671875" style="576"/>
    <col min="13323" max="13323" width="12.88671875" style="576" bestFit="1" customWidth="1"/>
    <col min="13324" max="13567" width="8.88671875" style="576"/>
    <col min="13568" max="13568" width="3.6640625" style="576" bestFit="1" customWidth="1"/>
    <col min="13569" max="13569" width="8.33203125" style="576" customWidth="1"/>
    <col min="13570" max="13570" width="46.109375" style="576" customWidth="1"/>
    <col min="13571" max="13571" width="11" style="576" customWidth="1"/>
    <col min="13572" max="13572" width="12.5546875" style="576" customWidth="1"/>
    <col min="13573" max="13573" width="10.88671875" style="576" customWidth="1"/>
    <col min="13574" max="13574" width="16.109375" style="576" customWidth="1"/>
    <col min="13575" max="13575" width="0" style="576" hidden="1" customWidth="1"/>
    <col min="13576" max="13576" width="15.44140625" style="576" customWidth="1"/>
    <col min="13577" max="13577" width="12.88671875" style="576" bestFit="1" customWidth="1"/>
    <col min="13578" max="13578" width="8.88671875" style="576"/>
    <col min="13579" max="13579" width="12.88671875" style="576" bestFit="1" customWidth="1"/>
    <col min="13580" max="13823" width="8.88671875" style="576"/>
    <col min="13824" max="13824" width="3.6640625" style="576" bestFit="1" customWidth="1"/>
    <col min="13825" max="13825" width="8.33203125" style="576" customWidth="1"/>
    <col min="13826" max="13826" width="46.109375" style="576" customWidth="1"/>
    <col min="13827" max="13827" width="11" style="576" customWidth="1"/>
    <col min="13828" max="13828" width="12.5546875" style="576" customWidth="1"/>
    <col min="13829" max="13829" width="10.88671875" style="576" customWidth="1"/>
    <col min="13830" max="13830" width="16.109375" style="576" customWidth="1"/>
    <col min="13831" max="13831" width="0" style="576" hidden="1" customWidth="1"/>
    <col min="13832" max="13832" width="15.44140625" style="576" customWidth="1"/>
    <col min="13833" max="13833" width="12.88671875" style="576" bestFit="1" customWidth="1"/>
    <col min="13834" max="13834" width="8.88671875" style="576"/>
    <col min="13835" max="13835" width="12.88671875" style="576" bestFit="1" customWidth="1"/>
    <col min="13836" max="14079" width="8.88671875" style="576"/>
    <col min="14080" max="14080" width="3.6640625" style="576" bestFit="1" customWidth="1"/>
    <col min="14081" max="14081" width="8.33203125" style="576" customWidth="1"/>
    <col min="14082" max="14082" width="46.109375" style="576" customWidth="1"/>
    <col min="14083" max="14083" width="11" style="576" customWidth="1"/>
    <col min="14084" max="14084" width="12.5546875" style="576" customWidth="1"/>
    <col min="14085" max="14085" width="10.88671875" style="576" customWidth="1"/>
    <col min="14086" max="14086" width="16.109375" style="576" customWidth="1"/>
    <col min="14087" max="14087" width="0" style="576" hidden="1" customWidth="1"/>
    <col min="14088" max="14088" width="15.44140625" style="576" customWidth="1"/>
    <col min="14089" max="14089" width="12.88671875" style="576" bestFit="1" customWidth="1"/>
    <col min="14090" max="14090" width="8.88671875" style="576"/>
    <col min="14091" max="14091" width="12.88671875" style="576" bestFit="1" customWidth="1"/>
    <col min="14092" max="14335" width="8.88671875" style="576"/>
    <col min="14336" max="14336" width="3.6640625" style="576" bestFit="1" customWidth="1"/>
    <col min="14337" max="14337" width="8.33203125" style="576" customWidth="1"/>
    <col min="14338" max="14338" width="46.109375" style="576" customWidth="1"/>
    <col min="14339" max="14339" width="11" style="576" customWidth="1"/>
    <col min="14340" max="14340" width="12.5546875" style="576" customWidth="1"/>
    <col min="14341" max="14341" width="10.88671875" style="576" customWidth="1"/>
    <col min="14342" max="14342" width="16.109375" style="576" customWidth="1"/>
    <col min="14343" max="14343" width="0" style="576" hidden="1" customWidth="1"/>
    <col min="14344" max="14344" width="15.44140625" style="576" customWidth="1"/>
    <col min="14345" max="14345" width="12.88671875" style="576" bestFit="1" customWidth="1"/>
    <col min="14346" max="14346" width="8.88671875" style="576"/>
    <col min="14347" max="14347" width="12.88671875" style="576" bestFit="1" customWidth="1"/>
    <col min="14348" max="14591" width="8.88671875" style="576"/>
    <col min="14592" max="14592" width="3.6640625" style="576" bestFit="1" customWidth="1"/>
    <col min="14593" max="14593" width="8.33203125" style="576" customWidth="1"/>
    <col min="14594" max="14594" width="46.109375" style="576" customWidth="1"/>
    <col min="14595" max="14595" width="11" style="576" customWidth="1"/>
    <col min="14596" max="14596" width="12.5546875" style="576" customWidth="1"/>
    <col min="14597" max="14597" width="10.88671875" style="576" customWidth="1"/>
    <col min="14598" max="14598" width="16.109375" style="576" customWidth="1"/>
    <col min="14599" max="14599" width="0" style="576" hidden="1" customWidth="1"/>
    <col min="14600" max="14600" width="15.44140625" style="576" customWidth="1"/>
    <col min="14601" max="14601" width="12.88671875" style="576" bestFit="1" customWidth="1"/>
    <col min="14602" max="14602" width="8.88671875" style="576"/>
    <col min="14603" max="14603" width="12.88671875" style="576" bestFit="1" customWidth="1"/>
    <col min="14604" max="14847" width="8.88671875" style="576"/>
    <col min="14848" max="14848" width="3.6640625" style="576" bestFit="1" customWidth="1"/>
    <col min="14849" max="14849" width="8.33203125" style="576" customWidth="1"/>
    <col min="14850" max="14850" width="46.109375" style="576" customWidth="1"/>
    <col min="14851" max="14851" width="11" style="576" customWidth="1"/>
    <col min="14852" max="14852" width="12.5546875" style="576" customWidth="1"/>
    <col min="14853" max="14853" width="10.88671875" style="576" customWidth="1"/>
    <col min="14854" max="14854" width="16.109375" style="576" customWidth="1"/>
    <col min="14855" max="14855" width="0" style="576" hidden="1" customWidth="1"/>
    <col min="14856" max="14856" width="15.44140625" style="576" customWidth="1"/>
    <col min="14857" max="14857" width="12.88671875" style="576" bestFit="1" customWidth="1"/>
    <col min="14858" max="14858" width="8.88671875" style="576"/>
    <col min="14859" max="14859" width="12.88671875" style="576" bestFit="1" customWidth="1"/>
    <col min="14860" max="15103" width="8.88671875" style="576"/>
    <col min="15104" max="15104" width="3.6640625" style="576" bestFit="1" customWidth="1"/>
    <col min="15105" max="15105" width="8.33203125" style="576" customWidth="1"/>
    <col min="15106" max="15106" width="46.109375" style="576" customWidth="1"/>
    <col min="15107" max="15107" width="11" style="576" customWidth="1"/>
    <col min="15108" max="15108" width="12.5546875" style="576" customWidth="1"/>
    <col min="15109" max="15109" width="10.88671875" style="576" customWidth="1"/>
    <col min="15110" max="15110" width="16.109375" style="576" customWidth="1"/>
    <col min="15111" max="15111" width="0" style="576" hidden="1" customWidth="1"/>
    <col min="15112" max="15112" width="15.44140625" style="576" customWidth="1"/>
    <col min="15113" max="15113" width="12.88671875" style="576" bestFit="1" customWidth="1"/>
    <col min="15114" max="15114" width="8.88671875" style="576"/>
    <col min="15115" max="15115" width="12.88671875" style="576" bestFit="1" customWidth="1"/>
    <col min="15116" max="15359" width="8.88671875" style="576"/>
    <col min="15360" max="15360" width="3.6640625" style="576" bestFit="1" customWidth="1"/>
    <col min="15361" max="15361" width="8.33203125" style="576" customWidth="1"/>
    <col min="15362" max="15362" width="46.109375" style="576" customWidth="1"/>
    <col min="15363" max="15363" width="11" style="576" customWidth="1"/>
    <col min="15364" max="15364" width="12.5546875" style="576" customWidth="1"/>
    <col min="15365" max="15365" width="10.88671875" style="576" customWidth="1"/>
    <col min="15366" max="15366" width="16.109375" style="576" customWidth="1"/>
    <col min="15367" max="15367" width="0" style="576" hidden="1" customWidth="1"/>
    <col min="15368" max="15368" width="15.44140625" style="576" customWidth="1"/>
    <col min="15369" max="15369" width="12.88671875" style="576" bestFit="1" customWidth="1"/>
    <col min="15370" max="15370" width="8.88671875" style="576"/>
    <col min="15371" max="15371" width="12.88671875" style="576" bestFit="1" customWidth="1"/>
    <col min="15372" max="15615" width="8.88671875" style="576"/>
    <col min="15616" max="15616" width="3.6640625" style="576" bestFit="1" customWidth="1"/>
    <col min="15617" max="15617" width="8.33203125" style="576" customWidth="1"/>
    <col min="15618" max="15618" width="46.109375" style="576" customWidth="1"/>
    <col min="15619" max="15619" width="11" style="576" customWidth="1"/>
    <col min="15620" max="15620" width="12.5546875" style="576" customWidth="1"/>
    <col min="15621" max="15621" width="10.88671875" style="576" customWidth="1"/>
    <col min="15622" max="15622" width="16.109375" style="576" customWidth="1"/>
    <col min="15623" max="15623" width="0" style="576" hidden="1" customWidth="1"/>
    <col min="15624" max="15624" width="15.44140625" style="576" customWidth="1"/>
    <col min="15625" max="15625" width="12.88671875" style="576" bestFit="1" customWidth="1"/>
    <col min="15626" max="15626" width="8.88671875" style="576"/>
    <col min="15627" max="15627" width="12.88671875" style="576" bestFit="1" customWidth="1"/>
    <col min="15628" max="15871" width="8.88671875" style="576"/>
    <col min="15872" max="15872" width="3.6640625" style="576" bestFit="1" customWidth="1"/>
    <col min="15873" max="15873" width="8.33203125" style="576" customWidth="1"/>
    <col min="15874" max="15874" width="46.109375" style="576" customWidth="1"/>
    <col min="15875" max="15875" width="11" style="576" customWidth="1"/>
    <col min="15876" max="15876" width="12.5546875" style="576" customWidth="1"/>
    <col min="15877" max="15877" width="10.88671875" style="576" customWidth="1"/>
    <col min="15878" max="15878" width="16.109375" style="576" customWidth="1"/>
    <col min="15879" max="15879" width="0" style="576" hidden="1" customWidth="1"/>
    <col min="15880" max="15880" width="15.44140625" style="576" customWidth="1"/>
    <col min="15881" max="15881" width="12.88671875" style="576" bestFit="1" customWidth="1"/>
    <col min="15882" max="15882" width="8.88671875" style="576"/>
    <col min="15883" max="15883" width="12.88671875" style="576" bestFit="1" customWidth="1"/>
    <col min="15884" max="16127" width="8.88671875" style="576"/>
    <col min="16128" max="16128" width="3.6640625" style="576" bestFit="1" customWidth="1"/>
    <col min="16129" max="16129" width="8.33203125" style="576" customWidth="1"/>
    <col min="16130" max="16130" width="46.109375" style="576" customWidth="1"/>
    <col min="16131" max="16131" width="11" style="576" customWidth="1"/>
    <col min="16132" max="16132" width="12.5546875" style="576" customWidth="1"/>
    <col min="16133" max="16133" width="10.88671875" style="576" customWidth="1"/>
    <col min="16134" max="16134" width="16.109375" style="576" customWidth="1"/>
    <col min="16135" max="16135" width="0" style="576" hidden="1" customWidth="1"/>
    <col min="16136" max="16136" width="15.44140625" style="576" customWidth="1"/>
    <col min="16137" max="16137" width="12.88671875" style="576" bestFit="1" customWidth="1"/>
    <col min="16138" max="16138" width="8.88671875" style="576"/>
    <col min="16139" max="16139" width="12.88671875" style="576" bestFit="1" customWidth="1"/>
    <col min="16140" max="16384" width="8.88671875" style="576"/>
  </cols>
  <sheetData>
    <row r="1" spans="1:10" s="27" customFormat="1" ht="83.25" customHeight="1" thickBot="1">
      <c r="A1" s="984" t="s">
        <v>1215</v>
      </c>
      <c r="B1" s="985"/>
      <c r="C1" s="985"/>
      <c r="D1" s="986" t="str">
        <f>'Bill No 8.2.1 '!D1:G1</f>
        <v>REDUCTION OF LANDSLIDE VULNERABILITY BY MITIGATION MEASURES  PUNCHIMIRISKANDA- Site No. 83 -LOCATION 02</v>
      </c>
      <c r="E1" s="986"/>
      <c r="F1" s="986"/>
      <c r="G1" s="987"/>
    </row>
    <row r="2" spans="1:10" s="582" customFormat="1" ht="15" customHeight="1">
      <c r="A2" s="988" t="s">
        <v>11</v>
      </c>
      <c r="B2" s="989" t="s">
        <v>12</v>
      </c>
      <c r="C2" s="886" t="s">
        <v>8</v>
      </c>
      <c r="D2" s="886" t="s">
        <v>13</v>
      </c>
      <c r="E2" s="994" t="s">
        <v>14</v>
      </c>
      <c r="F2" s="992" t="s">
        <v>15</v>
      </c>
      <c r="G2" s="993" t="s">
        <v>16</v>
      </c>
      <c r="I2" s="583"/>
    </row>
    <row r="3" spans="1:10" s="582" customFormat="1" ht="15" customHeight="1">
      <c r="A3" s="884"/>
      <c r="B3" s="886"/>
      <c r="C3" s="887"/>
      <c r="D3" s="887"/>
      <c r="E3" s="995"/>
      <c r="F3" s="888"/>
      <c r="G3" s="889"/>
      <c r="I3" s="584"/>
    </row>
    <row r="4" spans="1:10" s="582" customFormat="1" ht="24.9" customHeight="1">
      <c r="A4" s="434" t="s">
        <v>1225</v>
      </c>
      <c r="B4" s="723"/>
      <c r="C4" s="435" t="s">
        <v>1146</v>
      </c>
      <c r="D4" s="723"/>
      <c r="E4" s="695"/>
      <c r="F4" s="585"/>
      <c r="G4" s="792"/>
      <c r="H4" s="586"/>
      <c r="I4" s="584"/>
    </row>
    <row r="5" spans="1:10" s="588" customFormat="1" ht="35.1" customHeight="1">
      <c r="A5" s="222" t="s">
        <v>1226</v>
      </c>
      <c r="B5" s="350" t="s">
        <v>1148</v>
      </c>
      <c r="C5" s="353" t="s">
        <v>223</v>
      </c>
      <c r="D5" s="46" t="s">
        <v>28</v>
      </c>
      <c r="E5" s="238">
        <v>175</v>
      </c>
      <c r="F5" s="439"/>
      <c r="G5" s="793"/>
      <c r="H5" s="587"/>
      <c r="I5" s="584">
        <f>'QTY83.2'!J20</f>
        <v>103.55000000000001</v>
      </c>
    </row>
    <row r="6" spans="1:10" s="588" customFormat="1" ht="35.1" customHeight="1">
      <c r="A6" s="222" t="s">
        <v>1227</v>
      </c>
      <c r="B6" s="52" t="s">
        <v>224</v>
      </c>
      <c r="C6" s="353" t="s">
        <v>225</v>
      </c>
      <c r="D6" s="46" t="s">
        <v>28</v>
      </c>
      <c r="E6" s="238">
        <v>50</v>
      </c>
      <c r="F6" s="439"/>
      <c r="G6" s="793"/>
      <c r="H6" s="587">
        <f t="shared" ref="H6" si="0">F6*0.897728</f>
        <v>0</v>
      </c>
      <c r="I6" s="584"/>
    </row>
    <row r="7" spans="1:10" s="588" customFormat="1" ht="35.1" customHeight="1">
      <c r="A7" s="222" t="s">
        <v>1228</v>
      </c>
      <c r="B7" s="52" t="s">
        <v>226</v>
      </c>
      <c r="C7" s="353" t="s">
        <v>1151</v>
      </c>
      <c r="D7" s="46" t="s">
        <v>28</v>
      </c>
      <c r="E7" s="238">
        <v>30</v>
      </c>
      <c r="F7" s="439"/>
      <c r="G7" s="793"/>
      <c r="H7" s="587"/>
      <c r="I7" s="584"/>
    </row>
    <row r="8" spans="1:10" s="588" customFormat="1" ht="35.1" customHeight="1">
      <c r="A8" s="222" t="s">
        <v>1229</v>
      </c>
      <c r="B8" s="52" t="s">
        <v>228</v>
      </c>
      <c r="C8" s="589" t="s">
        <v>35</v>
      </c>
      <c r="D8" s="46" t="s">
        <v>28</v>
      </c>
      <c r="E8" s="238">
        <v>175</v>
      </c>
      <c r="F8" s="633"/>
      <c r="G8" s="793"/>
      <c r="H8" s="40"/>
      <c r="I8" s="584">
        <f>'QTY83.2'!J12</f>
        <v>70.53</v>
      </c>
    </row>
    <row r="9" spans="1:10" s="588" customFormat="1" ht="24.9" customHeight="1">
      <c r="A9" s="794" t="s">
        <v>1230</v>
      </c>
      <c r="B9" s="46"/>
      <c r="C9" s="591" t="s">
        <v>29</v>
      </c>
      <c r="D9" s="46"/>
      <c r="E9" s="539"/>
      <c r="F9" s="57"/>
      <c r="G9" s="367"/>
      <c r="I9" s="584"/>
    </row>
    <row r="10" spans="1:10" s="588" customFormat="1" ht="39.75" customHeight="1">
      <c r="A10" s="736" t="s">
        <v>1231</v>
      </c>
      <c r="B10" s="46" t="s">
        <v>30</v>
      </c>
      <c r="C10" s="589" t="s">
        <v>1232</v>
      </c>
      <c r="D10" s="46" t="s">
        <v>28</v>
      </c>
      <c r="E10" s="539">
        <v>113</v>
      </c>
      <c r="F10" s="57"/>
      <c r="G10" s="367"/>
      <c r="I10" s="584">
        <f>Drains83.2!H106+Drains83.2!H112+Drains83.2!H113+Drains83.2!H161+Drains83.2!H206</f>
        <v>112.72157500000002</v>
      </c>
    </row>
    <row r="11" spans="1:10" s="588" customFormat="1" ht="35.1" customHeight="1">
      <c r="A11" s="736" t="s">
        <v>1233</v>
      </c>
      <c r="B11" s="52" t="s">
        <v>30</v>
      </c>
      <c r="C11" s="589" t="s">
        <v>1158</v>
      </c>
      <c r="D11" s="46" t="s">
        <v>28</v>
      </c>
      <c r="E11" s="539">
        <v>221</v>
      </c>
      <c r="F11" s="57"/>
      <c r="G11" s="367"/>
      <c r="I11" s="584">
        <f>'QTY83.2'!J26</f>
        <v>220.45999999999998</v>
      </c>
    </row>
    <row r="12" spans="1:10" s="588" customFormat="1" ht="36" customHeight="1">
      <c r="A12" s="736" t="s">
        <v>1234</v>
      </c>
      <c r="B12" s="634" t="s">
        <v>32</v>
      </c>
      <c r="C12" s="353" t="s">
        <v>225</v>
      </c>
      <c r="D12" s="46" t="s">
        <v>28</v>
      </c>
      <c r="E12" s="238">
        <v>25</v>
      </c>
      <c r="F12" s="439"/>
      <c r="G12" s="367"/>
      <c r="I12" s="584"/>
    </row>
    <row r="13" spans="1:10" s="588" customFormat="1" ht="35.1" customHeight="1">
      <c r="A13" s="736" t="s">
        <v>1235</v>
      </c>
      <c r="B13" s="634" t="s">
        <v>33</v>
      </c>
      <c r="C13" s="353" t="s">
        <v>1151</v>
      </c>
      <c r="D13" s="46" t="s">
        <v>28</v>
      </c>
      <c r="E13" s="238">
        <v>10</v>
      </c>
      <c r="F13" s="439"/>
      <c r="G13" s="367"/>
      <c r="I13" s="584"/>
    </row>
    <row r="14" spans="1:10" s="27" customFormat="1" ht="24.9" customHeight="1">
      <c r="A14" s="736" t="s">
        <v>1236</v>
      </c>
      <c r="B14" s="634" t="s">
        <v>418</v>
      </c>
      <c r="C14" s="795" t="s">
        <v>1237</v>
      </c>
      <c r="D14" s="350" t="s">
        <v>28</v>
      </c>
      <c r="E14" s="539">
        <v>100</v>
      </c>
      <c r="F14" s="57"/>
      <c r="G14" s="367"/>
      <c r="I14" s="569">
        <f>'QTY83.2'!J31</f>
        <v>73.11</v>
      </c>
      <c r="J14" s="592"/>
    </row>
    <row r="15" spans="1:10" s="27" customFormat="1" ht="24.9" customHeight="1">
      <c r="A15" s="736" t="s">
        <v>1238</v>
      </c>
      <c r="B15" s="634" t="s">
        <v>34</v>
      </c>
      <c r="C15" s="795" t="s">
        <v>1164</v>
      </c>
      <c r="D15" s="46" t="s">
        <v>28</v>
      </c>
      <c r="E15" s="238">
        <v>145</v>
      </c>
      <c r="F15" s="633"/>
      <c r="G15" s="793"/>
      <c r="I15" s="569">
        <f>E11-E14</f>
        <v>121</v>
      </c>
      <c r="J15" s="592"/>
    </row>
    <row r="16" spans="1:10" s="595" customFormat="1" ht="49.5" customHeight="1" thickBot="1">
      <c r="A16" s="570"/>
      <c r="B16" s="981" t="s">
        <v>1239</v>
      </c>
      <c r="C16" s="982"/>
      <c r="D16" s="982"/>
      <c r="E16" s="982"/>
      <c r="F16" s="983"/>
      <c r="G16" s="571"/>
      <c r="H16" s="593"/>
      <c r="I16" s="594"/>
    </row>
    <row r="17" spans="1:7" ht="13.2">
      <c r="A17" s="574"/>
      <c r="B17" s="574"/>
      <c r="C17" s="565"/>
      <c r="D17" s="574"/>
      <c r="E17" s="701"/>
      <c r="F17" s="575"/>
      <c r="G17" s="575"/>
    </row>
    <row r="18" spans="1:7" ht="13.2">
      <c r="A18" s="577"/>
      <c r="B18" s="574"/>
      <c r="C18" s="565"/>
      <c r="D18" s="574"/>
      <c r="E18" s="701"/>
      <c r="F18" s="575"/>
      <c r="G18" s="575"/>
    </row>
    <row r="19" spans="1:7" ht="13.2">
      <c r="A19" s="574"/>
      <c r="B19" s="574"/>
      <c r="C19" s="565"/>
      <c r="D19" s="574"/>
      <c r="E19" s="701"/>
      <c r="F19" s="575"/>
      <c r="G19" s="575"/>
    </row>
    <row r="20" spans="1:7">
      <c r="A20" s="578"/>
      <c r="B20" s="574"/>
      <c r="C20" s="565"/>
      <c r="D20" s="574"/>
      <c r="E20" s="701"/>
      <c r="F20" s="575"/>
      <c r="G20" s="575"/>
    </row>
    <row r="21" spans="1:7">
      <c r="A21" s="579"/>
      <c r="B21" s="574"/>
      <c r="C21" s="565"/>
      <c r="D21" s="574"/>
      <c r="E21" s="701"/>
      <c r="F21" s="575"/>
      <c r="G21" s="575"/>
    </row>
    <row r="22" spans="1:7">
      <c r="A22" s="578"/>
      <c r="B22" s="574"/>
      <c r="C22" s="565"/>
      <c r="D22" s="574"/>
      <c r="E22" s="701"/>
      <c r="F22" s="575"/>
      <c r="G22" s="575"/>
    </row>
    <row r="23" spans="1:7">
      <c r="B23" s="574"/>
      <c r="C23" s="565"/>
      <c r="D23" s="574"/>
      <c r="E23" s="701"/>
      <c r="F23" s="575"/>
      <c r="G23" s="575"/>
    </row>
    <row r="24" spans="1:7">
      <c r="B24" s="574"/>
      <c r="C24" s="565"/>
      <c r="D24" s="574"/>
      <c r="E24" s="701"/>
      <c r="F24" s="575"/>
      <c r="G24" s="575"/>
    </row>
    <row r="25" spans="1:7">
      <c r="B25" s="574"/>
      <c r="C25" s="565"/>
      <c r="D25" s="574"/>
      <c r="E25" s="701"/>
      <c r="F25" s="575"/>
      <c r="G25" s="575"/>
    </row>
    <row r="26" spans="1:7">
      <c r="B26" s="574"/>
      <c r="C26" s="565"/>
      <c r="D26" s="574"/>
      <c r="E26" s="701"/>
      <c r="F26" s="575"/>
      <c r="G26" s="575"/>
    </row>
    <row r="27" spans="1:7">
      <c r="B27" s="574"/>
      <c r="C27" s="565"/>
      <c r="D27" s="574"/>
      <c r="E27" s="701"/>
      <c r="F27" s="575"/>
      <c r="G27" s="575"/>
    </row>
    <row r="28" spans="1:7">
      <c r="B28" s="574"/>
      <c r="C28" s="565"/>
      <c r="D28" s="574"/>
      <c r="E28" s="701"/>
      <c r="F28" s="575"/>
      <c r="G28" s="575"/>
    </row>
    <row r="29" spans="1:7">
      <c r="B29" s="574"/>
      <c r="C29" s="565"/>
      <c r="D29" s="574"/>
      <c r="E29" s="701"/>
      <c r="F29" s="575"/>
      <c r="G29" s="575"/>
    </row>
    <row r="30" spans="1:7">
      <c r="B30" s="574"/>
      <c r="C30" s="565"/>
      <c r="D30" s="574"/>
      <c r="E30" s="701"/>
      <c r="F30" s="575"/>
      <c r="G30" s="575"/>
    </row>
    <row r="31" spans="1:7">
      <c r="B31" s="574"/>
      <c r="C31" s="565"/>
      <c r="D31" s="574"/>
      <c r="E31" s="701"/>
      <c r="F31" s="575"/>
      <c r="G31" s="575"/>
    </row>
    <row r="32" spans="1:7">
      <c r="B32" s="574"/>
      <c r="C32" s="565"/>
      <c r="D32" s="574"/>
      <c r="E32" s="701"/>
      <c r="F32" s="575"/>
      <c r="G32" s="575"/>
    </row>
    <row r="33" spans="2:7">
      <c r="B33" s="574"/>
      <c r="C33" s="565"/>
      <c r="D33" s="574"/>
      <c r="E33" s="701"/>
      <c r="F33" s="575"/>
      <c r="G33" s="575"/>
    </row>
  </sheetData>
  <mergeCells count="10">
    <mergeCell ref="B16:F16"/>
    <mergeCell ref="A1:C1"/>
    <mergeCell ref="D1:G1"/>
    <mergeCell ref="A2:A3"/>
    <mergeCell ref="B2:B3"/>
    <mergeCell ref="C2:C3"/>
    <mergeCell ref="D2:D3"/>
    <mergeCell ref="E2:E3"/>
    <mergeCell ref="F2:F3"/>
    <mergeCell ref="G2:G3"/>
  </mergeCells>
  <printOptions horizontalCentered="1"/>
  <pageMargins left="0.75" right="0.4" top="0.75" bottom="0.5" header="0" footer="0"/>
  <pageSetup paperSize="9" scale="70" fitToHeight="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8681F-AABB-45DC-A665-EDF602B5AC11}">
  <sheetPr>
    <tabColor rgb="FF00B0F0"/>
  </sheetPr>
  <dimension ref="A1:U31"/>
  <sheetViews>
    <sheetView view="pageBreakPreview" zoomScale="87" zoomScaleNormal="100" zoomScaleSheetLayoutView="87" workbookViewId="0">
      <pane ySplit="3" topLeftCell="A13" activePane="bottomLeft" state="frozen"/>
      <selection activeCell="E36" sqref="E36"/>
      <selection pane="bottomLeft" activeCell="M25" sqref="M25"/>
    </sheetView>
  </sheetViews>
  <sheetFormatPr defaultColWidth="8.88671875" defaultRowHeight="13.8"/>
  <cols>
    <col min="1" max="1" width="8.6640625" style="596" customWidth="1"/>
    <col min="2" max="2" width="10.6640625" style="580" customWidth="1"/>
    <col min="3" max="3" width="50.6640625" style="576" customWidth="1"/>
    <col min="4" max="4" width="7.6640625" style="580" customWidth="1"/>
    <col min="5" max="5" width="8.6640625" style="704" customWidth="1"/>
    <col min="6" max="6" width="15.88671875" style="581" customWidth="1"/>
    <col min="7" max="7" width="18.88671875" style="581" customWidth="1"/>
    <col min="8" max="8" width="12.109375" style="576" hidden="1" customWidth="1"/>
    <col min="9" max="9" width="12.88671875" style="612" hidden="1" customWidth="1"/>
    <col min="10" max="10" width="11.88671875" style="613" hidden="1" customWidth="1"/>
    <col min="11" max="11" width="0" style="576" hidden="1" customWidth="1"/>
    <col min="12" max="12" width="9.109375" style="576" bestFit="1" customWidth="1"/>
    <col min="13" max="255" width="8.88671875" style="576"/>
    <col min="256" max="256" width="3.6640625" style="576" bestFit="1" customWidth="1"/>
    <col min="257" max="257" width="8.33203125" style="576" customWidth="1"/>
    <col min="258" max="258" width="46.109375" style="576" customWidth="1"/>
    <col min="259" max="259" width="11" style="576" customWidth="1"/>
    <col min="260" max="260" width="12.5546875" style="576" customWidth="1"/>
    <col min="261" max="261" width="10.88671875" style="576" customWidth="1"/>
    <col min="262" max="262" width="16.109375" style="576" customWidth="1"/>
    <col min="263" max="263" width="0" style="576" hidden="1" customWidth="1"/>
    <col min="264" max="264" width="15.44140625" style="576" customWidth="1"/>
    <col min="265" max="265" width="12.88671875" style="576" bestFit="1" customWidth="1"/>
    <col min="266" max="266" width="8.88671875" style="576"/>
    <col min="267" max="267" width="12.88671875" style="576" bestFit="1" customWidth="1"/>
    <col min="268" max="511" width="8.88671875" style="576"/>
    <col min="512" max="512" width="3.6640625" style="576" bestFit="1" customWidth="1"/>
    <col min="513" max="513" width="8.33203125" style="576" customWidth="1"/>
    <col min="514" max="514" width="46.109375" style="576" customWidth="1"/>
    <col min="515" max="515" width="11" style="576" customWidth="1"/>
    <col min="516" max="516" width="12.5546875" style="576" customWidth="1"/>
    <col min="517" max="517" width="10.88671875" style="576" customWidth="1"/>
    <col min="518" max="518" width="16.109375" style="576" customWidth="1"/>
    <col min="519" max="519" width="0" style="576" hidden="1" customWidth="1"/>
    <col min="520" max="520" width="15.44140625" style="576" customWidth="1"/>
    <col min="521" max="521" width="12.88671875" style="576" bestFit="1" customWidth="1"/>
    <col min="522" max="522" width="8.88671875" style="576"/>
    <col min="523" max="523" width="12.88671875" style="576" bestFit="1" customWidth="1"/>
    <col min="524" max="767" width="8.88671875" style="576"/>
    <col min="768" max="768" width="3.6640625" style="576" bestFit="1" customWidth="1"/>
    <col min="769" max="769" width="8.33203125" style="576" customWidth="1"/>
    <col min="770" max="770" width="46.109375" style="576" customWidth="1"/>
    <col min="771" max="771" width="11" style="576" customWidth="1"/>
    <col min="772" max="772" width="12.5546875" style="576" customWidth="1"/>
    <col min="773" max="773" width="10.88671875" style="576" customWidth="1"/>
    <col min="774" max="774" width="16.109375" style="576" customWidth="1"/>
    <col min="775" max="775" width="0" style="576" hidden="1" customWidth="1"/>
    <col min="776" max="776" width="15.44140625" style="576" customWidth="1"/>
    <col min="777" max="777" width="12.88671875" style="576" bestFit="1" customWidth="1"/>
    <col min="778" max="778" width="8.88671875" style="576"/>
    <col min="779" max="779" width="12.88671875" style="576" bestFit="1" customWidth="1"/>
    <col min="780" max="1023" width="8.88671875" style="576"/>
    <col min="1024" max="1024" width="3.6640625" style="576" bestFit="1" customWidth="1"/>
    <col min="1025" max="1025" width="8.33203125" style="576" customWidth="1"/>
    <col min="1026" max="1026" width="46.109375" style="576" customWidth="1"/>
    <col min="1027" max="1027" width="11" style="576" customWidth="1"/>
    <col min="1028" max="1028" width="12.5546875" style="576" customWidth="1"/>
    <col min="1029" max="1029" width="10.88671875" style="576" customWidth="1"/>
    <col min="1030" max="1030" width="16.109375" style="576" customWidth="1"/>
    <col min="1031" max="1031" width="0" style="576" hidden="1" customWidth="1"/>
    <col min="1032" max="1032" width="15.44140625" style="576" customWidth="1"/>
    <col min="1033" max="1033" width="12.88671875" style="576" bestFit="1" customWidth="1"/>
    <col min="1034" max="1034" width="8.88671875" style="576"/>
    <col min="1035" max="1035" width="12.88671875" style="576" bestFit="1" customWidth="1"/>
    <col min="1036" max="1279" width="8.88671875" style="576"/>
    <col min="1280" max="1280" width="3.6640625" style="576" bestFit="1" customWidth="1"/>
    <col min="1281" max="1281" width="8.33203125" style="576" customWidth="1"/>
    <col min="1282" max="1282" width="46.109375" style="576" customWidth="1"/>
    <col min="1283" max="1283" width="11" style="576" customWidth="1"/>
    <col min="1284" max="1284" width="12.5546875" style="576" customWidth="1"/>
    <col min="1285" max="1285" width="10.88671875" style="576" customWidth="1"/>
    <col min="1286" max="1286" width="16.109375" style="576" customWidth="1"/>
    <col min="1287" max="1287" width="0" style="576" hidden="1" customWidth="1"/>
    <col min="1288" max="1288" width="15.44140625" style="576" customWidth="1"/>
    <col min="1289" max="1289" width="12.88671875" style="576" bestFit="1" customWidth="1"/>
    <col min="1290" max="1290" width="8.88671875" style="576"/>
    <col min="1291" max="1291" width="12.88671875" style="576" bestFit="1" customWidth="1"/>
    <col min="1292" max="1535" width="8.88671875" style="576"/>
    <col min="1536" max="1536" width="3.6640625" style="576" bestFit="1" customWidth="1"/>
    <col min="1537" max="1537" width="8.33203125" style="576" customWidth="1"/>
    <col min="1538" max="1538" width="46.109375" style="576" customWidth="1"/>
    <col min="1539" max="1539" width="11" style="576" customWidth="1"/>
    <col min="1540" max="1540" width="12.5546875" style="576" customWidth="1"/>
    <col min="1541" max="1541" width="10.88671875" style="576" customWidth="1"/>
    <col min="1542" max="1542" width="16.109375" style="576" customWidth="1"/>
    <col min="1543" max="1543" width="0" style="576" hidden="1" customWidth="1"/>
    <col min="1544" max="1544" width="15.44140625" style="576" customWidth="1"/>
    <col min="1545" max="1545" width="12.88671875" style="576" bestFit="1" customWidth="1"/>
    <col min="1546" max="1546" width="8.88671875" style="576"/>
    <col min="1547" max="1547" width="12.88671875" style="576" bestFit="1" customWidth="1"/>
    <col min="1548" max="1791" width="8.88671875" style="576"/>
    <col min="1792" max="1792" width="3.6640625" style="576" bestFit="1" customWidth="1"/>
    <col min="1793" max="1793" width="8.33203125" style="576" customWidth="1"/>
    <col min="1794" max="1794" width="46.109375" style="576" customWidth="1"/>
    <col min="1795" max="1795" width="11" style="576" customWidth="1"/>
    <col min="1796" max="1796" width="12.5546875" style="576" customWidth="1"/>
    <col min="1797" max="1797" width="10.88671875" style="576" customWidth="1"/>
    <col min="1798" max="1798" width="16.109375" style="576" customWidth="1"/>
    <col min="1799" max="1799" width="0" style="576" hidden="1" customWidth="1"/>
    <col min="1800" max="1800" width="15.44140625" style="576" customWidth="1"/>
    <col min="1801" max="1801" width="12.88671875" style="576" bestFit="1" customWidth="1"/>
    <col min="1802" max="1802" width="8.88671875" style="576"/>
    <col min="1803" max="1803" width="12.88671875" style="576" bestFit="1" customWidth="1"/>
    <col min="1804" max="2047" width="8.88671875" style="576"/>
    <col min="2048" max="2048" width="3.6640625" style="576" bestFit="1" customWidth="1"/>
    <col min="2049" max="2049" width="8.33203125" style="576" customWidth="1"/>
    <col min="2050" max="2050" width="46.109375" style="576" customWidth="1"/>
    <col min="2051" max="2051" width="11" style="576" customWidth="1"/>
    <col min="2052" max="2052" width="12.5546875" style="576" customWidth="1"/>
    <col min="2053" max="2053" width="10.88671875" style="576" customWidth="1"/>
    <col min="2054" max="2054" width="16.109375" style="576" customWidth="1"/>
    <col min="2055" max="2055" width="0" style="576" hidden="1" customWidth="1"/>
    <col min="2056" max="2056" width="15.44140625" style="576" customWidth="1"/>
    <col min="2057" max="2057" width="12.88671875" style="576" bestFit="1" customWidth="1"/>
    <col min="2058" max="2058" width="8.88671875" style="576"/>
    <col min="2059" max="2059" width="12.88671875" style="576" bestFit="1" customWidth="1"/>
    <col min="2060" max="2303" width="8.88671875" style="576"/>
    <col min="2304" max="2304" width="3.6640625" style="576" bestFit="1" customWidth="1"/>
    <col min="2305" max="2305" width="8.33203125" style="576" customWidth="1"/>
    <col min="2306" max="2306" width="46.109375" style="576" customWidth="1"/>
    <col min="2307" max="2307" width="11" style="576" customWidth="1"/>
    <col min="2308" max="2308" width="12.5546875" style="576" customWidth="1"/>
    <col min="2309" max="2309" width="10.88671875" style="576" customWidth="1"/>
    <col min="2310" max="2310" width="16.109375" style="576" customWidth="1"/>
    <col min="2311" max="2311" width="0" style="576" hidden="1" customWidth="1"/>
    <col min="2312" max="2312" width="15.44140625" style="576" customWidth="1"/>
    <col min="2313" max="2313" width="12.88671875" style="576" bestFit="1" customWidth="1"/>
    <col min="2314" max="2314" width="8.88671875" style="576"/>
    <col min="2315" max="2315" width="12.88671875" style="576" bestFit="1" customWidth="1"/>
    <col min="2316" max="2559" width="8.88671875" style="576"/>
    <col min="2560" max="2560" width="3.6640625" style="576" bestFit="1" customWidth="1"/>
    <col min="2561" max="2561" width="8.33203125" style="576" customWidth="1"/>
    <col min="2562" max="2562" width="46.109375" style="576" customWidth="1"/>
    <col min="2563" max="2563" width="11" style="576" customWidth="1"/>
    <col min="2564" max="2564" width="12.5546875" style="576" customWidth="1"/>
    <col min="2565" max="2565" width="10.88671875" style="576" customWidth="1"/>
    <col min="2566" max="2566" width="16.109375" style="576" customWidth="1"/>
    <col min="2567" max="2567" width="0" style="576" hidden="1" customWidth="1"/>
    <col min="2568" max="2568" width="15.44140625" style="576" customWidth="1"/>
    <col min="2569" max="2569" width="12.88671875" style="576" bestFit="1" customWidth="1"/>
    <col min="2570" max="2570" width="8.88671875" style="576"/>
    <col min="2571" max="2571" width="12.88671875" style="576" bestFit="1" customWidth="1"/>
    <col min="2572" max="2815" width="8.88671875" style="576"/>
    <col min="2816" max="2816" width="3.6640625" style="576" bestFit="1" customWidth="1"/>
    <col min="2817" max="2817" width="8.33203125" style="576" customWidth="1"/>
    <col min="2818" max="2818" width="46.109375" style="576" customWidth="1"/>
    <col min="2819" max="2819" width="11" style="576" customWidth="1"/>
    <col min="2820" max="2820" width="12.5546875" style="576" customWidth="1"/>
    <col min="2821" max="2821" width="10.88671875" style="576" customWidth="1"/>
    <col min="2822" max="2822" width="16.109375" style="576" customWidth="1"/>
    <col min="2823" max="2823" width="0" style="576" hidden="1" customWidth="1"/>
    <col min="2824" max="2824" width="15.44140625" style="576" customWidth="1"/>
    <col min="2825" max="2825" width="12.88671875" style="576" bestFit="1" customWidth="1"/>
    <col min="2826" max="2826" width="8.88671875" style="576"/>
    <col min="2827" max="2827" width="12.88671875" style="576" bestFit="1" customWidth="1"/>
    <col min="2828" max="3071" width="8.88671875" style="576"/>
    <col min="3072" max="3072" width="3.6640625" style="576" bestFit="1" customWidth="1"/>
    <col min="3073" max="3073" width="8.33203125" style="576" customWidth="1"/>
    <col min="3074" max="3074" width="46.109375" style="576" customWidth="1"/>
    <col min="3075" max="3075" width="11" style="576" customWidth="1"/>
    <col min="3076" max="3076" width="12.5546875" style="576" customWidth="1"/>
    <col min="3077" max="3077" width="10.88671875" style="576" customWidth="1"/>
    <col min="3078" max="3078" width="16.109375" style="576" customWidth="1"/>
    <col min="3079" max="3079" width="0" style="576" hidden="1" customWidth="1"/>
    <col min="3080" max="3080" width="15.44140625" style="576" customWidth="1"/>
    <col min="3081" max="3081" width="12.88671875" style="576" bestFit="1" customWidth="1"/>
    <col min="3082" max="3082" width="8.88671875" style="576"/>
    <col min="3083" max="3083" width="12.88671875" style="576" bestFit="1" customWidth="1"/>
    <col min="3084" max="3327" width="8.88671875" style="576"/>
    <col min="3328" max="3328" width="3.6640625" style="576" bestFit="1" customWidth="1"/>
    <col min="3329" max="3329" width="8.33203125" style="576" customWidth="1"/>
    <col min="3330" max="3330" width="46.109375" style="576" customWidth="1"/>
    <col min="3331" max="3331" width="11" style="576" customWidth="1"/>
    <col min="3332" max="3332" width="12.5546875" style="576" customWidth="1"/>
    <col min="3333" max="3333" width="10.88671875" style="576" customWidth="1"/>
    <col min="3334" max="3334" width="16.109375" style="576" customWidth="1"/>
    <col min="3335" max="3335" width="0" style="576" hidden="1" customWidth="1"/>
    <col min="3336" max="3336" width="15.44140625" style="576" customWidth="1"/>
    <col min="3337" max="3337" width="12.88671875" style="576" bestFit="1" customWidth="1"/>
    <col min="3338" max="3338" width="8.88671875" style="576"/>
    <col min="3339" max="3339" width="12.88671875" style="576" bestFit="1" customWidth="1"/>
    <col min="3340" max="3583" width="8.88671875" style="576"/>
    <col min="3584" max="3584" width="3.6640625" style="576" bestFit="1" customWidth="1"/>
    <col min="3585" max="3585" width="8.33203125" style="576" customWidth="1"/>
    <col min="3586" max="3586" width="46.109375" style="576" customWidth="1"/>
    <col min="3587" max="3587" width="11" style="576" customWidth="1"/>
    <col min="3588" max="3588" width="12.5546875" style="576" customWidth="1"/>
    <col min="3589" max="3589" width="10.88671875" style="576" customWidth="1"/>
    <col min="3590" max="3590" width="16.109375" style="576" customWidth="1"/>
    <col min="3591" max="3591" width="0" style="576" hidden="1" customWidth="1"/>
    <col min="3592" max="3592" width="15.44140625" style="576" customWidth="1"/>
    <col min="3593" max="3593" width="12.88671875" style="576" bestFit="1" customWidth="1"/>
    <col min="3594" max="3594" width="8.88671875" style="576"/>
    <col min="3595" max="3595" width="12.88671875" style="576" bestFit="1" customWidth="1"/>
    <col min="3596" max="3839" width="8.88671875" style="576"/>
    <col min="3840" max="3840" width="3.6640625" style="576" bestFit="1" customWidth="1"/>
    <col min="3841" max="3841" width="8.33203125" style="576" customWidth="1"/>
    <col min="3842" max="3842" width="46.109375" style="576" customWidth="1"/>
    <col min="3843" max="3843" width="11" style="576" customWidth="1"/>
    <col min="3844" max="3844" width="12.5546875" style="576" customWidth="1"/>
    <col min="3845" max="3845" width="10.88671875" style="576" customWidth="1"/>
    <col min="3846" max="3846" width="16.109375" style="576" customWidth="1"/>
    <col min="3847" max="3847" width="0" style="576" hidden="1" customWidth="1"/>
    <col min="3848" max="3848" width="15.44140625" style="576" customWidth="1"/>
    <col min="3849" max="3849" width="12.88671875" style="576" bestFit="1" customWidth="1"/>
    <col min="3850" max="3850" width="8.88671875" style="576"/>
    <col min="3851" max="3851" width="12.88671875" style="576" bestFit="1" customWidth="1"/>
    <col min="3852" max="4095" width="8.88671875" style="576"/>
    <col min="4096" max="4096" width="3.6640625" style="576" bestFit="1" customWidth="1"/>
    <col min="4097" max="4097" width="8.33203125" style="576" customWidth="1"/>
    <col min="4098" max="4098" width="46.109375" style="576" customWidth="1"/>
    <col min="4099" max="4099" width="11" style="576" customWidth="1"/>
    <col min="4100" max="4100" width="12.5546875" style="576" customWidth="1"/>
    <col min="4101" max="4101" width="10.88671875" style="576" customWidth="1"/>
    <col min="4102" max="4102" width="16.109375" style="576" customWidth="1"/>
    <col min="4103" max="4103" width="0" style="576" hidden="1" customWidth="1"/>
    <col min="4104" max="4104" width="15.44140625" style="576" customWidth="1"/>
    <col min="4105" max="4105" width="12.88671875" style="576" bestFit="1" customWidth="1"/>
    <col min="4106" max="4106" width="8.88671875" style="576"/>
    <col min="4107" max="4107" width="12.88671875" style="576" bestFit="1" customWidth="1"/>
    <col min="4108" max="4351" width="8.88671875" style="576"/>
    <col min="4352" max="4352" width="3.6640625" style="576" bestFit="1" customWidth="1"/>
    <col min="4353" max="4353" width="8.33203125" style="576" customWidth="1"/>
    <col min="4354" max="4354" width="46.109375" style="576" customWidth="1"/>
    <col min="4355" max="4355" width="11" style="576" customWidth="1"/>
    <col min="4356" max="4356" width="12.5546875" style="576" customWidth="1"/>
    <col min="4357" max="4357" width="10.88671875" style="576" customWidth="1"/>
    <col min="4358" max="4358" width="16.109375" style="576" customWidth="1"/>
    <col min="4359" max="4359" width="0" style="576" hidden="1" customWidth="1"/>
    <col min="4360" max="4360" width="15.44140625" style="576" customWidth="1"/>
    <col min="4361" max="4361" width="12.88671875" style="576" bestFit="1" customWidth="1"/>
    <col min="4362" max="4362" width="8.88671875" style="576"/>
    <col min="4363" max="4363" width="12.88671875" style="576" bestFit="1" customWidth="1"/>
    <col min="4364" max="4607" width="8.88671875" style="576"/>
    <col min="4608" max="4608" width="3.6640625" style="576" bestFit="1" customWidth="1"/>
    <col min="4609" max="4609" width="8.33203125" style="576" customWidth="1"/>
    <col min="4610" max="4610" width="46.109375" style="576" customWidth="1"/>
    <col min="4611" max="4611" width="11" style="576" customWidth="1"/>
    <col min="4612" max="4612" width="12.5546875" style="576" customWidth="1"/>
    <col min="4613" max="4613" width="10.88671875" style="576" customWidth="1"/>
    <col min="4614" max="4614" width="16.109375" style="576" customWidth="1"/>
    <col min="4615" max="4615" width="0" style="576" hidden="1" customWidth="1"/>
    <col min="4616" max="4616" width="15.44140625" style="576" customWidth="1"/>
    <col min="4617" max="4617" width="12.88671875" style="576" bestFit="1" customWidth="1"/>
    <col min="4618" max="4618" width="8.88671875" style="576"/>
    <col min="4619" max="4619" width="12.88671875" style="576" bestFit="1" customWidth="1"/>
    <col min="4620" max="4863" width="8.88671875" style="576"/>
    <col min="4864" max="4864" width="3.6640625" style="576" bestFit="1" customWidth="1"/>
    <col min="4865" max="4865" width="8.33203125" style="576" customWidth="1"/>
    <col min="4866" max="4866" width="46.109375" style="576" customWidth="1"/>
    <col min="4867" max="4867" width="11" style="576" customWidth="1"/>
    <col min="4868" max="4868" width="12.5546875" style="576" customWidth="1"/>
    <col min="4869" max="4869" width="10.88671875" style="576" customWidth="1"/>
    <col min="4870" max="4870" width="16.109375" style="576" customWidth="1"/>
    <col min="4871" max="4871" width="0" style="576" hidden="1" customWidth="1"/>
    <col min="4872" max="4872" width="15.44140625" style="576" customWidth="1"/>
    <col min="4873" max="4873" width="12.88671875" style="576" bestFit="1" customWidth="1"/>
    <col min="4874" max="4874" width="8.88671875" style="576"/>
    <col min="4875" max="4875" width="12.88671875" style="576" bestFit="1" customWidth="1"/>
    <col min="4876" max="5119" width="8.88671875" style="576"/>
    <col min="5120" max="5120" width="3.6640625" style="576" bestFit="1" customWidth="1"/>
    <col min="5121" max="5121" width="8.33203125" style="576" customWidth="1"/>
    <col min="5122" max="5122" width="46.109375" style="576" customWidth="1"/>
    <col min="5123" max="5123" width="11" style="576" customWidth="1"/>
    <col min="5124" max="5124" width="12.5546875" style="576" customWidth="1"/>
    <col min="5125" max="5125" width="10.88671875" style="576" customWidth="1"/>
    <col min="5126" max="5126" width="16.109375" style="576" customWidth="1"/>
    <col min="5127" max="5127" width="0" style="576" hidden="1" customWidth="1"/>
    <col min="5128" max="5128" width="15.44140625" style="576" customWidth="1"/>
    <col min="5129" max="5129" width="12.88671875" style="576" bestFit="1" customWidth="1"/>
    <col min="5130" max="5130" width="8.88671875" style="576"/>
    <col min="5131" max="5131" width="12.88671875" style="576" bestFit="1" customWidth="1"/>
    <col min="5132" max="5375" width="8.88671875" style="576"/>
    <col min="5376" max="5376" width="3.6640625" style="576" bestFit="1" customWidth="1"/>
    <col min="5377" max="5377" width="8.33203125" style="576" customWidth="1"/>
    <col min="5378" max="5378" width="46.109375" style="576" customWidth="1"/>
    <col min="5379" max="5379" width="11" style="576" customWidth="1"/>
    <col min="5380" max="5380" width="12.5546875" style="576" customWidth="1"/>
    <col min="5381" max="5381" width="10.88671875" style="576" customWidth="1"/>
    <col min="5382" max="5382" width="16.109375" style="576" customWidth="1"/>
    <col min="5383" max="5383" width="0" style="576" hidden="1" customWidth="1"/>
    <col min="5384" max="5384" width="15.44140625" style="576" customWidth="1"/>
    <col min="5385" max="5385" width="12.88671875" style="576" bestFit="1" customWidth="1"/>
    <col min="5386" max="5386" width="8.88671875" style="576"/>
    <col min="5387" max="5387" width="12.88671875" style="576" bestFit="1" customWidth="1"/>
    <col min="5388" max="5631" width="8.88671875" style="576"/>
    <col min="5632" max="5632" width="3.6640625" style="576" bestFit="1" customWidth="1"/>
    <col min="5633" max="5633" width="8.33203125" style="576" customWidth="1"/>
    <col min="5634" max="5634" width="46.109375" style="576" customWidth="1"/>
    <col min="5635" max="5635" width="11" style="576" customWidth="1"/>
    <col min="5636" max="5636" width="12.5546875" style="576" customWidth="1"/>
    <col min="5637" max="5637" width="10.88671875" style="576" customWidth="1"/>
    <col min="5638" max="5638" width="16.109375" style="576" customWidth="1"/>
    <col min="5639" max="5639" width="0" style="576" hidden="1" customWidth="1"/>
    <col min="5640" max="5640" width="15.44140625" style="576" customWidth="1"/>
    <col min="5641" max="5641" width="12.88671875" style="576" bestFit="1" customWidth="1"/>
    <col min="5642" max="5642" width="8.88671875" style="576"/>
    <col min="5643" max="5643" width="12.88671875" style="576" bestFit="1" customWidth="1"/>
    <col min="5644" max="5887" width="8.88671875" style="576"/>
    <col min="5888" max="5888" width="3.6640625" style="576" bestFit="1" customWidth="1"/>
    <col min="5889" max="5889" width="8.33203125" style="576" customWidth="1"/>
    <col min="5890" max="5890" width="46.109375" style="576" customWidth="1"/>
    <col min="5891" max="5891" width="11" style="576" customWidth="1"/>
    <col min="5892" max="5892" width="12.5546875" style="576" customWidth="1"/>
    <col min="5893" max="5893" width="10.88671875" style="576" customWidth="1"/>
    <col min="5894" max="5894" width="16.109375" style="576" customWidth="1"/>
    <col min="5895" max="5895" width="0" style="576" hidden="1" customWidth="1"/>
    <col min="5896" max="5896" width="15.44140625" style="576" customWidth="1"/>
    <col min="5897" max="5897" width="12.88671875" style="576" bestFit="1" customWidth="1"/>
    <col min="5898" max="5898" width="8.88671875" style="576"/>
    <col min="5899" max="5899" width="12.88671875" style="576" bestFit="1" customWidth="1"/>
    <col min="5900" max="6143" width="8.88671875" style="576"/>
    <col min="6144" max="6144" width="3.6640625" style="576" bestFit="1" customWidth="1"/>
    <col min="6145" max="6145" width="8.33203125" style="576" customWidth="1"/>
    <col min="6146" max="6146" width="46.109375" style="576" customWidth="1"/>
    <col min="6147" max="6147" width="11" style="576" customWidth="1"/>
    <col min="6148" max="6148" width="12.5546875" style="576" customWidth="1"/>
    <col min="6149" max="6149" width="10.88671875" style="576" customWidth="1"/>
    <col min="6150" max="6150" width="16.109375" style="576" customWidth="1"/>
    <col min="6151" max="6151" width="0" style="576" hidden="1" customWidth="1"/>
    <col min="6152" max="6152" width="15.44140625" style="576" customWidth="1"/>
    <col min="6153" max="6153" width="12.88671875" style="576" bestFit="1" customWidth="1"/>
    <col min="6154" max="6154" width="8.88671875" style="576"/>
    <col min="6155" max="6155" width="12.88671875" style="576" bestFit="1" customWidth="1"/>
    <col min="6156" max="6399" width="8.88671875" style="576"/>
    <col min="6400" max="6400" width="3.6640625" style="576" bestFit="1" customWidth="1"/>
    <col min="6401" max="6401" width="8.33203125" style="576" customWidth="1"/>
    <col min="6402" max="6402" width="46.109375" style="576" customWidth="1"/>
    <col min="6403" max="6403" width="11" style="576" customWidth="1"/>
    <col min="6404" max="6404" width="12.5546875" style="576" customWidth="1"/>
    <col min="6405" max="6405" width="10.88671875" style="576" customWidth="1"/>
    <col min="6406" max="6406" width="16.109375" style="576" customWidth="1"/>
    <col min="6407" max="6407" width="0" style="576" hidden="1" customWidth="1"/>
    <col min="6408" max="6408" width="15.44140625" style="576" customWidth="1"/>
    <col min="6409" max="6409" width="12.88671875" style="576" bestFit="1" customWidth="1"/>
    <col min="6410" max="6410" width="8.88671875" style="576"/>
    <col min="6411" max="6411" width="12.88671875" style="576" bestFit="1" customWidth="1"/>
    <col min="6412" max="6655" width="8.88671875" style="576"/>
    <col min="6656" max="6656" width="3.6640625" style="576" bestFit="1" customWidth="1"/>
    <col min="6657" max="6657" width="8.33203125" style="576" customWidth="1"/>
    <col min="6658" max="6658" width="46.109375" style="576" customWidth="1"/>
    <col min="6659" max="6659" width="11" style="576" customWidth="1"/>
    <col min="6660" max="6660" width="12.5546875" style="576" customWidth="1"/>
    <col min="6661" max="6661" width="10.88671875" style="576" customWidth="1"/>
    <col min="6662" max="6662" width="16.109375" style="576" customWidth="1"/>
    <col min="6663" max="6663" width="0" style="576" hidden="1" customWidth="1"/>
    <col min="6664" max="6664" width="15.44140625" style="576" customWidth="1"/>
    <col min="6665" max="6665" width="12.88671875" style="576" bestFit="1" customWidth="1"/>
    <col min="6666" max="6666" width="8.88671875" style="576"/>
    <col min="6667" max="6667" width="12.88671875" style="576" bestFit="1" customWidth="1"/>
    <col min="6668" max="6911" width="8.88671875" style="576"/>
    <col min="6912" max="6912" width="3.6640625" style="576" bestFit="1" customWidth="1"/>
    <col min="6913" max="6913" width="8.33203125" style="576" customWidth="1"/>
    <col min="6914" max="6914" width="46.109375" style="576" customWidth="1"/>
    <col min="6915" max="6915" width="11" style="576" customWidth="1"/>
    <col min="6916" max="6916" width="12.5546875" style="576" customWidth="1"/>
    <col min="6917" max="6917" width="10.88671875" style="576" customWidth="1"/>
    <col min="6918" max="6918" width="16.109375" style="576" customWidth="1"/>
    <col min="6919" max="6919" width="0" style="576" hidden="1" customWidth="1"/>
    <col min="6920" max="6920" width="15.44140625" style="576" customWidth="1"/>
    <col min="6921" max="6921" width="12.88671875" style="576" bestFit="1" customWidth="1"/>
    <col min="6922" max="6922" width="8.88671875" style="576"/>
    <col min="6923" max="6923" width="12.88671875" style="576" bestFit="1" customWidth="1"/>
    <col min="6924" max="7167" width="8.88671875" style="576"/>
    <col min="7168" max="7168" width="3.6640625" style="576" bestFit="1" customWidth="1"/>
    <col min="7169" max="7169" width="8.33203125" style="576" customWidth="1"/>
    <col min="7170" max="7170" width="46.109375" style="576" customWidth="1"/>
    <col min="7171" max="7171" width="11" style="576" customWidth="1"/>
    <col min="7172" max="7172" width="12.5546875" style="576" customWidth="1"/>
    <col min="7173" max="7173" width="10.88671875" style="576" customWidth="1"/>
    <col min="7174" max="7174" width="16.109375" style="576" customWidth="1"/>
    <col min="7175" max="7175" width="0" style="576" hidden="1" customWidth="1"/>
    <col min="7176" max="7176" width="15.44140625" style="576" customWidth="1"/>
    <col min="7177" max="7177" width="12.88671875" style="576" bestFit="1" customWidth="1"/>
    <col min="7178" max="7178" width="8.88671875" style="576"/>
    <col min="7179" max="7179" width="12.88671875" style="576" bestFit="1" customWidth="1"/>
    <col min="7180" max="7423" width="8.88671875" style="576"/>
    <col min="7424" max="7424" width="3.6640625" style="576" bestFit="1" customWidth="1"/>
    <col min="7425" max="7425" width="8.33203125" style="576" customWidth="1"/>
    <col min="7426" max="7426" width="46.109375" style="576" customWidth="1"/>
    <col min="7427" max="7427" width="11" style="576" customWidth="1"/>
    <col min="7428" max="7428" width="12.5546875" style="576" customWidth="1"/>
    <col min="7429" max="7429" width="10.88671875" style="576" customWidth="1"/>
    <col min="7430" max="7430" width="16.109375" style="576" customWidth="1"/>
    <col min="7431" max="7431" width="0" style="576" hidden="1" customWidth="1"/>
    <col min="7432" max="7432" width="15.44140625" style="576" customWidth="1"/>
    <col min="7433" max="7433" width="12.88671875" style="576" bestFit="1" customWidth="1"/>
    <col min="7434" max="7434" width="8.88671875" style="576"/>
    <col min="7435" max="7435" width="12.88671875" style="576" bestFit="1" customWidth="1"/>
    <col min="7436" max="7679" width="8.88671875" style="576"/>
    <col min="7680" max="7680" width="3.6640625" style="576" bestFit="1" customWidth="1"/>
    <col min="7681" max="7681" width="8.33203125" style="576" customWidth="1"/>
    <col min="7682" max="7682" width="46.109375" style="576" customWidth="1"/>
    <col min="7683" max="7683" width="11" style="576" customWidth="1"/>
    <col min="7684" max="7684" width="12.5546875" style="576" customWidth="1"/>
    <col min="7685" max="7685" width="10.88671875" style="576" customWidth="1"/>
    <col min="7686" max="7686" width="16.109375" style="576" customWidth="1"/>
    <col min="7687" max="7687" width="0" style="576" hidden="1" customWidth="1"/>
    <col min="7688" max="7688" width="15.44140625" style="576" customWidth="1"/>
    <col min="7689" max="7689" width="12.88671875" style="576" bestFit="1" customWidth="1"/>
    <col min="7690" max="7690" width="8.88671875" style="576"/>
    <col min="7691" max="7691" width="12.88671875" style="576" bestFit="1" customWidth="1"/>
    <col min="7692" max="7935" width="8.88671875" style="576"/>
    <col min="7936" max="7936" width="3.6640625" style="576" bestFit="1" customWidth="1"/>
    <col min="7937" max="7937" width="8.33203125" style="576" customWidth="1"/>
    <col min="7938" max="7938" width="46.109375" style="576" customWidth="1"/>
    <col min="7939" max="7939" width="11" style="576" customWidth="1"/>
    <col min="7940" max="7940" width="12.5546875" style="576" customWidth="1"/>
    <col min="7941" max="7941" width="10.88671875" style="576" customWidth="1"/>
    <col min="7942" max="7942" width="16.109375" style="576" customWidth="1"/>
    <col min="7943" max="7943" width="0" style="576" hidden="1" customWidth="1"/>
    <col min="7944" max="7944" width="15.44140625" style="576" customWidth="1"/>
    <col min="7945" max="7945" width="12.88671875" style="576" bestFit="1" customWidth="1"/>
    <col min="7946" max="7946" width="8.88671875" style="576"/>
    <col min="7947" max="7947" width="12.88671875" style="576" bestFit="1" customWidth="1"/>
    <col min="7948" max="8191" width="8.88671875" style="576"/>
    <col min="8192" max="8192" width="3.6640625" style="576" bestFit="1" customWidth="1"/>
    <col min="8193" max="8193" width="8.33203125" style="576" customWidth="1"/>
    <col min="8194" max="8194" width="46.109375" style="576" customWidth="1"/>
    <col min="8195" max="8195" width="11" style="576" customWidth="1"/>
    <col min="8196" max="8196" width="12.5546875" style="576" customWidth="1"/>
    <col min="8197" max="8197" width="10.88671875" style="576" customWidth="1"/>
    <col min="8198" max="8198" width="16.109375" style="576" customWidth="1"/>
    <col min="8199" max="8199" width="0" style="576" hidden="1" customWidth="1"/>
    <col min="8200" max="8200" width="15.44140625" style="576" customWidth="1"/>
    <col min="8201" max="8201" width="12.88671875" style="576" bestFit="1" customWidth="1"/>
    <col min="8202" max="8202" width="8.88671875" style="576"/>
    <col min="8203" max="8203" width="12.88671875" style="576" bestFit="1" customWidth="1"/>
    <col min="8204" max="8447" width="8.88671875" style="576"/>
    <col min="8448" max="8448" width="3.6640625" style="576" bestFit="1" customWidth="1"/>
    <col min="8449" max="8449" width="8.33203125" style="576" customWidth="1"/>
    <col min="8450" max="8450" width="46.109375" style="576" customWidth="1"/>
    <col min="8451" max="8451" width="11" style="576" customWidth="1"/>
    <col min="8452" max="8452" width="12.5546875" style="576" customWidth="1"/>
    <col min="8453" max="8453" width="10.88671875" style="576" customWidth="1"/>
    <col min="8454" max="8454" width="16.109375" style="576" customWidth="1"/>
    <col min="8455" max="8455" width="0" style="576" hidden="1" customWidth="1"/>
    <col min="8456" max="8456" width="15.44140625" style="576" customWidth="1"/>
    <col min="8457" max="8457" width="12.88671875" style="576" bestFit="1" customWidth="1"/>
    <col min="8458" max="8458" width="8.88671875" style="576"/>
    <col min="8459" max="8459" width="12.88671875" style="576" bestFit="1" customWidth="1"/>
    <col min="8460" max="8703" width="8.88671875" style="576"/>
    <col min="8704" max="8704" width="3.6640625" style="576" bestFit="1" customWidth="1"/>
    <col min="8705" max="8705" width="8.33203125" style="576" customWidth="1"/>
    <col min="8706" max="8706" width="46.109375" style="576" customWidth="1"/>
    <col min="8707" max="8707" width="11" style="576" customWidth="1"/>
    <col min="8708" max="8708" width="12.5546875" style="576" customWidth="1"/>
    <col min="8709" max="8709" width="10.88671875" style="576" customWidth="1"/>
    <col min="8710" max="8710" width="16.109375" style="576" customWidth="1"/>
    <col min="8711" max="8711" width="0" style="576" hidden="1" customWidth="1"/>
    <col min="8712" max="8712" width="15.44140625" style="576" customWidth="1"/>
    <col min="8713" max="8713" width="12.88671875" style="576" bestFit="1" customWidth="1"/>
    <col min="8714" max="8714" width="8.88671875" style="576"/>
    <col min="8715" max="8715" width="12.88671875" style="576" bestFit="1" customWidth="1"/>
    <col min="8716" max="8959" width="8.88671875" style="576"/>
    <col min="8960" max="8960" width="3.6640625" style="576" bestFit="1" customWidth="1"/>
    <col min="8961" max="8961" width="8.33203125" style="576" customWidth="1"/>
    <col min="8962" max="8962" width="46.109375" style="576" customWidth="1"/>
    <col min="8963" max="8963" width="11" style="576" customWidth="1"/>
    <col min="8964" max="8964" width="12.5546875" style="576" customWidth="1"/>
    <col min="8965" max="8965" width="10.88671875" style="576" customWidth="1"/>
    <col min="8966" max="8966" width="16.109375" style="576" customWidth="1"/>
    <col min="8967" max="8967" width="0" style="576" hidden="1" customWidth="1"/>
    <col min="8968" max="8968" width="15.44140625" style="576" customWidth="1"/>
    <col min="8969" max="8969" width="12.88671875" style="576" bestFit="1" customWidth="1"/>
    <col min="8970" max="8970" width="8.88671875" style="576"/>
    <col min="8971" max="8971" width="12.88671875" style="576" bestFit="1" customWidth="1"/>
    <col min="8972" max="9215" width="8.88671875" style="576"/>
    <col min="9216" max="9216" width="3.6640625" style="576" bestFit="1" customWidth="1"/>
    <col min="9217" max="9217" width="8.33203125" style="576" customWidth="1"/>
    <col min="9218" max="9218" width="46.109375" style="576" customWidth="1"/>
    <col min="9219" max="9219" width="11" style="576" customWidth="1"/>
    <col min="9220" max="9220" width="12.5546875" style="576" customWidth="1"/>
    <col min="9221" max="9221" width="10.88671875" style="576" customWidth="1"/>
    <col min="9222" max="9222" width="16.109375" style="576" customWidth="1"/>
    <col min="9223" max="9223" width="0" style="576" hidden="1" customWidth="1"/>
    <col min="9224" max="9224" width="15.44140625" style="576" customWidth="1"/>
    <col min="9225" max="9225" width="12.88671875" style="576" bestFit="1" customWidth="1"/>
    <col min="9226" max="9226" width="8.88671875" style="576"/>
    <col min="9227" max="9227" width="12.88671875" style="576" bestFit="1" customWidth="1"/>
    <col min="9228" max="9471" width="8.88671875" style="576"/>
    <col min="9472" max="9472" width="3.6640625" style="576" bestFit="1" customWidth="1"/>
    <col min="9473" max="9473" width="8.33203125" style="576" customWidth="1"/>
    <col min="9474" max="9474" width="46.109375" style="576" customWidth="1"/>
    <col min="9475" max="9475" width="11" style="576" customWidth="1"/>
    <col min="9476" max="9476" width="12.5546875" style="576" customWidth="1"/>
    <col min="9477" max="9477" width="10.88671875" style="576" customWidth="1"/>
    <col min="9478" max="9478" width="16.109375" style="576" customWidth="1"/>
    <col min="9479" max="9479" width="0" style="576" hidden="1" customWidth="1"/>
    <col min="9480" max="9480" width="15.44140625" style="576" customWidth="1"/>
    <col min="9481" max="9481" width="12.88671875" style="576" bestFit="1" customWidth="1"/>
    <col min="9482" max="9482" width="8.88671875" style="576"/>
    <col min="9483" max="9483" width="12.88671875" style="576" bestFit="1" customWidth="1"/>
    <col min="9484" max="9727" width="8.88671875" style="576"/>
    <col min="9728" max="9728" width="3.6640625" style="576" bestFit="1" customWidth="1"/>
    <col min="9729" max="9729" width="8.33203125" style="576" customWidth="1"/>
    <col min="9730" max="9730" width="46.109375" style="576" customWidth="1"/>
    <col min="9731" max="9731" width="11" style="576" customWidth="1"/>
    <col min="9732" max="9732" width="12.5546875" style="576" customWidth="1"/>
    <col min="9733" max="9733" width="10.88671875" style="576" customWidth="1"/>
    <col min="9734" max="9734" width="16.109375" style="576" customWidth="1"/>
    <col min="9735" max="9735" width="0" style="576" hidden="1" customWidth="1"/>
    <col min="9736" max="9736" width="15.44140625" style="576" customWidth="1"/>
    <col min="9737" max="9737" width="12.88671875" style="576" bestFit="1" customWidth="1"/>
    <col min="9738" max="9738" width="8.88671875" style="576"/>
    <col min="9739" max="9739" width="12.88671875" style="576" bestFit="1" customWidth="1"/>
    <col min="9740" max="9983" width="8.88671875" style="576"/>
    <col min="9984" max="9984" width="3.6640625" style="576" bestFit="1" customWidth="1"/>
    <col min="9985" max="9985" width="8.33203125" style="576" customWidth="1"/>
    <col min="9986" max="9986" width="46.109375" style="576" customWidth="1"/>
    <col min="9987" max="9987" width="11" style="576" customWidth="1"/>
    <col min="9988" max="9988" width="12.5546875" style="576" customWidth="1"/>
    <col min="9989" max="9989" width="10.88671875" style="576" customWidth="1"/>
    <col min="9990" max="9990" width="16.109375" style="576" customWidth="1"/>
    <col min="9991" max="9991" width="0" style="576" hidden="1" customWidth="1"/>
    <col min="9992" max="9992" width="15.44140625" style="576" customWidth="1"/>
    <col min="9993" max="9993" width="12.88671875" style="576" bestFit="1" customWidth="1"/>
    <col min="9994" max="9994" width="8.88671875" style="576"/>
    <col min="9995" max="9995" width="12.88671875" style="576" bestFit="1" customWidth="1"/>
    <col min="9996" max="10239" width="8.88671875" style="576"/>
    <col min="10240" max="10240" width="3.6640625" style="576" bestFit="1" customWidth="1"/>
    <col min="10241" max="10241" width="8.33203125" style="576" customWidth="1"/>
    <col min="10242" max="10242" width="46.109375" style="576" customWidth="1"/>
    <col min="10243" max="10243" width="11" style="576" customWidth="1"/>
    <col min="10244" max="10244" width="12.5546875" style="576" customWidth="1"/>
    <col min="10245" max="10245" width="10.88671875" style="576" customWidth="1"/>
    <col min="10246" max="10246" width="16.109375" style="576" customWidth="1"/>
    <col min="10247" max="10247" width="0" style="576" hidden="1" customWidth="1"/>
    <col min="10248" max="10248" width="15.44140625" style="576" customWidth="1"/>
    <col min="10249" max="10249" width="12.88671875" style="576" bestFit="1" customWidth="1"/>
    <col min="10250" max="10250" width="8.88671875" style="576"/>
    <col min="10251" max="10251" width="12.88671875" style="576" bestFit="1" customWidth="1"/>
    <col min="10252" max="10495" width="8.88671875" style="576"/>
    <col min="10496" max="10496" width="3.6640625" style="576" bestFit="1" customWidth="1"/>
    <col min="10497" max="10497" width="8.33203125" style="576" customWidth="1"/>
    <col min="10498" max="10498" width="46.109375" style="576" customWidth="1"/>
    <col min="10499" max="10499" width="11" style="576" customWidth="1"/>
    <col min="10500" max="10500" width="12.5546875" style="576" customWidth="1"/>
    <col min="10501" max="10501" width="10.88671875" style="576" customWidth="1"/>
    <col min="10502" max="10502" width="16.109375" style="576" customWidth="1"/>
    <col min="10503" max="10503" width="0" style="576" hidden="1" customWidth="1"/>
    <col min="10504" max="10504" width="15.44140625" style="576" customWidth="1"/>
    <col min="10505" max="10505" width="12.88671875" style="576" bestFit="1" customWidth="1"/>
    <col min="10506" max="10506" width="8.88671875" style="576"/>
    <col min="10507" max="10507" width="12.88671875" style="576" bestFit="1" customWidth="1"/>
    <col min="10508" max="10751" width="8.88671875" style="576"/>
    <col min="10752" max="10752" width="3.6640625" style="576" bestFit="1" customWidth="1"/>
    <col min="10753" max="10753" width="8.33203125" style="576" customWidth="1"/>
    <col min="10754" max="10754" width="46.109375" style="576" customWidth="1"/>
    <col min="10755" max="10755" width="11" style="576" customWidth="1"/>
    <col min="10756" max="10756" width="12.5546875" style="576" customWidth="1"/>
    <col min="10757" max="10757" width="10.88671875" style="576" customWidth="1"/>
    <col min="10758" max="10758" width="16.109375" style="576" customWidth="1"/>
    <col min="10759" max="10759" width="0" style="576" hidden="1" customWidth="1"/>
    <col min="10760" max="10760" width="15.44140625" style="576" customWidth="1"/>
    <col min="10761" max="10761" width="12.88671875" style="576" bestFit="1" customWidth="1"/>
    <col min="10762" max="10762" width="8.88671875" style="576"/>
    <col min="10763" max="10763" width="12.88671875" style="576" bestFit="1" customWidth="1"/>
    <col min="10764" max="11007" width="8.88671875" style="576"/>
    <col min="11008" max="11008" width="3.6640625" style="576" bestFit="1" customWidth="1"/>
    <col min="11009" max="11009" width="8.33203125" style="576" customWidth="1"/>
    <col min="11010" max="11010" width="46.109375" style="576" customWidth="1"/>
    <col min="11011" max="11011" width="11" style="576" customWidth="1"/>
    <col min="11012" max="11012" width="12.5546875" style="576" customWidth="1"/>
    <col min="11013" max="11013" width="10.88671875" style="576" customWidth="1"/>
    <col min="11014" max="11014" width="16.109375" style="576" customWidth="1"/>
    <col min="11015" max="11015" width="0" style="576" hidden="1" customWidth="1"/>
    <col min="11016" max="11016" width="15.44140625" style="576" customWidth="1"/>
    <col min="11017" max="11017" width="12.88671875" style="576" bestFit="1" customWidth="1"/>
    <col min="11018" max="11018" width="8.88671875" style="576"/>
    <col min="11019" max="11019" width="12.88671875" style="576" bestFit="1" customWidth="1"/>
    <col min="11020" max="11263" width="8.88671875" style="576"/>
    <col min="11264" max="11264" width="3.6640625" style="576" bestFit="1" customWidth="1"/>
    <col min="11265" max="11265" width="8.33203125" style="576" customWidth="1"/>
    <col min="11266" max="11266" width="46.109375" style="576" customWidth="1"/>
    <col min="11267" max="11267" width="11" style="576" customWidth="1"/>
    <col min="11268" max="11268" width="12.5546875" style="576" customWidth="1"/>
    <col min="11269" max="11269" width="10.88671875" style="576" customWidth="1"/>
    <col min="11270" max="11270" width="16.109375" style="576" customWidth="1"/>
    <col min="11271" max="11271" width="0" style="576" hidden="1" customWidth="1"/>
    <col min="11272" max="11272" width="15.44140625" style="576" customWidth="1"/>
    <col min="11273" max="11273" width="12.88671875" style="576" bestFit="1" customWidth="1"/>
    <col min="11274" max="11274" width="8.88671875" style="576"/>
    <col min="11275" max="11275" width="12.88671875" style="576" bestFit="1" customWidth="1"/>
    <col min="11276" max="11519" width="8.88671875" style="576"/>
    <col min="11520" max="11520" width="3.6640625" style="576" bestFit="1" customWidth="1"/>
    <col min="11521" max="11521" width="8.33203125" style="576" customWidth="1"/>
    <col min="11522" max="11522" width="46.109375" style="576" customWidth="1"/>
    <col min="11523" max="11523" width="11" style="576" customWidth="1"/>
    <col min="11524" max="11524" width="12.5546875" style="576" customWidth="1"/>
    <col min="11525" max="11525" width="10.88671875" style="576" customWidth="1"/>
    <col min="11526" max="11526" width="16.109375" style="576" customWidth="1"/>
    <col min="11527" max="11527" width="0" style="576" hidden="1" customWidth="1"/>
    <col min="11528" max="11528" width="15.44140625" style="576" customWidth="1"/>
    <col min="11529" max="11529" width="12.88671875" style="576" bestFit="1" customWidth="1"/>
    <col min="11530" max="11530" width="8.88671875" style="576"/>
    <col min="11531" max="11531" width="12.88671875" style="576" bestFit="1" customWidth="1"/>
    <col min="11532" max="11775" width="8.88671875" style="576"/>
    <col min="11776" max="11776" width="3.6640625" style="576" bestFit="1" customWidth="1"/>
    <col min="11777" max="11777" width="8.33203125" style="576" customWidth="1"/>
    <col min="11778" max="11778" width="46.109375" style="576" customWidth="1"/>
    <col min="11779" max="11779" width="11" style="576" customWidth="1"/>
    <col min="11780" max="11780" width="12.5546875" style="576" customWidth="1"/>
    <col min="11781" max="11781" width="10.88671875" style="576" customWidth="1"/>
    <col min="11782" max="11782" width="16.109375" style="576" customWidth="1"/>
    <col min="11783" max="11783" width="0" style="576" hidden="1" customWidth="1"/>
    <col min="11784" max="11784" width="15.44140625" style="576" customWidth="1"/>
    <col min="11785" max="11785" width="12.88671875" style="576" bestFit="1" customWidth="1"/>
    <col min="11786" max="11786" width="8.88671875" style="576"/>
    <col min="11787" max="11787" width="12.88671875" style="576" bestFit="1" customWidth="1"/>
    <col min="11788" max="12031" width="8.88671875" style="576"/>
    <col min="12032" max="12032" width="3.6640625" style="576" bestFit="1" customWidth="1"/>
    <col min="12033" max="12033" width="8.33203125" style="576" customWidth="1"/>
    <col min="12034" max="12034" width="46.109375" style="576" customWidth="1"/>
    <col min="12035" max="12035" width="11" style="576" customWidth="1"/>
    <col min="12036" max="12036" width="12.5546875" style="576" customWidth="1"/>
    <col min="12037" max="12037" width="10.88671875" style="576" customWidth="1"/>
    <col min="12038" max="12038" width="16.109375" style="576" customWidth="1"/>
    <col min="12039" max="12039" width="0" style="576" hidden="1" customWidth="1"/>
    <col min="12040" max="12040" width="15.44140625" style="576" customWidth="1"/>
    <col min="12041" max="12041" width="12.88671875" style="576" bestFit="1" customWidth="1"/>
    <col min="12042" max="12042" width="8.88671875" style="576"/>
    <col min="12043" max="12043" width="12.88671875" style="576" bestFit="1" customWidth="1"/>
    <col min="12044" max="12287" width="8.88671875" style="576"/>
    <col min="12288" max="12288" width="3.6640625" style="576" bestFit="1" customWidth="1"/>
    <col min="12289" max="12289" width="8.33203125" style="576" customWidth="1"/>
    <col min="12290" max="12290" width="46.109375" style="576" customWidth="1"/>
    <col min="12291" max="12291" width="11" style="576" customWidth="1"/>
    <col min="12292" max="12292" width="12.5546875" style="576" customWidth="1"/>
    <col min="12293" max="12293" width="10.88671875" style="576" customWidth="1"/>
    <col min="12294" max="12294" width="16.109375" style="576" customWidth="1"/>
    <col min="12295" max="12295" width="0" style="576" hidden="1" customWidth="1"/>
    <col min="12296" max="12296" width="15.44140625" style="576" customWidth="1"/>
    <col min="12297" max="12297" width="12.88671875" style="576" bestFit="1" customWidth="1"/>
    <col min="12298" max="12298" width="8.88671875" style="576"/>
    <col min="12299" max="12299" width="12.88671875" style="576" bestFit="1" customWidth="1"/>
    <col min="12300" max="12543" width="8.88671875" style="576"/>
    <col min="12544" max="12544" width="3.6640625" style="576" bestFit="1" customWidth="1"/>
    <col min="12545" max="12545" width="8.33203125" style="576" customWidth="1"/>
    <col min="12546" max="12546" width="46.109375" style="576" customWidth="1"/>
    <col min="12547" max="12547" width="11" style="576" customWidth="1"/>
    <col min="12548" max="12548" width="12.5546875" style="576" customWidth="1"/>
    <col min="12549" max="12549" width="10.88671875" style="576" customWidth="1"/>
    <col min="12550" max="12550" width="16.109375" style="576" customWidth="1"/>
    <col min="12551" max="12551" width="0" style="576" hidden="1" customWidth="1"/>
    <col min="12552" max="12552" width="15.44140625" style="576" customWidth="1"/>
    <col min="12553" max="12553" width="12.88671875" style="576" bestFit="1" customWidth="1"/>
    <col min="12554" max="12554" width="8.88671875" style="576"/>
    <col min="12555" max="12555" width="12.88671875" style="576" bestFit="1" customWidth="1"/>
    <col min="12556" max="12799" width="8.88671875" style="576"/>
    <col min="12800" max="12800" width="3.6640625" style="576" bestFit="1" customWidth="1"/>
    <col min="12801" max="12801" width="8.33203125" style="576" customWidth="1"/>
    <col min="12802" max="12802" width="46.109375" style="576" customWidth="1"/>
    <col min="12803" max="12803" width="11" style="576" customWidth="1"/>
    <col min="12804" max="12804" width="12.5546875" style="576" customWidth="1"/>
    <col min="12805" max="12805" width="10.88671875" style="576" customWidth="1"/>
    <col min="12806" max="12806" width="16.109375" style="576" customWidth="1"/>
    <col min="12807" max="12807" width="0" style="576" hidden="1" customWidth="1"/>
    <col min="12808" max="12808" width="15.44140625" style="576" customWidth="1"/>
    <col min="12809" max="12809" width="12.88671875" style="576" bestFit="1" customWidth="1"/>
    <col min="12810" max="12810" width="8.88671875" style="576"/>
    <col min="12811" max="12811" width="12.88671875" style="576" bestFit="1" customWidth="1"/>
    <col min="12812" max="13055" width="8.88671875" style="576"/>
    <col min="13056" max="13056" width="3.6640625" style="576" bestFit="1" customWidth="1"/>
    <col min="13057" max="13057" width="8.33203125" style="576" customWidth="1"/>
    <col min="13058" max="13058" width="46.109375" style="576" customWidth="1"/>
    <col min="13059" max="13059" width="11" style="576" customWidth="1"/>
    <col min="13060" max="13060" width="12.5546875" style="576" customWidth="1"/>
    <col min="13061" max="13061" width="10.88671875" style="576" customWidth="1"/>
    <col min="13062" max="13062" width="16.109375" style="576" customWidth="1"/>
    <col min="13063" max="13063" width="0" style="576" hidden="1" customWidth="1"/>
    <col min="13064" max="13064" width="15.44140625" style="576" customWidth="1"/>
    <col min="13065" max="13065" width="12.88671875" style="576" bestFit="1" customWidth="1"/>
    <col min="13066" max="13066" width="8.88671875" style="576"/>
    <col min="13067" max="13067" width="12.88671875" style="576" bestFit="1" customWidth="1"/>
    <col min="13068" max="13311" width="8.88671875" style="576"/>
    <col min="13312" max="13312" width="3.6640625" style="576" bestFit="1" customWidth="1"/>
    <col min="13313" max="13313" width="8.33203125" style="576" customWidth="1"/>
    <col min="13314" max="13314" width="46.109375" style="576" customWidth="1"/>
    <col min="13315" max="13315" width="11" style="576" customWidth="1"/>
    <col min="13316" max="13316" width="12.5546875" style="576" customWidth="1"/>
    <col min="13317" max="13317" width="10.88671875" style="576" customWidth="1"/>
    <col min="13318" max="13318" width="16.109375" style="576" customWidth="1"/>
    <col min="13319" max="13319" width="0" style="576" hidden="1" customWidth="1"/>
    <col min="13320" max="13320" width="15.44140625" style="576" customWidth="1"/>
    <col min="13321" max="13321" width="12.88671875" style="576" bestFit="1" customWidth="1"/>
    <col min="13322" max="13322" width="8.88671875" style="576"/>
    <col min="13323" max="13323" width="12.88671875" style="576" bestFit="1" customWidth="1"/>
    <col min="13324" max="13567" width="8.88671875" style="576"/>
    <col min="13568" max="13568" width="3.6640625" style="576" bestFit="1" customWidth="1"/>
    <col min="13569" max="13569" width="8.33203125" style="576" customWidth="1"/>
    <col min="13570" max="13570" width="46.109375" style="576" customWidth="1"/>
    <col min="13571" max="13571" width="11" style="576" customWidth="1"/>
    <col min="13572" max="13572" width="12.5546875" style="576" customWidth="1"/>
    <col min="13573" max="13573" width="10.88671875" style="576" customWidth="1"/>
    <col min="13574" max="13574" width="16.109375" style="576" customWidth="1"/>
    <col min="13575" max="13575" width="0" style="576" hidden="1" customWidth="1"/>
    <col min="13576" max="13576" width="15.44140625" style="576" customWidth="1"/>
    <col min="13577" max="13577" width="12.88671875" style="576" bestFit="1" customWidth="1"/>
    <col min="13578" max="13578" width="8.88671875" style="576"/>
    <col min="13579" max="13579" width="12.88671875" style="576" bestFit="1" customWidth="1"/>
    <col min="13580" max="13823" width="8.88671875" style="576"/>
    <col min="13824" max="13824" width="3.6640625" style="576" bestFit="1" customWidth="1"/>
    <col min="13825" max="13825" width="8.33203125" style="576" customWidth="1"/>
    <col min="13826" max="13826" width="46.109375" style="576" customWidth="1"/>
    <col min="13827" max="13827" width="11" style="576" customWidth="1"/>
    <col min="13828" max="13828" width="12.5546875" style="576" customWidth="1"/>
    <col min="13829" max="13829" width="10.88671875" style="576" customWidth="1"/>
    <col min="13830" max="13830" width="16.109375" style="576" customWidth="1"/>
    <col min="13831" max="13831" width="0" style="576" hidden="1" customWidth="1"/>
    <col min="13832" max="13832" width="15.44140625" style="576" customWidth="1"/>
    <col min="13833" max="13833" width="12.88671875" style="576" bestFit="1" customWidth="1"/>
    <col min="13834" max="13834" width="8.88671875" style="576"/>
    <col min="13835" max="13835" width="12.88671875" style="576" bestFit="1" customWidth="1"/>
    <col min="13836" max="14079" width="8.88671875" style="576"/>
    <col min="14080" max="14080" width="3.6640625" style="576" bestFit="1" customWidth="1"/>
    <col min="14081" max="14081" width="8.33203125" style="576" customWidth="1"/>
    <col min="14082" max="14082" width="46.109375" style="576" customWidth="1"/>
    <col min="14083" max="14083" width="11" style="576" customWidth="1"/>
    <col min="14084" max="14084" width="12.5546875" style="576" customWidth="1"/>
    <col min="14085" max="14085" width="10.88671875" style="576" customWidth="1"/>
    <col min="14086" max="14086" width="16.109375" style="576" customWidth="1"/>
    <col min="14087" max="14087" width="0" style="576" hidden="1" customWidth="1"/>
    <col min="14088" max="14088" width="15.44140625" style="576" customWidth="1"/>
    <col min="14089" max="14089" width="12.88671875" style="576" bestFit="1" customWidth="1"/>
    <col min="14090" max="14090" width="8.88671875" style="576"/>
    <col min="14091" max="14091" width="12.88671875" style="576" bestFit="1" customWidth="1"/>
    <col min="14092" max="14335" width="8.88671875" style="576"/>
    <col min="14336" max="14336" width="3.6640625" style="576" bestFit="1" customWidth="1"/>
    <col min="14337" max="14337" width="8.33203125" style="576" customWidth="1"/>
    <col min="14338" max="14338" width="46.109375" style="576" customWidth="1"/>
    <col min="14339" max="14339" width="11" style="576" customWidth="1"/>
    <col min="14340" max="14340" width="12.5546875" style="576" customWidth="1"/>
    <col min="14341" max="14341" width="10.88671875" style="576" customWidth="1"/>
    <col min="14342" max="14342" width="16.109375" style="576" customWidth="1"/>
    <col min="14343" max="14343" width="0" style="576" hidden="1" customWidth="1"/>
    <col min="14344" max="14344" width="15.44140625" style="576" customWidth="1"/>
    <col min="14345" max="14345" width="12.88671875" style="576" bestFit="1" customWidth="1"/>
    <col min="14346" max="14346" width="8.88671875" style="576"/>
    <col min="14347" max="14347" width="12.88671875" style="576" bestFit="1" customWidth="1"/>
    <col min="14348" max="14591" width="8.88671875" style="576"/>
    <col min="14592" max="14592" width="3.6640625" style="576" bestFit="1" customWidth="1"/>
    <col min="14593" max="14593" width="8.33203125" style="576" customWidth="1"/>
    <col min="14594" max="14594" width="46.109375" style="576" customWidth="1"/>
    <col min="14595" max="14595" width="11" style="576" customWidth="1"/>
    <col min="14596" max="14596" width="12.5546875" style="576" customWidth="1"/>
    <col min="14597" max="14597" width="10.88671875" style="576" customWidth="1"/>
    <col min="14598" max="14598" width="16.109375" style="576" customWidth="1"/>
    <col min="14599" max="14599" width="0" style="576" hidden="1" customWidth="1"/>
    <col min="14600" max="14600" width="15.44140625" style="576" customWidth="1"/>
    <col min="14601" max="14601" width="12.88671875" style="576" bestFit="1" customWidth="1"/>
    <col min="14602" max="14602" width="8.88671875" style="576"/>
    <col min="14603" max="14603" width="12.88671875" style="576" bestFit="1" customWidth="1"/>
    <col min="14604" max="14847" width="8.88671875" style="576"/>
    <col min="14848" max="14848" width="3.6640625" style="576" bestFit="1" customWidth="1"/>
    <col min="14849" max="14849" width="8.33203125" style="576" customWidth="1"/>
    <col min="14850" max="14850" width="46.109375" style="576" customWidth="1"/>
    <col min="14851" max="14851" width="11" style="576" customWidth="1"/>
    <col min="14852" max="14852" width="12.5546875" style="576" customWidth="1"/>
    <col min="14853" max="14853" width="10.88671875" style="576" customWidth="1"/>
    <col min="14854" max="14854" width="16.109375" style="576" customWidth="1"/>
    <col min="14855" max="14855" width="0" style="576" hidden="1" customWidth="1"/>
    <col min="14856" max="14856" width="15.44140625" style="576" customWidth="1"/>
    <col min="14857" max="14857" width="12.88671875" style="576" bestFit="1" customWidth="1"/>
    <col min="14858" max="14858" width="8.88671875" style="576"/>
    <col min="14859" max="14859" width="12.88671875" style="576" bestFit="1" customWidth="1"/>
    <col min="14860" max="15103" width="8.88671875" style="576"/>
    <col min="15104" max="15104" width="3.6640625" style="576" bestFit="1" customWidth="1"/>
    <col min="15105" max="15105" width="8.33203125" style="576" customWidth="1"/>
    <col min="15106" max="15106" width="46.109375" style="576" customWidth="1"/>
    <col min="15107" max="15107" width="11" style="576" customWidth="1"/>
    <col min="15108" max="15108" width="12.5546875" style="576" customWidth="1"/>
    <col min="15109" max="15109" width="10.88671875" style="576" customWidth="1"/>
    <col min="15110" max="15110" width="16.109375" style="576" customWidth="1"/>
    <col min="15111" max="15111" width="0" style="576" hidden="1" customWidth="1"/>
    <col min="15112" max="15112" width="15.44140625" style="576" customWidth="1"/>
    <col min="15113" max="15113" width="12.88671875" style="576" bestFit="1" customWidth="1"/>
    <col min="15114" max="15114" width="8.88671875" style="576"/>
    <col min="15115" max="15115" width="12.88671875" style="576" bestFit="1" customWidth="1"/>
    <col min="15116" max="15359" width="8.88671875" style="576"/>
    <col min="15360" max="15360" width="3.6640625" style="576" bestFit="1" customWidth="1"/>
    <col min="15361" max="15361" width="8.33203125" style="576" customWidth="1"/>
    <col min="15362" max="15362" width="46.109375" style="576" customWidth="1"/>
    <col min="15363" max="15363" width="11" style="576" customWidth="1"/>
    <col min="15364" max="15364" width="12.5546875" style="576" customWidth="1"/>
    <col min="15365" max="15365" width="10.88671875" style="576" customWidth="1"/>
    <col min="15366" max="15366" width="16.109375" style="576" customWidth="1"/>
    <col min="15367" max="15367" width="0" style="576" hidden="1" customWidth="1"/>
    <col min="15368" max="15368" width="15.44140625" style="576" customWidth="1"/>
    <col min="15369" max="15369" width="12.88671875" style="576" bestFit="1" customWidth="1"/>
    <col min="15370" max="15370" width="8.88671875" style="576"/>
    <col min="15371" max="15371" width="12.88671875" style="576" bestFit="1" customWidth="1"/>
    <col min="15372" max="15615" width="8.88671875" style="576"/>
    <col min="15616" max="15616" width="3.6640625" style="576" bestFit="1" customWidth="1"/>
    <col min="15617" max="15617" width="8.33203125" style="576" customWidth="1"/>
    <col min="15618" max="15618" width="46.109375" style="576" customWidth="1"/>
    <col min="15619" max="15619" width="11" style="576" customWidth="1"/>
    <col min="15620" max="15620" width="12.5546875" style="576" customWidth="1"/>
    <col min="15621" max="15621" width="10.88671875" style="576" customWidth="1"/>
    <col min="15622" max="15622" width="16.109375" style="576" customWidth="1"/>
    <col min="15623" max="15623" width="0" style="576" hidden="1" customWidth="1"/>
    <col min="15624" max="15624" width="15.44140625" style="576" customWidth="1"/>
    <col min="15625" max="15625" width="12.88671875" style="576" bestFit="1" customWidth="1"/>
    <col min="15626" max="15626" width="8.88671875" style="576"/>
    <col min="15627" max="15627" width="12.88671875" style="576" bestFit="1" customWidth="1"/>
    <col min="15628" max="15871" width="8.88671875" style="576"/>
    <col min="15872" max="15872" width="3.6640625" style="576" bestFit="1" customWidth="1"/>
    <col min="15873" max="15873" width="8.33203125" style="576" customWidth="1"/>
    <col min="15874" max="15874" width="46.109375" style="576" customWidth="1"/>
    <col min="15875" max="15875" width="11" style="576" customWidth="1"/>
    <col min="15876" max="15876" width="12.5546875" style="576" customWidth="1"/>
    <col min="15877" max="15877" width="10.88671875" style="576" customWidth="1"/>
    <col min="15878" max="15878" width="16.109375" style="576" customWidth="1"/>
    <col min="15879" max="15879" width="0" style="576" hidden="1" customWidth="1"/>
    <col min="15880" max="15880" width="15.44140625" style="576" customWidth="1"/>
    <col min="15881" max="15881" width="12.88671875" style="576" bestFit="1" customWidth="1"/>
    <col min="15882" max="15882" width="8.88671875" style="576"/>
    <col min="15883" max="15883" width="12.88671875" style="576" bestFit="1" customWidth="1"/>
    <col min="15884" max="16127" width="8.88671875" style="576"/>
    <col min="16128" max="16128" width="3.6640625" style="576" bestFit="1" customWidth="1"/>
    <col min="16129" max="16129" width="8.33203125" style="576" customWidth="1"/>
    <col min="16130" max="16130" width="46.109375" style="576" customWidth="1"/>
    <col min="16131" max="16131" width="11" style="576" customWidth="1"/>
    <col min="16132" max="16132" width="12.5546875" style="576" customWidth="1"/>
    <col min="16133" max="16133" width="10.88671875" style="576" customWidth="1"/>
    <col min="16134" max="16134" width="16.109375" style="576" customWidth="1"/>
    <col min="16135" max="16135" width="0" style="576" hidden="1" customWidth="1"/>
    <col min="16136" max="16136" width="15.44140625" style="576" customWidth="1"/>
    <col min="16137" max="16137" width="12.88671875" style="576" bestFit="1" customWidth="1"/>
    <col min="16138" max="16138" width="8.88671875" style="576"/>
    <col min="16139" max="16139" width="12.88671875" style="576" bestFit="1" customWidth="1"/>
    <col min="16140" max="16384" width="8.88671875" style="576"/>
  </cols>
  <sheetData>
    <row r="1" spans="1:10" s="27" customFormat="1" ht="83.25" customHeight="1" thickBot="1">
      <c r="A1" s="984" t="s">
        <v>1240</v>
      </c>
      <c r="B1" s="985"/>
      <c r="C1" s="985"/>
      <c r="D1" s="986" t="str">
        <f>'Bill No 8.2.1 '!D1:G1</f>
        <v>REDUCTION OF LANDSLIDE VULNERABILITY BY MITIGATION MEASURES  PUNCHIMIRISKANDA- Site No. 83 -LOCATION 02</v>
      </c>
      <c r="E1" s="986"/>
      <c r="F1" s="986"/>
      <c r="G1" s="987"/>
    </row>
    <row r="2" spans="1:10" s="582" customFormat="1" ht="18" customHeight="1">
      <c r="A2" s="988" t="s">
        <v>11</v>
      </c>
      <c r="B2" s="989" t="s">
        <v>12</v>
      </c>
      <c r="C2" s="886" t="s">
        <v>8</v>
      </c>
      <c r="D2" s="886" t="s">
        <v>13</v>
      </c>
      <c r="E2" s="996" t="s">
        <v>14</v>
      </c>
      <c r="F2" s="992" t="s">
        <v>15</v>
      </c>
      <c r="G2" s="993" t="s">
        <v>16</v>
      </c>
      <c r="I2" s="598"/>
      <c r="J2" s="599"/>
    </row>
    <row r="3" spans="1:10" s="582" customFormat="1" ht="18" customHeight="1">
      <c r="A3" s="884"/>
      <c r="B3" s="886"/>
      <c r="C3" s="887"/>
      <c r="D3" s="887"/>
      <c r="E3" s="997"/>
      <c r="F3" s="888"/>
      <c r="G3" s="889"/>
      <c r="I3" s="598"/>
      <c r="J3" s="599"/>
    </row>
    <row r="4" spans="1:10" s="27" customFormat="1" ht="30.75" customHeight="1">
      <c r="A4" s="600" t="s">
        <v>1241</v>
      </c>
      <c r="B4" s="46"/>
      <c r="C4" s="362" t="s">
        <v>1242</v>
      </c>
      <c r="D4" s="46"/>
      <c r="E4" s="696"/>
      <c r="F4" s="57"/>
      <c r="G4" s="601"/>
      <c r="I4" s="602"/>
      <c r="J4" s="592"/>
    </row>
    <row r="5" spans="1:10" s="27" customFormat="1" ht="30" customHeight="1">
      <c r="A5" s="603" t="s">
        <v>1243</v>
      </c>
      <c r="B5" s="46" t="s">
        <v>37</v>
      </c>
      <c r="C5" s="47" t="s">
        <v>1170</v>
      </c>
      <c r="D5" s="46" t="s">
        <v>28</v>
      </c>
      <c r="E5" s="696">
        <v>3</v>
      </c>
      <c r="F5" s="57"/>
      <c r="G5" s="367"/>
      <c r="I5" s="602">
        <f>Drains83.2!I106</f>
        <v>2.05925</v>
      </c>
      <c r="J5" s="592"/>
    </row>
    <row r="6" spans="1:10" s="27" customFormat="1" ht="30" customHeight="1">
      <c r="A6" s="603" t="s">
        <v>1244</v>
      </c>
      <c r="B6" s="46" t="s">
        <v>39</v>
      </c>
      <c r="C6" s="47" t="s">
        <v>1172</v>
      </c>
      <c r="D6" s="46" t="s">
        <v>28</v>
      </c>
      <c r="E6" s="696">
        <v>10</v>
      </c>
      <c r="F6" s="57"/>
      <c r="G6" s="367"/>
      <c r="I6" s="602">
        <f>Drains83.2!J106+Drains83.2!J107</f>
        <v>9.1000750000000004</v>
      </c>
      <c r="J6" s="592"/>
    </row>
    <row r="7" spans="1:10" s="27" customFormat="1" ht="30" customHeight="1">
      <c r="A7" s="603" t="s">
        <v>1245</v>
      </c>
      <c r="B7" s="46" t="s">
        <v>41</v>
      </c>
      <c r="C7" s="47" t="s">
        <v>42</v>
      </c>
      <c r="D7" s="46" t="s">
        <v>43</v>
      </c>
      <c r="E7" s="696">
        <v>608</v>
      </c>
      <c r="F7" s="57"/>
      <c r="G7" s="367"/>
      <c r="I7" s="602">
        <f>Drains83.2!U107</f>
        <v>607.47222222222217</v>
      </c>
      <c r="J7" s="592"/>
    </row>
    <row r="8" spans="1:10" s="27" customFormat="1" ht="30" customHeight="1">
      <c r="A8" s="603" t="s">
        <v>1246</v>
      </c>
      <c r="B8" s="46" t="s">
        <v>44</v>
      </c>
      <c r="C8" s="47" t="s">
        <v>45</v>
      </c>
      <c r="D8" s="46" t="s">
        <v>312</v>
      </c>
      <c r="E8" s="696">
        <v>117</v>
      </c>
      <c r="F8" s="57"/>
      <c r="G8" s="367"/>
      <c r="I8" s="602">
        <f>Drains83.2!K106+Drains83.2!K107</f>
        <v>116.62</v>
      </c>
      <c r="J8" s="592"/>
    </row>
    <row r="9" spans="1:10" s="27" customFormat="1" ht="24" customHeight="1">
      <c r="A9" s="600" t="s">
        <v>1247</v>
      </c>
      <c r="B9" s="46"/>
      <c r="C9" s="362" t="s">
        <v>1176</v>
      </c>
      <c r="D9" s="46"/>
      <c r="E9" s="696"/>
      <c r="F9" s="57"/>
      <c r="G9" s="601"/>
      <c r="I9" s="602"/>
      <c r="J9" s="592"/>
    </row>
    <row r="10" spans="1:10" s="27" customFormat="1" ht="30" customHeight="1">
      <c r="A10" s="603" t="s">
        <v>1248</v>
      </c>
      <c r="B10" s="46" t="s">
        <v>37</v>
      </c>
      <c r="C10" s="47" t="s">
        <v>1170</v>
      </c>
      <c r="D10" s="46" t="s">
        <v>28</v>
      </c>
      <c r="E10" s="696">
        <v>4</v>
      </c>
      <c r="F10" s="57"/>
      <c r="G10" s="367"/>
      <c r="I10" s="602">
        <f>Drains83.2!I112</f>
        <v>3.1576000000000004</v>
      </c>
      <c r="J10" s="592"/>
    </row>
    <row r="11" spans="1:10" s="27" customFormat="1" ht="30" customHeight="1">
      <c r="A11" s="603" t="s">
        <v>1249</v>
      </c>
      <c r="B11" s="46" t="s">
        <v>39</v>
      </c>
      <c r="C11" s="47" t="s">
        <v>1172</v>
      </c>
      <c r="D11" s="46" t="s">
        <v>28</v>
      </c>
      <c r="E11" s="696">
        <v>16</v>
      </c>
      <c r="F11" s="57"/>
      <c r="G11" s="367"/>
      <c r="I11" s="602">
        <f>Drains83.2!J112+Drains83.2!J113</f>
        <v>15.8639375</v>
      </c>
      <c r="J11" s="592"/>
    </row>
    <row r="12" spans="1:10" s="27" customFormat="1" ht="30" customHeight="1">
      <c r="A12" s="603" t="s">
        <v>1250</v>
      </c>
      <c r="B12" s="46" t="s">
        <v>41</v>
      </c>
      <c r="C12" s="47" t="s">
        <v>42</v>
      </c>
      <c r="D12" s="46" t="s">
        <v>43</v>
      </c>
      <c r="E12" s="696">
        <v>966</v>
      </c>
      <c r="F12" s="57"/>
      <c r="G12" s="367"/>
      <c r="I12" s="602">
        <f>Drains83.2!U113</f>
        <v>965.71296296296282</v>
      </c>
      <c r="J12" s="592"/>
    </row>
    <row r="13" spans="1:10" s="27" customFormat="1" ht="30" customHeight="1">
      <c r="A13" s="603" t="s">
        <v>1251</v>
      </c>
      <c r="B13" s="46" t="s">
        <v>44</v>
      </c>
      <c r="C13" s="47" t="s">
        <v>45</v>
      </c>
      <c r="D13" s="46" t="s">
        <v>312</v>
      </c>
      <c r="E13" s="696">
        <v>208</v>
      </c>
      <c r="F13" s="57"/>
      <c r="G13" s="367"/>
      <c r="I13" s="602">
        <f>Drains83.2!K112+Drains83.2!K113</f>
        <v>207.75499999999997</v>
      </c>
      <c r="J13" s="592"/>
    </row>
    <row r="14" spans="1:10" s="27" customFormat="1" ht="21.6" customHeight="1">
      <c r="A14" s="600" t="s">
        <v>1252</v>
      </c>
      <c r="B14" s="46"/>
      <c r="C14" s="362" t="s">
        <v>1253</v>
      </c>
      <c r="D14" s="46"/>
      <c r="E14" s="696"/>
      <c r="F14" s="57"/>
      <c r="G14" s="601"/>
      <c r="I14" s="602"/>
      <c r="J14" s="592"/>
    </row>
    <row r="15" spans="1:10" s="27" customFormat="1" ht="30" customHeight="1">
      <c r="A15" s="603" t="s">
        <v>1254</v>
      </c>
      <c r="B15" s="46" t="s">
        <v>37</v>
      </c>
      <c r="C15" s="47" t="s">
        <v>1170</v>
      </c>
      <c r="D15" s="46" t="s">
        <v>28</v>
      </c>
      <c r="E15" s="696">
        <v>1</v>
      </c>
      <c r="F15" s="57"/>
      <c r="G15" s="367"/>
      <c r="I15" s="602">
        <f>Drains83.2!I161</f>
        <v>0.16835</v>
      </c>
      <c r="J15" s="592"/>
    </row>
    <row r="16" spans="1:10" s="27" customFormat="1" ht="30" customHeight="1">
      <c r="A16" s="603" t="s">
        <v>1255</v>
      </c>
      <c r="B16" s="46" t="s">
        <v>39</v>
      </c>
      <c r="C16" s="47" t="s">
        <v>1172</v>
      </c>
      <c r="D16" s="46" t="s">
        <v>28</v>
      </c>
      <c r="E16" s="696">
        <v>1</v>
      </c>
      <c r="F16" s="57"/>
      <c r="G16" s="367"/>
      <c r="I16" s="602">
        <f>Drains83.2!J161+Drains83.2!J162</f>
        <v>0.86351124999999995</v>
      </c>
      <c r="J16" s="592"/>
    </row>
    <row r="17" spans="1:21" s="27" customFormat="1" ht="30" customHeight="1">
      <c r="A17" s="603" t="s">
        <v>1256</v>
      </c>
      <c r="B17" s="46" t="s">
        <v>41</v>
      </c>
      <c r="C17" s="47" t="s">
        <v>42</v>
      </c>
      <c r="D17" s="46" t="s">
        <v>43</v>
      </c>
      <c r="E17" s="696">
        <v>49</v>
      </c>
      <c r="F17" s="57"/>
      <c r="G17" s="367"/>
      <c r="I17" s="602">
        <f>Drains83.2!S161</f>
        <v>48.218106995884774</v>
      </c>
      <c r="J17" s="592"/>
    </row>
    <row r="18" spans="1:21" s="27" customFormat="1" ht="30" customHeight="1">
      <c r="A18" s="603" t="s">
        <v>1257</v>
      </c>
      <c r="B18" s="46" t="s">
        <v>44</v>
      </c>
      <c r="C18" s="47" t="s">
        <v>45</v>
      </c>
      <c r="D18" s="46" t="s">
        <v>312</v>
      </c>
      <c r="E18" s="696">
        <v>13</v>
      </c>
      <c r="F18" s="57"/>
      <c r="G18" s="367"/>
      <c r="I18" s="602">
        <f>Drains83.2!K161+Drains83.2!K162</f>
        <v>12.092499999999999</v>
      </c>
      <c r="J18" s="592"/>
    </row>
    <row r="19" spans="1:21" s="27" customFormat="1" ht="15.6" customHeight="1">
      <c r="A19" s="600" t="s">
        <v>1258</v>
      </c>
      <c r="B19" s="46"/>
      <c r="C19" s="362" t="s">
        <v>1259</v>
      </c>
      <c r="D19" s="46"/>
      <c r="E19" s="696"/>
      <c r="F19" s="57"/>
      <c r="G19" s="601"/>
      <c r="I19" s="602"/>
      <c r="J19" s="592"/>
    </row>
    <row r="20" spans="1:21" s="27" customFormat="1" ht="30" customHeight="1">
      <c r="A20" s="603" t="s">
        <v>1260</v>
      </c>
      <c r="B20" s="46" t="s">
        <v>39</v>
      </c>
      <c r="C20" s="47" t="s">
        <v>1172</v>
      </c>
      <c r="D20" s="46" t="s">
        <v>28</v>
      </c>
      <c r="E20" s="696">
        <v>14</v>
      </c>
      <c r="F20" s="57"/>
      <c r="G20" s="367"/>
      <c r="I20" s="602">
        <f>Drains83.2!J206</f>
        <v>13.549999999999999</v>
      </c>
      <c r="J20" s="592"/>
    </row>
    <row r="21" spans="1:21" s="27" customFormat="1" ht="30" customHeight="1">
      <c r="A21" s="603" t="s">
        <v>1261</v>
      </c>
      <c r="B21" s="46" t="s">
        <v>41</v>
      </c>
      <c r="C21" s="47" t="s">
        <v>42</v>
      </c>
      <c r="D21" s="46" t="s">
        <v>43</v>
      </c>
      <c r="E21" s="696">
        <v>801</v>
      </c>
      <c r="F21" s="57"/>
      <c r="G21" s="367"/>
      <c r="I21" s="602">
        <f>Drains83.2!U208</f>
        <v>800.82999999999993</v>
      </c>
      <c r="J21" s="592"/>
    </row>
    <row r="22" spans="1:21" s="27" customFormat="1" ht="22.2" customHeight="1">
      <c r="A22" s="603" t="s">
        <v>1262</v>
      </c>
      <c r="B22" s="46" t="s">
        <v>44</v>
      </c>
      <c r="C22" s="47" t="s">
        <v>45</v>
      </c>
      <c r="D22" s="46" t="s">
        <v>312</v>
      </c>
      <c r="E22" s="696">
        <v>50</v>
      </c>
      <c r="F22" s="57"/>
      <c r="G22" s="367"/>
      <c r="I22" s="602">
        <f>Drains83.2!K206</f>
        <v>49.519999999999996</v>
      </c>
      <c r="J22" s="592"/>
    </row>
    <row r="23" spans="1:21" s="27" customFormat="1" ht="27.75" customHeight="1">
      <c r="A23" s="600" t="s">
        <v>1263</v>
      </c>
      <c r="B23" s="46"/>
      <c r="C23" s="66" t="s">
        <v>1188</v>
      </c>
      <c r="D23" s="46"/>
      <c r="E23" s="238"/>
      <c r="F23" s="57"/>
      <c r="G23" s="604"/>
      <c r="I23" s="602"/>
      <c r="J23" s="592"/>
    </row>
    <row r="24" spans="1:21" s="27" customFormat="1" ht="27.75" customHeight="1">
      <c r="A24" s="603" t="s">
        <v>1264</v>
      </c>
      <c r="B24" s="46" t="s">
        <v>49</v>
      </c>
      <c r="C24" s="47" t="s">
        <v>448</v>
      </c>
      <c r="D24" s="46" t="s">
        <v>5</v>
      </c>
      <c r="E24" s="238">
        <v>7</v>
      </c>
      <c r="F24" s="57"/>
      <c r="G24" s="604"/>
      <c r="I24" s="602">
        <f>(Drains83.2!E161)*1.1+1</f>
        <v>6.6980000000000004</v>
      </c>
      <c r="J24" s="592"/>
    </row>
    <row r="25" spans="1:21" s="27" customFormat="1" ht="30" customHeight="1">
      <c r="A25" s="600" t="s">
        <v>1265</v>
      </c>
      <c r="B25" s="350"/>
      <c r="C25" s="605" t="s">
        <v>450</v>
      </c>
      <c r="D25" s="350"/>
      <c r="E25" s="703"/>
      <c r="F25" s="57"/>
      <c r="G25" s="601"/>
      <c r="I25" s="602"/>
      <c r="J25" s="592"/>
    </row>
    <row r="26" spans="1:21" s="27" customFormat="1" ht="30" customHeight="1">
      <c r="A26" s="603" t="s">
        <v>1266</v>
      </c>
      <c r="B26" s="56" t="s">
        <v>452</v>
      </c>
      <c r="C26" s="607" t="s">
        <v>1192</v>
      </c>
      <c r="D26" s="56" t="s">
        <v>28</v>
      </c>
      <c r="E26" s="703">
        <v>102</v>
      </c>
      <c r="F26" s="57"/>
      <c r="G26" s="367"/>
      <c r="I26" s="602">
        <f>'QTY83.2'!J35</f>
        <v>101.46000000000001</v>
      </c>
      <c r="J26" s="592"/>
    </row>
    <row r="27" spans="1:21" s="27" customFormat="1" ht="30" customHeight="1">
      <c r="A27" s="603" t="s">
        <v>1267</v>
      </c>
      <c r="B27" s="56" t="s">
        <v>1194</v>
      </c>
      <c r="C27" s="47" t="s">
        <v>457</v>
      </c>
      <c r="D27" s="56" t="s">
        <v>28</v>
      </c>
      <c r="E27" s="703">
        <v>28</v>
      </c>
      <c r="F27" s="57"/>
      <c r="G27" s="367"/>
      <c r="I27" s="602">
        <f>'QTY83.2'!J36</f>
        <v>27.900000000000002</v>
      </c>
      <c r="J27" s="592"/>
    </row>
    <row r="28" spans="1:21" s="27" customFormat="1" ht="30" customHeight="1">
      <c r="A28" s="603" t="s">
        <v>1268</v>
      </c>
      <c r="B28" s="56" t="s">
        <v>50</v>
      </c>
      <c r="C28" s="223" t="s">
        <v>51</v>
      </c>
      <c r="D28" s="56" t="s">
        <v>312</v>
      </c>
      <c r="E28" s="703">
        <v>201</v>
      </c>
      <c r="F28" s="57"/>
      <c r="G28" s="367"/>
      <c r="I28" s="602">
        <f>'QTY83.2'!J37</f>
        <v>200.20999999999998</v>
      </c>
      <c r="J28" s="592"/>
    </row>
    <row r="29" spans="1:21" s="27" customFormat="1" ht="30" customHeight="1">
      <c r="A29" s="600" t="s">
        <v>1269</v>
      </c>
      <c r="B29" s="46"/>
      <c r="C29" s="619" t="s">
        <v>461</v>
      </c>
      <c r="D29" s="46"/>
      <c r="E29" s="703"/>
      <c r="F29" s="57"/>
      <c r="G29" s="367"/>
      <c r="I29" s="602"/>
      <c r="J29" s="592"/>
    </row>
    <row r="30" spans="1:21" s="27" customFormat="1" ht="30" customHeight="1">
      <c r="A30" s="706" t="s">
        <v>1270</v>
      </c>
      <c r="B30" s="289" t="s">
        <v>732</v>
      </c>
      <c r="C30" s="353" t="s">
        <v>1203</v>
      </c>
      <c r="D30" s="46" t="s">
        <v>312</v>
      </c>
      <c r="E30" s="703">
        <v>100</v>
      </c>
      <c r="F30" s="57"/>
      <c r="G30" s="367"/>
      <c r="I30" s="602"/>
      <c r="J30" s="592"/>
    </row>
    <row r="31" spans="1:21" s="573" customFormat="1" ht="33.75" customHeight="1" thickBot="1">
      <c r="A31" s="608"/>
      <c r="B31" s="981" t="s">
        <v>1271</v>
      </c>
      <c r="C31" s="982"/>
      <c r="D31" s="982"/>
      <c r="E31" s="982"/>
      <c r="F31" s="983"/>
      <c r="G31" s="571"/>
      <c r="H31" s="572"/>
      <c r="I31" s="609"/>
      <c r="J31" s="610"/>
      <c r="K31" s="611"/>
      <c r="L31" s="611"/>
      <c r="M31" s="611"/>
      <c r="N31" s="611"/>
      <c r="O31" s="611"/>
      <c r="P31" s="611"/>
      <c r="Q31" s="611"/>
      <c r="R31" s="611"/>
      <c r="S31" s="611"/>
      <c r="T31" s="611"/>
      <c r="U31" s="611"/>
    </row>
  </sheetData>
  <mergeCells count="10">
    <mergeCell ref="B31:F31"/>
    <mergeCell ref="A1:C1"/>
    <mergeCell ref="D1:G1"/>
    <mergeCell ref="A2:A3"/>
    <mergeCell ref="B2:B3"/>
    <mergeCell ref="C2:C3"/>
    <mergeCell ref="D2:D3"/>
    <mergeCell ref="E2:E3"/>
    <mergeCell ref="F2:F3"/>
    <mergeCell ref="G2:G3"/>
  </mergeCells>
  <printOptions horizontalCentered="1"/>
  <pageMargins left="0.75" right="0.4" top="0.75" bottom="0.5" header="0" footer="0"/>
  <pageSetup paperSize="9"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7EE0-1F1E-4608-BA01-64BD314D2F61}">
  <sheetPr>
    <tabColor rgb="FFFF9933"/>
  </sheetPr>
  <dimension ref="A1:I28"/>
  <sheetViews>
    <sheetView view="pageBreakPreview" zoomScale="110" zoomScaleNormal="110" zoomScaleSheetLayoutView="110" workbookViewId="0">
      <pane ySplit="2" topLeftCell="A25" activePane="bottomLeft" state="frozen"/>
      <selection activeCell="E36" sqref="E36"/>
      <selection pane="bottomLeft" activeCell="H1" sqref="H1:H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31" customWidth="1"/>
    <col min="6" max="6" width="15.5546875" style="31" customWidth="1"/>
    <col min="7" max="7" width="19.88671875" style="31" customWidth="1"/>
    <col min="8" max="8" width="11.44140625" style="59" hidden="1" customWidth="1"/>
    <col min="9" max="16384" width="9.109375" style="31"/>
  </cols>
  <sheetData>
    <row r="1" spans="1:8" s="27" customFormat="1" ht="60" customHeight="1" thickBot="1">
      <c r="A1" s="892" t="s">
        <v>253</v>
      </c>
      <c r="B1" s="893"/>
      <c r="C1" s="893"/>
      <c r="D1" s="894" t="str">
        <f>+'Bill 2.1'!D1:G1</f>
        <v xml:space="preserve">REDUCTION OF LANDSLIDE VULNERABILITY BY MITIGATION MEASURES MAWATHAWATTA  DELKIETH  ESTATE (Site No.78)
</v>
      </c>
      <c r="E1" s="894"/>
      <c r="F1" s="894"/>
      <c r="G1" s="895"/>
    </row>
    <row r="2" spans="1:8" ht="26.4">
      <c r="A2" s="754" t="s">
        <v>11</v>
      </c>
      <c r="B2" s="28" t="s">
        <v>12</v>
      </c>
      <c r="C2" s="29" t="s">
        <v>8</v>
      </c>
      <c r="D2" s="28" t="s">
        <v>13</v>
      </c>
      <c r="E2" s="28" t="s">
        <v>14</v>
      </c>
      <c r="F2" s="30" t="s">
        <v>15</v>
      </c>
      <c r="G2" s="755" t="s">
        <v>16</v>
      </c>
    </row>
    <row r="3" spans="1:8" ht="29.4" customHeight="1">
      <c r="A3" s="766" t="s">
        <v>254</v>
      </c>
      <c r="B3" s="60"/>
      <c r="C3" s="42" t="s">
        <v>210</v>
      </c>
      <c r="D3" s="61"/>
      <c r="E3" s="61"/>
      <c r="F3" s="61"/>
      <c r="G3" s="767"/>
    </row>
    <row r="4" spans="1:8" ht="29.4" customHeight="1">
      <c r="A4" s="758" t="s">
        <v>255</v>
      </c>
      <c r="B4" s="62" t="s">
        <v>37</v>
      </c>
      <c r="C4" s="45" t="s">
        <v>38</v>
      </c>
      <c r="D4" s="33" t="s">
        <v>27</v>
      </c>
      <c r="E4" s="241">
        <v>3</v>
      </c>
      <c r="F4" s="35"/>
      <c r="G4" s="764"/>
      <c r="H4" s="59">
        <f>Drains78!I107</f>
        <v>2.6500000000000004</v>
      </c>
    </row>
    <row r="5" spans="1:8" ht="29.4" customHeight="1">
      <c r="A5" s="758" t="s">
        <v>256</v>
      </c>
      <c r="B5" s="62" t="s">
        <v>39</v>
      </c>
      <c r="C5" s="45" t="s">
        <v>40</v>
      </c>
      <c r="D5" s="33" t="s">
        <v>27</v>
      </c>
      <c r="E5" s="241">
        <v>12</v>
      </c>
      <c r="F5" s="35"/>
      <c r="G5" s="764"/>
      <c r="H5" s="59">
        <f>Drains78!J107+Drains78!J108</f>
        <v>11.710625</v>
      </c>
    </row>
    <row r="6" spans="1:8" ht="29.4" customHeight="1">
      <c r="A6" s="758" t="s">
        <v>257</v>
      </c>
      <c r="B6" s="62" t="s">
        <v>41</v>
      </c>
      <c r="C6" s="45" t="s">
        <v>42</v>
      </c>
      <c r="D6" s="33" t="s">
        <v>43</v>
      </c>
      <c r="E6" s="241">
        <v>782</v>
      </c>
      <c r="F6" s="35"/>
      <c r="G6" s="764"/>
      <c r="H6" s="59">
        <f>Drains78!U108</f>
        <v>781.41975308641975</v>
      </c>
    </row>
    <row r="7" spans="1:8" ht="29.4" customHeight="1">
      <c r="A7" s="758" t="s">
        <v>258</v>
      </c>
      <c r="B7" s="62" t="s">
        <v>44</v>
      </c>
      <c r="C7" s="45" t="s">
        <v>45</v>
      </c>
      <c r="D7" s="33" t="s">
        <v>20</v>
      </c>
      <c r="E7" s="241">
        <v>151</v>
      </c>
      <c r="F7" s="35"/>
      <c r="G7" s="764"/>
      <c r="H7" s="59">
        <f>Drains78!K107+Drains78!K108</f>
        <v>150.07399999999998</v>
      </c>
    </row>
    <row r="8" spans="1:8" ht="29.4" customHeight="1">
      <c r="A8" s="766" t="s">
        <v>259</v>
      </c>
      <c r="B8" s="60"/>
      <c r="C8" s="42" t="s">
        <v>36</v>
      </c>
      <c r="D8" s="61"/>
      <c r="E8" s="242"/>
      <c r="F8" s="61"/>
      <c r="G8" s="767"/>
    </row>
    <row r="9" spans="1:8" ht="29.4" customHeight="1">
      <c r="A9" s="758" t="s">
        <v>260</v>
      </c>
      <c r="B9" s="62" t="s">
        <v>37</v>
      </c>
      <c r="C9" s="45" t="s">
        <v>38</v>
      </c>
      <c r="D9" s="33" t="s">
        <v>27</v>
      </c>
      <c r="E9" s="241">
        <v>3</v>
      </c>
      <c r="F9" s="35"/>
      <c r="G9" s="764"/>
      <c r="H9" s="59">
        <f>Drains78!I110</f>
        <v>2.3289500000000003</v>
      </c>
    </row>
    <row r="10" spans="1:8" ht="29.4" customHeight="1">
      <c r="A10" s="758" t="s">
        <v>261</v>
      </c>
      <c r="B10" s="62" t="s">
        <v>39</v>
      </c>
      <c r="C10" s="45" t="s">
        <v>40</v>
      </c>
      <c r="D10" s="33" t="s">
        <v>27</v>
      </c>
      <c r="E10" s="241">
        <v>12</v>
      </c>
      <c r="F10" s="35"/>
      <c r="G10" s="764"/>
      <c r="H10" s="59">
        <f>Drains78!J110+Drains78!J111</f>
        <v>11.157925000000002</v>
      </c>
    </row>
    <row r="11" spans="1:8" ht="29.4" customHeight="1">
      <c r="A11" s="758" t="s">
        <v>262</v>
      </c>
      <c r="B11" s="62" t="s">
        <v>41</v>
      </c>
      <c r="C11" s="45" t="s">
        <v>42</v>
      </c>
      <c r="D11" s="33" t="s">
        <v>43</v>
      </c>
      <c r="E11" s="241">
        <v>726</v>
      </c>
      <c r="F11" s="35"/>
      <c r="G11" s="764"/>
      <c r="H11" s="59">
        <f>Drains78!U111</f>
        <v>726.92181069958849</v>
      </c>
    </row>
    <row r="12" spans="1:8" ht="29.4" customHeight="1">
      <c r="A12" s="758" t="s">
        <v>263</v>
      </c>
      <c r="B12" s="62" t="s">
        <v>44</v>
      </c>
      <c r="C12" s="45" t="s">
        <v>45</v>
      </c>
      <c r="D12" s="33" t="s">
        <v>20</v>
      </c>
      <c r="E12" s="241">
        <v>145</v>
      </c>
      <c r="F12" s="35"/>
      <c r="G12" s="764"/>
      <c r="H12" s="59">
        <f>Drains78!K110+Drains78!K111</f>
        <v>144.994</v>
      </c>
    </row>
    <row r="13" spans="1:8" ht="29.4" customHeight="1">
      <c r="A13" s="766" t="s">
        <v>264</v>
      </c>
      <c r="B13" s="51"/>
      <c r="C13" s="42" t="s">
        <v>46</v>
      </c>
      <c r="D13" s="41"/>
      <c r="E13" s="243"/>
      <c r="F13" s="41"/>
      <c r="G13" s="765"/>
    </row>
    <row r="14" spans="1:8" ht="29.4" customHeight="1">
      <c r="A14" s="758" t="s">
        <v>265</v>
      </c>
      <c r="B14" s="62" t="s">
        <v>37</v>
      </c>
      <c r="C14" s="45" t="s">
        <v>38</v>
      </c>
      <c r="D14" s="33" t="s">
        <v>27</v>
      </c>
      <c r="E14" s="241">
        <v>4</v>
      </c>
      <c r="F14" s="35"/>
      <c r="G14" s="764"/>
      <c r="H14" s="59">
        <f>Drains78!I113</f>
        <v>3.3884000000000003</v>
      </c>
    </row>
    <row r="15" spans="1:8" ht="29.4" customHeight="1">
      <c r="A15" s="758" t="s">
        <v>266</v>
      </c>
      <c r="B15" s="62" t="s">
        <v>39</v>
      </c>
      <c r="C15" s="45" t="s">
        <v>40</v>
      </c>
      <c r="D15" s="33" t="s">
        <v>27</v>
      </c>
      <c r="E15" s="241">
        <v>17</v>
      </c>
      <c r="F15" s="35"/>
      <c r="G15" s="764"/>
      <c r="H15" s="59">
        <f>Drains78!J113+Drains78!J168</f>
        <v>16.942</v>
      </c>
    </row>
    <row r="16" spans="1:8" ht="29.4" customHeight="1">
      <c r="A16" s="758" t="s">
        <v>262</v>
      </c>
      <c r="B16" s="62" t="s">
        <v>41</v>
      </c>
      <c r="C16" s="45" t="s">
        <v>42</v>
      </c>
      <c r="D16" s="33" t="s">
        <v>43</v>
      </c>
      <c r="E16" s="241">
        <v>1037</v>
      </c>
      <c r="F16" s="35"/>
      <c r="G16" s="764"/>
      <c r="H16" s="59">
        <f>Drains78!U114</f>
        <v>1036.3780864197531</v>
      </c>
    </row>
    <row r="17" spans="1:9" ht="29.4" customHeight="1">
      <c r="A17" s="758" t="s">
        <v>267</v>
      </c>
      <c r="B17" s="62" t="s">
        <v>44</v>
      </c>
      <c r="C17" s="45" t="s">
        <v>45</v>
      </c>
      <c r="D17" s="33" t="s">
        <v>20</v>
      </c>
      <c r="E17" s="241">
        <v>223</v>
      </c>
      <c r="F17" s="35"/>
      <c r="G17" s="764"/>
      <c r="H17" s="59">
        <f>Drains78!K113+Drains78!K114</f>
        <v>222.94299999999996</v>
      </c>
    </row>
    <row r="18" spans="1:9" ht="30" customHeight="1">
      <c r="A18" s="766" t="s">
        <v>268</v>
      </c>
      <c r="B18" s="60"/>
      <c r="C18" s="55" t="s">
        <v>47</v>
      </c>
      <c r="D18" s="41"/>
      <c r="E18" s="242"/>
      <c r="F18" s="61"/>
      <c r="G18" s="765"/>
    </row>
    <row r="19" spans="1:9" ht="30" customHeight="1">
      <c r="A19" s="758" t="s">
        <v>269</v>
      </c>
      <c r="B19" s="62" t="s">
        <v>37</v>
      </c>
      <c r="C19" s="45" t="s">
        <v>38</v>
      </c>
      <c r="D19" s="33" t="s">
        <v>27</v>
      </c>
      <c r="E19" s="241">
        <v>8</v>
      </c>
      <c r="F19" s="35"/>
      <c r="G19" s="764"/>
      <c r="H19" s="59">
        <f>Drains78!I169</f>
        <v>7.182500000000001</v>
      </c>
    </row>
    <row r="20" spans="1:9" ht="30" customHeight="1">
      <c r="A20" s="758" t="s">
        <v>270</v>
      </c>
      <c r="B20" s="62" t="s">
        <v>39</v>
      </c>
      <c r="C20" s="45" t="s">
        <v>40</v>
      </c>
      <c r="D20" s="33" t="s">
        <v>27</v>
      </c>
      <c r="E20" s="241">
        <v>44</v>
      </c>
      <c r="F20" s="35"/>
      <c r="G20" s="764"/>
      <c r="H20" s="59">
        <f>Drains78!J169+Drains78!J170</f>
        <v>43.411234374999999</v>
      </c>
    </row>
    <row r="21" spans="1:9" ht="30" customHeight="1">
      <c r="A21" s="758" t="s">
        <v>271</v>
      </c>
      <c r="B21" s="62" t="s">
        <v>41</v>
      </c>
      <c r="C21" s="45" t="s">
        <v>42</v>
      </c>
      <c r="D21" s="33" t="s">
        <v>43</v>
      </c>
      <c r="E21" s="241">
        <v>2319</v>
      </c>
      <c r="F21" s="35"/>
      <c r="G21" s="764"/>
      <c r="H21" s="59">
        <f>Drains78!S169</f>
        <v>2318.8888888888891</v>
      </c>
    </row>
    <row r="22" spans="1:9" ht="30" customHeight="1">
      <c r="A22" s="758" t="s">
        <v>272</v>
      </c>
      <c r="B22" s="62" t="s">
        <v>44</v>
      </c>
      <c r="C22" s="45" t="s">
        <v>45</v>
      </c>
      <c r="D22" s="33" t="s">
        <v>20</v>
      </c>
      <c r="E22" s="241">
        <v>646</v>
      </c>
      <c r="F22" s="35"/>
      <c r="G22" s="764"/>
      <c r="H22" s="59">
        <f>Drains78!K169+Drains78!K170</f>
        <v>645.01374999999996</v>
      </c>
    </row>
    <row r="23" spans="1:9" s="65" customFormat="1" ht="27.75" customHeight="1">
      <c r="A23" s="766" t="s">
        <v>273</v>
      </c>
      <c r="B23" s="46"/>
      <c r="C23" s="66" t="s">
        <v>1527</v>
      </c>
      <c r="D23" s="46"/>
      <c r="E23" s="238"/>
      <c r="F23" s="57"/>
      <c r="G23" s="367"/>
      <c r="H23" s="63"/>
      <c r="I23" s="64"/>
    </row>
    <row r="24" spans="1:9" s="65" customFormat="1" ht="31.95" customHeight="1">
      <c r="A24" s="768" t="s">
        <v>274</v>
      </c>
      <c r="B24" s="46" t="s">
        <v>49</v>
      </c>
      <c r="C24" s="58" t="s">
        <v>221</v>
      </c>
      <c r="D24" s="46" t="s">
        <v>5</v>
      </c>
      <c r="E24" s="238">
        <v>222</v>
      </c>
      <c r="F24" s="57"/>
      <c r="G24" s="367"/>
      <c r="H24" s="63">
        <f>Drains78!E169+1</f>
        <v>222</v>
      </c>
      <c r="I24" s="64"/>
    </row>
    <row r="25" spans="1:9" s="65" customFormat="1" ht="31.95" customHeight="1">
      <c r="A25" s="762" t="s">
        <v>1458</v>
      </c>
      <c r="B25" s="46"/>
      <c r="C25" s="234" t="s">
        <v>216</v>
      </c>
      <c r="D25" s="232"/>
      <c r="E25" s="236"/>
      <c r="F25" s="233"/>
      <c r="G25" s="769"/>
      <c r="H25" s="63"/>
      <c r="I25" s="64"/>
    </row>
    <row r="26" spans="1:9" s="65" customFormat="1" ht="31.95" customHeight="1">
      <c r="A26" s="758" t="s">
        <v>1459</v>
      </c>
      <c r="B26" s="235"/>
      <c r="C26" s="244" t="s">
        <v>215</v>
      </c>
      <c r="D26" s="245" t="s">
        <v>28</v>
      </c>
      <c r="E26" s="236">
        <v>400</v>
      </c>
      <c r="F26" s="233"/>
      <c r="G26" s="367"/>
      <c r="H26" s="63">
        <f>'QTY78'!J46</f>
        <v>400.03854000000001</v>
      </c>
      <c r="I26" s="64"/>
    </row>
    <row r="27" spans="1:9" s="65" customFormat="1" ht="31.95" customHeight="1">
      <c r="A27" s="758" t="s">
        <v>1460</v>
      </c>
      <c r="B27" s="56" t="s">
        <v>50</v>
      </c>
      <c r="C27" s="223" t="s">
        <v>51</v>
      </c>
      <c r="D27" s="33" t="s">
        <v>20</v>
      </c>
      <c r="E27" s="236">
        <v>465</v>
      </c>
      <c r="F27" s="233"/>
      <c r="G27" s="367"/>
      <c r="H27" s="63">
        <f>'QTY78'!J48</f>
        <v>463.97164000000004</v>
      </c>
      <c r="I27" s="64"/>
    </row>
    <row r="28" spans="1:9" ht="30" customHeight="1" thickBot="1">
      <c r="A28" s="760"/>
      <c r="B28" s="896" t="s">
        <v>275</v>
      </c>
      <c r="C28" s="897"/>
      <c r="D28" s="897"/>
      <c r="E28" s="897"/>
      <c r="F28" s="898"/>
      <c r="G28" s="761"/>
    </row>
  </sheetData>
  <mergeCells count="3">
    <mergeCell ref="A1:C1"/>
    <mergeCell ref="D1:G1"/>
    <mergeCell ref="B28:F28"/>
  </mergeCells>
  <phoneticPr fontId="31" type="noConversion"/>
  <printOptions horizontalCentered="1"/>
  <pageMargins left="0.75" right="0.4" top="0.75" bottom="0.5" header="0" footer="0"/>
  <pageSetup paperSize="9" scale="70" fitToHeight="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1E58D-87E0-4503-9752-32B5C38533D5}">
  <sheetPr>
    <tabColor rgb="FF00B050"/>
  </sheetPr>
  <dimension ref="A1:V112"/>
  <sheetViews>
    <sheetView view="pageBreakPreview" zoomScale="90" zoomScaleNormal="100" zoomScaleSheetLayoutView="90" workbookViewId="0">
      <pane ySplit="2" topLeftCell="A3" activePane="bottomLeft" state="frozen"/>
      <selection activeCell="B5" sqref="B5:E5"/>
      <selection pane="bottomLeft" activeCell="B5" sqref="B5:E5"/>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5" width="9.109375" style="68"/>
    <col min="16" max="16" width="11.109375" style="68" bestFit="1" customWidth="1"/>
    <col min="17" max="16384" width="9.109375" style="68"/>
  </cols>
  <sheetData>
    <row r="1" spans="1:12" ht="20.100000000000001" customHeight="1">
      <c r="A1" s="902" t="s">
        <v>948</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11" t="s">
        <v>62</v>
      </c>
      <c r="B4" s="912"/>
      <c r="C4" s="912"/>
      <c r="D4" s="912"/>
      <c r="E4" s="912"/>
      <c r="F4" s="913"/>
      <c r="G4" s="73"/>
      <c r="H4" s="74"/>
      <c r="I4" s="73"/>
      <c r="J4" s="73"/>
    </row>
    <row r="5" spans="1:12" ht="15">
      <c r="A5" s="75"/>
      <c r="B5" s="76"/>
      <c r="C5" s="77"/>
      <c r="D5" s="78"/>
      <c r="E5" s="77"/>
      <c r="F5" s="76"/>
      <c r="G5" s="77"/>
      <c r="H5" s="77"/>
      <c r="I5" s="77"/>
      <c r="J5" s="79"/>
      <c r="L5" s="80"/>
    </row>
    <row r="6" spans="1:12" ht="15">
      <c r="A6" s="84" t="s">
        <v>1272</v>
      </c>
      <c r="B6" s="82">
        <v>30.75</v>
      </c>
      <c r="C6" s="82">
        <v>11.95</v>
      </c>
      <c r="D6" s="78"/>
      <c r="E6" s="77"/>
      <c r="F6" s="76">
        <f>B6*C6</f>
        <v>367.46249999999998</v>
      </c>
      <c r="G6" s="77"/>
      <c r="H6" s="77" t="s">
        <v>63</v>
      </c>
      <c r="I6" s="79">
        <f>F6*1.1</f>
        <v>404.20875000000001</v>
      </c>
      <c r="J6" s="128">
        <f>ROUNDUP(I6,2)</f>
        <v>404.21</v>
      </c>
      <c r="L6" s="80"/>
    </row>
    <row r="7" spans="1:12" ht="15">
      <c r="A7" s="84" t="s">
        <v>1273</v>
      </c>
      <c r="B7" s="76">
        <v>34.269999999999996</v>
      </c>
      <c r="C7" s="76">
        <v>12.925000000000001</v>
      </c>
      <c r="D7" s="78"/>
      <c r="E7" s="77"/>
      <c r="F7" s="76">
        <f>B7*C7</f>
        <v>442.93974999999995</v>
      </c>
      <c r="G7" s="77"/>
      <c r="H7" s="77" t="s">
        <v>63</v>
      </c>
      <c r="I7" s="79">
        <f>F7*1.1</f>
        <v>487.23372499999999</v>
      </c>
      <c r="J7" s="128">
        <f>ROUNDUP(I7,2)</f>
        <v>487.24</v>
      </c>
      <c r="L7" s="80"/>
    </row>
    <row r="8" spans="1:12" ht="15">
      <c r="A8" s="84" t="s">
        <v>1274</v>
      </c>
      <c r="B8" s="76">
        <v>9.31</v>
      </c>
      <c r="C8" s="76">
        <v>13.9</v>
      </c>
      <c r="D8" s="78"/>
      <c r="E8" s="77"/>
      <c r="F8" s="76">
        <f>B8*C8</f>
        <v>129.40900000000002</v>
      </c>
      <c r="G8" s="77"/>
      <c r="H8" s="77" t="s">
        <v>63</v>
      </c>
      <c r="I8" s="79">
        <f>F8*1.1</f>
        <v>142.34990000000005</v>
      </c>
      <c r="J8" s="128">
        <f>ROUNDUP(I8,2)</f>
        <v>142.35</v>
      </c>
    </row>
    <row r="9" spans="1:12" ht="15">
      <c r="A9" s="84"/>
      <c r="B9" s="76"/>
      <c r="C9" s="76"/>
      <c r="D9" s="78"/>
      <c r="E9" s="77"/>
      <c r="F9" s="76"/>
      <c r="G9" s="77"/>
      <c r="H9" s="77"/>
      <c r="I9" s="79"/>
      <c r="J9" s="103">
        <f>SUM(J6:J8)</f>
        <v>1033.8</v>
      </c>
    </row>
    <row r="10" spans="1:12" ht="15">
      <c r="A10" s="84" t="s">
        <v>1275</v>
      </c>
      <c r="B10" s="76"/>
      <c r="C10" s="76"/>
      <c r="D10" s="78"/>
      <c r="E10" s="77"/>
      <c r="F10" s="76"/>
      <c r="G10" s="77"/>
      <c r="H10" s="77"/>
      <c r="I10" s="79"/>
      <c r="J10" s="101"/>
    </row>
    <row r="11" spans="1:12" ht="15">
      <c r="A11" s="84"/>
      <c r="B11" s="76"/>
      <c r="C11" s="76"/>
      <c r="D11" s="78"/>
      <c r="E11" s="77"/>
      <c r="F11" s="76"/>
      <c r="G11" s="77"/>
      <c r="H11" s="77"/>
      <c r="I11" s="79"/>
      <c r="J11" s="101"/>
    </row>
    <row r="12" spans="1:12" ht="15">
      <c r="A12" s="394" t="s">
        <v>1276</v>
      </c>
      <c r="B12" s="76">
        <v>55.27</v>
      </c>
      <c r="C12" s="76">
        <v>1.1599999999999999</v>
      </c>
      <c r="D12" s="78"/>
      <c r="E12" s="77"/>
      <c r="F12" s="76">
        <f>B12*C12</f>
        <v>64.113200000000006</v>
      </c>
      <c r="G12" s="77"/>
      <c r="H12" s="77" t="s">
        <v>63</v>
      </c>
      <c r="I12" s="79">
        <f>F12*1.1</f>
        <v>70.52452000000001</v>
      </c>
      <c r="J12" s="103">
        <f>ROUNDUP(I12,2)</f>
        <v>70.53</v>
      </c>
    </row>
    <row r="13" spans="1:12" ht="15">
      <c r="A13" s="87"/>
      <c r="B13" s="88"/>
      <c r="C13" s="89"/>
      <c r="D13" s="90"/>
      <c r="E13" s="91"/>
      <c r="F13" s="88"/>
      <c r="G13" s="91"/>
      <c r="H13" s="91"/>
      <c r="I13" s="92"/>
      <c r="J13" s="93"/>
    </row>
    <row r="14" spans="1:12" ht="15">
      <c r="A14" s="905" t="s">
        <v>64</v>
      </c>
      <c r="B14" s="906"/>
      <c r="C14" s="906"/>
      <c r="D14" s="906"/>
      <c r="E14" s="906"/>
      <c r="F14" s="906"/>
      <c r="G14" s="906"/>
      <c r="H14" s="906"/>
      <c r="I14" s="906"/>
      <c r="J14" s="907"/>
    </row>
    <row r="15" spans="1:12" ht="15">
      <c r="A15" s="911" t="s">
        <v>65</v>
      </c>
      <c r="B15" s="912"/>
      <c r="C15" s="912"/>
      <c r="D15" s="912"/>
      <c r="E15" s="912"/>
      <c r="F15" s="913"/>
      <c r="G15" s="73"/>
      <c r="H15" s="74"/>
      <c r="I15" s="74"/>
      <c r="J15" s="73"/>
      <c r="K15" s="94"/>
    </row>
    <row r="16" spans="1:12" ht="15">
      <c r="A16" s="911" t="s">
        <v>66</v>
      </c>
      <c r="B16" s="912"/>
      <c r="C16" s="912"/>
      <c r="D16" s="912"/>
      <c r="E16" s="912"/>
      <c r="F16" s="913"/>
      <c r="G16" s="73"/>
      <c r="H16" s="74"/>
      <c r="I16" s="73"/>
      <c r="J16" s="73"/>
      <c r="L16" s="80"/>
    </row>
    <row r="17" spans="1:22" ht="15">
      <c r="A17" s="911" t="s">
        <v>67</v>
      </c>
      <c r="B17" s="912"/>
      <c r="C17" s="912"/>
      <c r="D17" s="912"/>
      <c r="E17" s="912"/>
      <c r="F17" s="913"/>
      <c r="G17" s="95"/>
      <c r="H17" s="96"/>
      <c r="I17" s="95"/>
      <c r="J17" s="95"/>
      <c r="L17" s="80"/>
    </row>
    <row r="18" spans="1:22" ht="15">
      <c r="A18" s="75"/>
      <c r="B18" s="118"/>
      <c r="C18" s="99"/>
      <c r="D18" s="100"/>
      <c r="E18" s="100"/>
      <c r="F18" s="82"/>
      <c r="G18" s="92"/>
      <c r="H18" s="100"/>
      <c r="I18" s="92"/>
      <c r="J18" s="92"/>
      <c r="K18" s="94"/>
      <c r="L18" s="80"/>
    </row>
    <row r="19" spans="1:22" ht="15">
      <c r="A19" s="84" t="s">
        <v>1277</v>
      </c>
      <c r="B19" s="76">
        <v>19.21</v>
      </c>
      <c r="C19" s="76">
        <v>4.9000000000000004</v>
      </c>
      <c r="D19" s="78"/>
      <c r="E19" s="77"/>
      <c r="F19" s="76">
        <f>PRODUCT(B19:E19)</f>
        <v>94.129000000000005</v>
      </c>
      <c r="G19" s="79">
        <f>F19</f>
        <v>94.129000000000005</v>
      </c>
      <c r="H19" s="77" t="s">
        <v>63</v>
      </c>
      <c r="I19" s="79">
        <f>G19*1.1</f>
        <v>103.54190000000001</v>
      </c>
      <c r="J19" s="128">
        <f>ROUNDUP(I19,2)</f>
        <v>103.55000000000001</v>
      </c>
      <c r="L19" s="80"/>
    </row>
    <row r="20" spans="1:22" ht="15">
      <c r="A20" s="84"/>
      <c r="B20" s="76"/>
      <c r="C20" s="76"/>
      <c r="D20" s="78"/>
      <c r="E20" s="77"/>
      <c r="F20" s="76"/>
      <c r="G20" s="77"/>
      <c r="H20" s="77"/>
      <c r="I20" s="79"/>
      <c r="J20" s="103">
        <f>SUM(J19:J19)</f>
        <v>103.55000000000001</v>
      </c>
    </row>
    <row r="21" spans="1:22" ht="15">
      <c r="A21" s="84"/>
      <c r="B21" s="76"/>
      <c r="C21" s="76"/>
      <c r="D21" s="78"/>
      <c r="E21" s="77"/>
      <c r="F21" s="76"/>
      <c r="G21" s="77"/>
      <c r="H21" s="77"/>
      <c r="I21" s="79"/>
      <c r="J21" s="101"/>
    </row>
    <row r="22" spans="1:22" ht="15">
      <c r="A22" s="911" t="s">
        <v>69</v>
      </c>
      <c r="B22" s="912"/>
      <c r="C22" s="912"/>
      <c r="D22" s="912"/>
      <c r="E22" s="912"/>
      <c r="F22" s="913"/>
      <c r="G22" s="97"/>
      <c r="H22" s="74"/>
      <c r="I22" s="73"/>
      <c r="J22" s="73"/>
      <c r="K22" s="80"/>
      <c r="L22" s="80"/>
    </row>
    <row r="23" spans="1:22" ht="15">
      <c r="A23" s="911" t="s">
        <v>70</v>
      </c>
      <c r="B23" s="912"/>
      <c r="C23" s="912"/>
      <c r="D23" s="912"/>
      <c r="E23" s="912"/>
      <c r="F23" s="913"/>
      <c r="G23" s="97"/>
      <c r="H23" s="74"/>
      <c r="I23" s="73"/>
      <c r="J23" s="73"/>
      <c r="K23" s="80"/>
      <c r="L23" s="80"/>
    </row>
    <row r="24" spans="1:22" ht="15">
      <c r="A24" s="911" t="s">
        <v>71</v>
      </c>
      <c r="B24" s="912"/>
      <c r="C24" s="912"/>
      <c r="D24" s="912"/>
      <c r="E24" s="912"/>
      <c r="F24" s="913"/>
      <c r="G24" s="95"/>
      <c r="H24" s="96"/>
      <c r="I24" s="95"/>
      <c r="J24" s="95"/>
      <c r="K24" s="80"/>
      <c r="L24" s="80"/>
    </row>
    <row r="25" spans="1:22" ht="15">
      <c r="A25" s="75"/>
      <c r="B25" s="82"/>
      <c r="C25" s="99"/>
      <c r="D25" s="99"/>
      <c r="E25" s="100"/>
      <c r="F25" s="82"/>
      <c r="G25" s="100"/>
      <c r="H25" s="100"/>
      <c r="I25" s="79"/>
      <c r="J25" s="101"/>
      <c r="K25" s="80"/>
      <c r="L25" s="80"/>
    </row>
    <row r="26" spans="1:22" ht="15">
      <c r="A26" s="87" t="s">
        <v>1278</v>
      </c>
      <c r="B26" s="88">
        <v>20.45</v>
      </c>
      <c r="C26" s="90">
        <v>9.8000000000000007</v>
      </c>
      <c r="D26" s="90"/>
      <c r="E26" s="91"/>
      <c r="F26" s="76">
        <f>PRODUCT(B26:E26)</f>
        <v>200.41</v>
      </c>
      <c r="G26" s="79">
        <f>F26</f>
        <v>200.41</v>
      </c>
      <c r="H26" s="77" t="s">
        <v>63</v>
      </c>
      <c r="I26" s="79">
        <f>G26*1.1</f>
        <v>220.45100000000002</v>
      </c>
      <c r="J26" s="103">
        <f>ROUNDUP(I26,2)</f>
        <v>220.45999999999998</v>
      </c>
      <c r="K26" s="80"/>
      <c r="L26" s="80"/>
    </row>
    <row r="27" spans="1:22" ht="15">
      <c r="A27" s="87"/>
      <c r="B27" s="88"/>
      <c r="C27" s="90"/>
      <c r="D27" s="90"/>
      <c r="E27" s="91"/>
      <c r="F27" s="88"/>
      <c r="G27" s="91"/>
      <c r="H27" s="91"/>
      <c r="I27" s="79"/>
      <c r="J27" s="101"/>
      <c r="K27" s="80"/>
      <c r="L27" s="80"/>
      <c r="V27" s="68" t="s">
        <v>1279</v>
      </c>
    </row>
    <row r="28" spans="1:22" ht="15">
      <c r="A28" s="87"/>
      <c r="B28" s="88"/>
      <c r="C28" s="90"/>
      <c r="D28" s="90"/>
      <c r="E28" s="91"/>
      <c r="F28" s="88"/>
      <c r="G28" s="91"/>
      <c r="H28" s="91"/>
      <c r="I28" s="79"/>
      <c r="J28" s="79"/>
      <c r="K28" s="80"/>
      <c r="L28" s="80"/>
    </row>
    <row r="29" spans="1:22" ht="15">
      <c r="A29" s="914" t="s">
        <v>72</v>
      </c>
      <c r="B29" s="915"/>
      <c r="C29" s="915"/>
      <c r="D29" s="915"/>
      <c r="E29" s="915"/>
      <c r="F29" s="915"/>
      <c r="G29" s="915"/>
      <c r="H29" s="915"/>
      <c r="I29" s="915"/>
      <c r="J29" s="916"/>
      <c r="K29" s="80"/>
      <c r="L29" s="80"/>
    </row>
    <row r="30" spans="1:22" ht="15">
      <c r="A30" s="75"/>
      <c r="B30" s="82"/>
      <c r="C30" s="99"/>
      <c r="D30" s="99"/>
      <c r="E30" s="100"/>
      <c r="F30" s="82"/>
      <c r="G30" s="100"/>
      <c r="H30" s="100"/>
      <c r="I30" s="79"/>
      <c r="J30" s="101"/>
      <c r="K30" s="80"/>
      <c r="L30" s="80"/>
    </row>
    <row r="31" spans="1:22" ht="15">
      <c r="A31" s="87" t="s">
        <v>1280</v>
      </c>
      <c r="B31" s="88">
        <v>20.45</v>
      </c>
      <c r="C31" s="90">
        <v>3.25</v>
      </c>
      <c r="D31" s="90"/>
      <c r="E31" s="91"/>
      <c r="F31" s="76">
        <f>PRODUCT(B31:E31)</f>
        <v>66.462499999999991</v>
      </c>
      <c r="G31" s="79">
        <f>F31</f>
        <v>66.462499999999991</v>
      </c>
      <c r="H31" s="77" t="s">
        <v>63</v>
      </c>
      <c r="I31" s="79">
        <f>G31*1.1</f>
        <v>73.108750000000001</v>
      </c>
      <c r="J31" s="103">
        <f>ROUNDUP(I31,2)</f>
        <v>73.11</v>
      </c>
      <c r="K31" s="80"/>
      <c r="L31" s="80"/>
    </row>
    <row r="32" spans="1:22" ht="15">
      <c r="A32" s="87"/>
      <c r="B32" s="88"/>
      <c r="C32" s="90"/>
      <c r="D32" s="90"/>
      <c r="E32" s="91"/>
      <c r="F32" s="88"/>
      <c r="G32" s="91"/>
      <c r="H32" s="91"/>
      <c r="I32" s="79"/>
      <c r="J32" s="101"/>
      <c r="K32" s="80"/>
      <c r="L32" s="80"/>
    </row>
    <row r="33" spans="1:12" ht="15">
      <c r="A33" s="87"/>
      <c r="B33" s="88"/>
      <c r="C33" s="90"/>
      <c r="D33" s="90"/>
      <c r="E33" s="91"/>
      <c r="F33" s="88"/>
      <c r="G33" s="91"/>
      <c r="H33" s="91"/>
      <c r="I33" s="395"/>
      <c r="J33" s="395"/>
      <c r="K33" s="80"/>
      <c r="L33" s="80"/>
    </row>
    <row r="34" spans="1:12" ht="15">
      <c r="A34" s="98" t="s">
        <v>475</v>
      </c>
      <c r="B34" s="636"/>
      <c r="C34" s="637"/>
      <c r="D34" s="637"/>
      <c r="E34" s="638"/>
      <c r="F34" s="636"/>
      <c r="G34" s="638"/>
      <c r="H34" s="638"/>
      <c r="I34" s="479"/>
      <c r="J34" s="479"/>
      <c r="K34" s="80"/>
      <c r="L34" s="80"/>
    </row>
    <row r="35" spans="1:12" ht="15">
      <c r="A35" s="130" t="s">
        <v>476</v>
      </c>
      <c r="B35" s="76">
        <v>20.45</v>
      </c>
      <c r="C35" s="78">
        <v>4.51</v>
      </c>
      <c r="D35" s="78"/>
      <c r="E35" s="77"/>
      <c r="F35" s="76">
        <f>PRODUCT(B35:E35)</f>
        <v>92.229499999999987</v>
      </c>
      <c r="G35" s="79">
        <f>F35</f>
        <v>92.229499999999987</v>
      </c>
      <c r="H35" s="77" t="s">
        <v>63</v>
      </c>
      <c r="I35" s="79">
        <f>G35*1.1</f>
        <v>101.45245</v>
      </c>
      <c r="J35" s="103">
        <f>ROUNDUP(I35,2)</f>
        <v>101.46000000000001</v>
      </c>
      <c r="K35" s="80"/>
      <c r="L35" s="80"/>
    </row>
    <row r="36" spans="1:12" ht="15">
      <c r="A36" s="130" t="s">
        <v>501</v>
      </c>
      <c r="B36" s="76">
        <v>20.45</v>
      </c>
      <c r="C36" s="78">
        <v>1.24</v>
      </c>
      <c r="D36" s="78"/>
      <c r="E36" s="77"/>
      <c r="F36" s="76">
        <f t="shared" ref="F36:F37" si="0">PRODUCT(B36:E36)</f>
        <v>25.358000000000001</v>
      </c>
      <c r="G36" s="79">
        <f t="shared" ref="G36:G37" si="1">F36</f>
        <v>25.358000000000001</v>
      </c>
      <c r="H36" s="77" t="s">
        <v>63</v>
      </c>
      <c r="I36" s="79">
        <f t="shared" ref="I36:I37" si="2">G36*1.1</f>
        <v>27.893800000000002</v>
      </c>
      <c r="J36" s="103">
        <f t="shared" ref="J36:J37" si="3">ROUNDUP(I36,2)</f>
        <v>27.900000000000002</v>
      </c>
      <c r="K36" s="80"/>
      <c r="L36" s="80"/>
    </row>
    <row r="37" spans="1:12" ht="15">
      <c r="A37" s="130" t="s">
        <v>77</v>
      </c>
      <c r="B37" s="76">
        <v>20.45</v>
      </c>
      <c r="C37" s="78">
        <v>8.9</v>
      </c>
      <c r="D37" s="78"/>
      <c r="E37" s="77"/>
      <c r="F37" s="76">
        <f t="shared" si="0"/>
        <v>182.005</v>
      </c>
      <c r="G37" s="79">
        <f t="shared" si="1"/>
        <v>182.005</v>
      </c>
      <c r="H37" s="77" t="s">
        <v>487</v>
      </c>
      <c r="I37" s="79">
        <f t="shared" si="2"/>
        <v>200.2055</v>
      </c>
      <c r="J37" s="103">
        <f t="shared" si="3"/>
        <v>200.20999999999998</v>
      </c>
      <c r="K37" s="80"/>
      <c r="L37" s="80"/>
    </row>
    <row r="38" spans="1:12" ht="15">
      <c r="A38" s="75"/>
      <c r="B38" s="82"/>
      <c r="C38" s="99"/>
      <c r="D38" s="99"/>
      <c r="E38" s="100"/>
      <c r="F38" s="82"/>
      <c r="G38" s="100"/>
      <c r="H38" s="100"/>
      <c r="I38" s="79"/>
      <c r="J38" s="79"/>
    </row>
    <row r="39" spans="1:12" ht="15">
      <c r="A39" s="899"/>
      <c r="B39" s="900"/>
      <c r="C39" s="900"/>
      <c r="D39" s="900"/>
      <c r="E39" s="900"/>
      <c r="F39" s="900"/>
      <c r="G39" s="900"/>
      <c r="H39" s="900"/>
      <c r="I39" s="900"/>
      <c r="J39" s="901"/>
      <c r="L39" s="80"/>
    </row>
    <row r="40" spans="1:12" ht="15">
      <c r="A40" s="917" t="s">
        <v>73</v>
      </c>
      <c r="B40" s="918"/>
      <c r="C40" s="918"/>
      <c r="D40" s="918"/>
      <c r="E40" s="918"/>
      <c r="F40" s="918"/>
      <c r="G40" s="918"/>
      <c r="H40" s="918"/>
      <c r="I40" s="918"/>
      <c r="J40" s="919"/>
      <c r="L40" s="80"/>
    </row>
    <row r="41" spans="1:12" ht="15">
      <c r="A41" s="920" t="s">
        <v>74</v>
      </c>
      <c r="B41" s="921"/>
      <c r="C41" s="921"/>
      <c r="D41" s="921"/>
      <c r="E41" s="921"/>
      <c r="F41" s="922"/>
      <c r="G41" s="73"/>
      <c r="H41" s="74"/>
      <c r="I41" s="73"/>
      <c r="J41" s="73"/>
    </row>
    <row r="42" spans="1:12" ht="15">
      <c r="A42" s="75"/>
      <c r="B42" s="82"/>
      <c r="C42" s="99"/>
      <c r="D42" s="104"/>
      <c r="E42" s="105"/>
      <c r="F42" s="82"/>
      <c r="G42" s="106"/>
      <c r="H42" s="100"/>
      <c r="I42" s="79"/>
      <c r="J42" s="101"/>
      <c r="L42" s="107"/>
    </row>
    <row r="43" spans="1:12" s="71" customFormat="1" ht="30" customHeight="1">
      <c r="A43" s="87"/>
      <c r="B43" s="108"/>
      <c r="C43" s="109"/>
      <c r="D43" s="104"/>
      <c r="E43" s="105"/>
      <c r="F43" s="110"/>
      <c r="G43" s="111"/>
      <c r="H43" s="77"/>
      <c r="I43" s="112"/>
      <c r="J43" s="112"/>
    </row>
    <row r="44" spans="1:12" ht="15">
      <c r="A44" s="920" t="s">
        <v>75</v>
      </c>
      <c r="B44" s="921"/>
      <c r="C44" s="921"/>
      <c r="D44" s="921"/>
      <c r="E44" s="921"/>
      <c r="F44" s="922"/>
      <c r="G44" s="73"/>
      <c r="H44" s="74"/>
      <c r="I44" s="73"/>
      <c r="J44" s="73"/>
    </row>
    <row r="45" spans="1:12" ht="15">
      <c r="A45" s="622"/>
      <c r="B45" s="623"/>
      <c r="C45" s="624"/>
      <c r="D45" s="99"/>
      <c r="E45" s="100"/>
      <c r="F45" s="82"/>
      <c r="G45" s="100"/>
      <c r="H45" s="100"/>
      <c r="I45" s="92"/>
      <c r="J45" s="93"/>
      <c r="L45" s="107"/>
    </row>
    <row r="46" spans="1:12" ht="30">
      <c r="A46" s="114"/>
      <c r="B46" s="115" t="s">
        <v>78</v>
      </c>
      <c r="C46" s="115" t="s">
        <v>55</v>
      </c>
      <c r="D46" s="115" t="s">
        <v>1</v>
      </c>
      <c r="E46" s="116" t="s">
        <v>79</v>
      </c>
      <c r="F46" s="115" t="s">
        <v>80</v>
      </c>
      <c r="G46" s="115"/>
      <c r="H46" s="115"/>
      <c r="I46" s="115"/>
      <c r="J46" s="115"/>
      <c r="L46" s="107"/>
    </row>
    <row r="47" spans="1:12" ht="15">
      <c r="A47" s="920" t="s">
        <v>81</v>
      </c>
      <c r="B47" s="921"/>
      <c r="C47" s="921"/>
      <c r="D47" s="921"/>
      <c r="E47" s="921"/>
      <c r="F47" s="922"/>
      <c r="G47" s="73"/>
      <c r="H47" s="74"/>
      <c r="I47" s="73"/>
      <c r="J47" s="73"/>
    </row>
    <row r="48" spans="1:12" ht="15">
      <c r="A48" s="117"/>
      <c r="B48" s="99"/>
      <c r="C48" s="100"/>
      <c r="D48" s="99"/>
      <c r="E48" s="100"/>
      <c r="F48" s="82"/>
      <c r="G48" s="104"/>
      <c r="H48" s="100"/>
      <c r="I48" s="104"/>
      <c r="J48" s="93"/>
      <c r="L48" s="107"/>
    </row>
    <row r="49" spans="1:12" ht="15">
      <c r="A49" s="117"/>
      <c r="B49" s="99"/>
      <c r="C49" s="100"/>
      <c r="D49" s="99"/>
      <c r="E49" s="100"/>
      <c r="F49" s="82"/>
      <c r="G49" s="104"/>
      <c r="H49" s="100"/>
      <c r="I49" s="104"/>
      <c r="J49" s="93"/>
      <c r="L49" s="107"/>
    </row>
    <row r="50" spans="1:12" ht="15">
      <c r="A50" s="920" t="s">
        <v>82</v>
      </c>
      <c r="B50" s="921"/>
      <c r="C50" s="921"/>
      <c r="D50" s="921"/>
      <c r="E50" s="921"/>
      <c r="F50" s="922"/>
      <c r="G50" s="73"/>
      <c r="H50" s="74"/>
      <c r="I50" s="73"/>
      <c r="J50" s="73"/>
    </row>
    <row r="51" spans="1:12" ht="15">
      <c r="A51" s="75"/>
      <c r="B51" s="82"/>
      <c r="C51" s="100"/>
      <c r="D51" s="99"/>
      <c r="E51" s="100"/>
      <c r="F51" s="82"/>
      <c r="G51" s="92"/>
      <c r="H51" s="100"/>
      <c r="I51" s="92"/>
      <c r="J51" s="93"/>
      <c r="L51" s="80"/>
    </row>
    <row r="52" spans="1:12" ht="15">
      <c r="A52" s="75"/>
      <c r="B52" s="82"/>
      <c r="C52" s="100"/>
      <c r="D52" s="99"/>
      <c r="E52" s="100"/>
      <c r="F52" s="82"/>
      <c r="G52" s="92"/>
      <c r="H52" s="100"/>
      <c r="I52" s="92"/>
      <c r="J52" s="93"/>
      <c r="L52" s="80"/>
    </row>
    <row r="53" spans="1:12" ht="24.9" customHeight="1">
      <c r="A53" s="920" t="s">
        <v>83</v>
      </c>
      <c r="B53" s="921"/>
      <c r="C53" s="921"/>
      <c r="D53" s="921"/>
      <c r="E53" s="921"/>
      <c r="F53" s="922"/>
      <c r="G53" s="73"/>
      <c r="H53" s="74"/>
      <c r="I53" s="73"/>
      <c r="J53" s="73"/>
    </row>
    <row r="54" spans="1:12" ht="15">
      <c r="A54" s="75"/>
      <c r="B54" s="118"/>
      <c r="C54" s="104"/>
      <c r="D54" s="104"/>
      <c r="E54" s="118"/>
      <c r="F54" s="82"/>
      <c r="G54" s="100"/>
      <c r="H54" s="100"/>
      <c r="I54" s="92"/>
      <c r="J54" s="101"/>
    </row>
    <row r="55" spans="1:12" ht="15">
      <c r="A55" s="75"/>
      <c r="B55" s="118"/>
      <c r="C55" s="104"/>
      <c r="D55" s="104"/>
      <c r="E55" s="118"/>
      <c r="F55" s="82"/>
      <c r="G55" s="100"/>
      <c r="H55" s="100"/>
      <c r="I55" s="92"/>
      <c r="J55" s="101"/>
      <c r="L55" s="80"/>
    </row>
    <row r="56" spans="1:12" ht="15">
      <c r="A56" s="917" t="s">
        <v>84</v>
      </c>
      <c r="B56" s="918"/>
      <c r="C56" s="918"/>
      <c r="D56" s="918"/>
      <c r="E56" s="918"/>
      <c r="F56" s="918"/>
      <c r="G56" s="918"/>
      <c r="H56" s="918"/>
      <c r="I56" s="918"/>
      <c r="J56" s="919"/>
      <c r="L56" s="107"/>
    </row>
    <row r="57" spans="1:12" ht="24.9" customHeight="1">
      <c r="A57" s="920"/>
      <c r="B57" s="921"/>
      <c r="C57" s="921"/>
      <c r="D57" s="921"/>
      <c r="E57" s="921"/>
      <c r="F57" s="922"/>
      <c r="G57" s="73"/>
      <c r="H57" s="74"/>
      <c r="I57" s="73"/>
      <c r="J57" s="73"/>
    </row>
    <row r="58" spans="1:12" ht="15">
      <c r="A58" s="75"/>
      <c r="B58" s="118"/>
      <c r="C58" s="100"/>
      <c r="D58" s="99"/>
      <c r="E58" s="100"/>
      <c r="F58" s="82"/>
      <c r="G58" s="100"/>
      <c r="H58" s="100"/>
      <c r="I58" s="92"/>
      <c r="J58" s="79"/>
      <c r="L58" s="80"/>
    </row>
    <row r="59" spans="1:12" ht="15">
      <c r="A59" s="119"/>
      <c r="B59" s="120"/>
      <c r="C59" s="121"/>
      <c r="D59" s="122"/>
      <c r="E59" s="121"/>
      <c r="F59" s="123"/>
      <c r="G59" s="121"/>
      <c r="H59" s="121"/>
      <c r="I59" s="124"/>
      <c r="J59" s="124"/>
      <c r="L59" s="80"/>
    </row>
    <row r="60" spans="1:12" ht="15">
      <c r="A60" s="923" t="s">
        <v>85</v>
      </c>
      <c r="B60" s="924"/>
      <c r="C60" s="924"/>
      <c r="D60" s="924"/>
      <c r="E60" s="924"/>
      <c r="F60" s="924"/>
      <c r="G60" s="924"/>
      <c r="H60" s="924"/>
      <c r="I60" s="924"/>
      <c r="J60" s="925"/>
      <c r="L60" s="80"/>
    </row>
    <row r="61" spans="1:12" ht="15">
      <c r="A61" s="914" t="s">
        <v>86</v>
      </c>
      <c r="B61" s="915"/>
      <c r="C61" s="915"/>
      <c r="D61" s="915"/>
      <c r="E61" s="915"/>
      <c r="F61" s="915"/>
      <c r="G61" s="915"/>
      <c r="H61" s="915"/>
      <c r="I61" s="125"/>
      <c r="J61" s="255"/>
      <c r="L61" s="80"/>
    </row>
    <row r="62" spans="1:12" ht="15">
      <c r="A62" s="371" t="s">
        <v>87</v>
      </c>
      <c r="B62" s="82"/>
      <c r="C62" s="91"/>
      <c r="D62" s="78"/>
      <c r="E62" s="77"/>
      <c r="F62" s="76"/>
      <c r="G62" s="77"/>
      <c r="H62" s="77"/>
      <c r="I62" s="79"/>
      <c r="J62" s="101"/>
      <c r="L62" s="80"/>
    </row>
    <row r="63" spans="1:12" ht="15">
      <c r="A63" s="84"/>
      <c r="B63" s="82"/>
      <c r="C63" s="91"/>
      <c r="D63" s="78"/>
      <c r="E63" s="77"/>
      <c r="F63" s="76">
        <f>B63</f>
        <v>0</v>
      </c>
      <c r="G63" s="79">
        <f>F63</f>
        <v>0</v>
      </c>
      <c r="H63" s="77"/>
      <c r="I63" s="79">
        <f>G63*1.1</f>
        <v>0</v>
      </c>
      <c r="J63" s="103">
        <f>I63</f>
        <v>0</v>
      </c>
      <c r="L63" s="80"/>
    </row>
    <row r="64" spans="1:12" ht="15">
      <c r="A64" s="84"/>
      <c r="B64" s="82"/>
      <c r="C64" s="91"/>
      <c r="D64" s="78"/>
      <c r="E64" s="77"/>
      <c r="F64" s="76"/>
      <c r="G64" s="77"/>
      <c r="H64" s="77"/>
      <c r="I64" s="79"/>
      <c r="J64" s="101"/>
      <c r="L64" s="80"/>
    </row>
    <row r="65" spans="1:12" ht="15">
      <c r="A65" s="371"/>
      <c r="B65" s="82"/>
      <c r="C65" s="91"/>
      <c r="D65" s="78"/>
      <c r="E65" s="77"/>
      <c r="F65" s="76"/>
      <c r="G65" s="77"/>
      <c r="H65" s="77"/>
      <c r="I65" s="79"/>
      <c r="J65" s="101"/>
      <c r="L65" s="80"/>
    </row>
    <row r="66" spans="1:12" ht="15">
      <c r="A66" s="84"/>
      <c r="B66" s="82"/>
      <c r="C66" s="91"/>
      <c r="D66" s="78"/>
      <c r="E66" s="77"/>
      <c r="F66" s="76">
        <f>PRODUCT(B66:E66)</f>
        <v>0</v>
      </c>
      <c r="G66" s="77"/>
      <c r="H66" s="77" t="s">
        <v>487</v>
      </c>
      <c r="I66" s="79">
        <f>F66*1.1</f>
        <v>0</v>
      </c>
      <c r="J66" s="79">
        <f>ROUNDUP(I66,2)</f>
        <v>0</v>
      </c>
      <c r="L66" s="80"/>
    </row>
    <row r="67" spans="1:12" ht="15">
      <c r="A67" s="84"/>
      <c r="B67" s="82"/>
      <c r="C67" s="91"/>
      <c r="D67" s="78"/>
      <c r="E67" s="77"/>
      <c r="F67" s="76">
        <f>PRODUCT(B67:E67)</f>
        <v>0</v>
      </c>
      <c r="G67" s="77"/>
      <c r="H67" s="77" t="s">
        <v>487</v>
      </c>
      <c r="I67" s="79">
        <f>F67*1.1</f>
        <v>0</v>
      </c>
      <c r="J67" s="79">
        <f>ROUNDUP(I67,2)</f>
        <v>0</v>
      </c>
      <c r="L67" s="80"/>
    </row>
    <row r="68" spans="1:12" ht="15">
      <c r="A68" s="84"/>
      <c r="B68" s="82"/>
      <c r="C68" s="91"/>
      <c r="D68" s="78"/>
      <c r="E68" s="77"/>
      <c r="F68" s="76">
        <f>PRODUCT(B68:E68)</f>
        <v>0</v>
      </c>
      <c r="G68" s="77"/>
      <c r="H68" s="77" t="s">
        <v>487</v>
      </c>
      <c r="I68" s="79">
        <f>F68*1.1</f>
        <v>0</v>
      </c>
      <c r="J68" s="79">
        <f>ROUNDUP(I68,2)</f>
        <v>0</v>
      </c>
      <c r="L68" s="80"/>
    </row>
    <row r="69" spans="1:12" ht="15">
      <c r="A69" s="84"/>
      <c r="B69" s="82"/>
      <c r="C69" s="91"/>
      <c r="D69" s="78"/>
      <c r="E69" s="77"/>
      <c r="F69" s="76"/>
      <c r="G69" s="77"/>
      <c r="H69" s="77"/>
      <c r="I69" s="79"/>
      <c r="J69" s="101">
        <f>SUM(J66:J68)</f>
        <v>0</v>
      </c>
      <c r="L69" s="80"/>
    </row>
    <row r="70" spans="1:12" ht="15">
      <c r="A70" s="84"/>
      <c r="B70" s="82"/>
      <c r="C70" s="91"/>
      <c r="D70" s="99"/>
      <c r="E70" s="100"/>
      <c r="F70" s="82"/>
      <c r="G70" s="100"/>
      <c r="H70" s="100"/>
      <c r="I70" s="79"/>
      <c r="J70" s="79"/>
      <c r="L70" s="80"/>
    </row>
    <row r="71" spans="1:12" ht="15">
      <c r="A71" s="371"/>
      <c r="B71" s="88"/>
      <c r="C71" s="91"/>
      <c r="D71" s="90"/>
      <c r="E71" s="91"/>
      <c r="F71" s="82"/>
      <c r="G71" s="91"/>
      <c r="H71" s="91"/>
      <c r="I71" s="79"/>
      <c r="J71" s="79"/>
      <c r="L71" s="80"/>
    </row>
    <row r="72" spans="1:12" ht="15">
      <c r="A72" s="84"/>
      <c r="B72" s="88"/>
      <c r="C72" s="91"/>
      <c r="D72" s="90"/>
      <c r="E72" s="91"/>
      <c r="F72" s="88"/>
      <c r="G72" s="91"/>
      <c r="H72" s="129"/>
      <c r="I72" s="79"/>
      <c r="J72" s="79"/>
      <c r="L72" s="80"/>
    </row>
    <row r="73" spans="1:12" ht="15">
      <c r="A73" s="84"/>
      <c r="B73" s="88"/>
      <c r="C73" s="91"/>
      <c r="D73" s="90"/>
      <c r="E73" s="91"/>
      <c r="F73" s="88"/>
      <c r="G73" s="91"/>
      <c r="H73" s="129"/>
      <c r="I73" s="79"/>
      <c r="J73" s="79"/>
      <c r="L73" s="80"/>
    </row>
    <row r="74" spans="1:12" ht="15">
      <c r="A74" s="84"/>
      <c r="B74" s="88"/>
      <c r="C74" s="91"/>
      <c r="D74" s="90"/>
      <c r="E74" s="91"/>
      <c r="F74" s="88"/>
      <c r="G74" s="91"/>
      <c r="H74" s="77"/>
      <c r="I74" s="79"/>
      <c r="J74" s="79"/>
      <c r="L74" s="80"/>
    </row>
    <row r="75" spans="1:12" ht="15">
      <c r="A75" s="84"/>
      <c r="B75" s="88"/>
      <c r="C75" s="91"/>
      <c r="D75" s="90"/>
      <c r="E75" s="91"/>
      <c r="F75" s="88"/>
      <c r="G75" s="91"/>
      <c r="H75" s="77"/>
      <c r="I75" s="79"/>
      <c r="J75" s="79"/>
      <c r="L75" s="80"/>
    </row>
    <row r="76" spans="1:12" ht="15">
      <c r="A76" s="914" t="s">
        <v>90</v>
      </c>
      <c r="B76" s="915"/>
      <c r="C76" s="915"/>
      <c r="D76" s="915"/>
      <c r="E76" s="915"/>
      <c r="F76" s="915"/>
      <c r="G76" s="915"/>
      <c r="H76" s="915"/>
      <c r="I76" s="915"/>
      <c r="J76" s="916"/>
      <c r="L76" s="80"/>
    </row>
    <row r="77" spans="1:12" ht="15">
      <c r="A77" s="130"/>
      <c r="B77" s="131"/>
      <c r="C77" s="77"/>
      <c r="D77" s="78"/>
      <c r="E77" s="77"/>
      <c r="F77" s="76"/>
      <c r="G77" s="77"/>
      <c r="H77" s="77"/>
      <c r="I77" s="79"/>
      <c r="J77" s="79"/>
      <c r="L77" s="80"/>
    </row>
    <row r="78" spans="1:12" ht="15">
      <c r="A78" s="130"/>
      <c r="B78" s="131"/>
      <c r="C78" s="77"/>
      <c r="D78" s="78"/>
      <c r="E78" s="77"/>
      <c r="F78" s="76">
        <f>PRODUCT(B78:E78)</f>
        <v>0</v>
      </c>
      <c r="G78" s="77"/>
      <c r="H78" s="77" t="s">
        <v>5</v>
      </c>
      <c r="I78" s="79"/>
      <c r="J78" s="128">
        <f>F78</f>
        <v>0</v>
      </c>
      <c r="L78" s="80"/>
    </row>
    <row r="79" spans="1:12" ht="15">
      <c r="A79" s="130"/>
      <c r="B79" s="118"/>
      <c r="C79" s="100"/>
      <c r="D79" s="99"/>
      <c r="E79" s="100"/>
      <c r="F79" s="82"/>
      <c r="G79" s="100"/>
      <c r="H79" s="100"/>
      <c r="I79" s="92"/>
      <c r="J79" s="373"/>
      <c r="L79" s="80"/>
    </row>
    <row r="80" spans="1:12" ht="15">
      <c r="A80" s="84"/>
      <c r="B80" s="118"/>
      <c r="C80" s="100"/>
      <c r="D80" s="99"/>
      <c r="E80" s="100"/>
      <c r="F80" s="82"/>
      <c r="G80" s="100"/>
      <c r="H80" s="100"/>
      <c r="I80" s="92"/>
      <c r="J80" s="133">
        <f>SUM(J78:J78)</f>
        <v>0</v>
      </c>
      <c r="L80" s="80"/>
    </row>
    <row r="81" spans="1:12" ht="15">
      <c r="A81" s="394"/>
      <c r="B81" s="89"/>
      <c r="C81" s="91"/>
      <c r="D81" s="90"/>
      <c r="E81" s="91"/>
      <c r="F81" s="88"/>
      <c r="G81" s="91"/>
      <c r="H81" s="91"/>
      <c r="I81" s="102"/>
      <c r="J81" s="134"/>
      <c r="L81" s="80"/>
    </row>
    <row r="82" spans="1:12" ht="15">
      <c r="A82" s="914" t="s">
        <v>91</v>
      </c>
      <c r="B82" s="915"/>
      <c r="C82" s="915"/>
      <c r="D82" s="915"/>
      <c r="E82" s="915"/>
      <c r="F82" s="915"/>
      <c r="G82" s="915"/>
      <c r="H82" s="915"/>
      <c r="I82" s="915"/>
      <c r="J82" s="916"/>
      <c r="L82" s="80"/>
    </row>
    <row r="83" spans="1:12" ht="15">
      <c r="A83" s="84"/>
      <c r="B83" s="131"/>
      <c r="C83" s="77"/>
      <c r="D83" s="78"/>
      <c r="E83" s="77"/>
      <c r="F83" s="76">
        <f>B83*E83</f>
        <v>0</v>
      </c>
      <c r="G83" s="79">
        <f>F83</f>
        <v>0</v>
      </c>
      <c r="H83" s="77" t="s">
        <v>5</v>
      </c>
      <c r="I83" s="79">
        <f>G83*1.1</f>
        <v>0</v>
      </c>
      <c r="J83" s="128">
        <f>I83*1.1</f>
        <v>0</v>
      </c>
      <c r="L83" s="80"/>
    </row>
    <row r="84" spans="1:12" ht="15">
      <c r="A84" s="84"/>
      <c r="B84" s="131"/>
      <c r="C84" s="77"/>
      <c r="D84" s="78"/>
      <c r="E84" s="77"/>
      <c r="F84" s="76">
        <f>B84*E84</f>
        <v>0</v>
      </c>
      <c r="G84" s="79">
        <f>F84</f>
        <v>0</v>
      </c>
      <c r="H84" s="77" t="s">
        <v>5</v>
      </c>
      <c r="I84" s="79">
        <f>G84*1.1</f>
        <v>0</v>
      </c>
      <c r="J84" s="128">
        <f>I84*1.1</f>
        <v>0</v>
      </c>
      <c r="L84" s="80"/>
    </row>
    <row r="85" spans="1:12" ht="15">
      <c r="A85" s="84"/>
      <c r="B85" s="118"/>
      <c r="C85" s="100"/>
      <c r="D85" s="99"/>
      <c r="E85" s="100"/>
      <c r="F85" s="82"/>
      <c r="G85" s="100"/>
      <c r="H85" s="100"/>
      <c r="I85" s="92"/>
      <c r="J85" s="133">
        <f>SUM(J83:J84)</f>
        <v>0</v>
      </c>
      <c r="L85" s="80"/>
    </row>
    <row r="86" spans="1:12" ht="15">
      <c r="A86" s="546"/>
      <c r="B86" s="547"/>
      <c r="C86" s="548"/>
      <c r="D86" s="488"/>
      <c r="E86" s="548"/>
      <c r="F86" s="549"/>
      <c r="G86" s="129"/>
      <c r="H86" s="129"/>
      <c r="I86" s="395"/>
      <c r="J86" s="550"/>
      <c r="L86" s="80"/>
    </row>
    <row r="87" spans="1:12" ht="15">
      <c r="A87" s="920" t="s">
        <v>483</v>
      </c>
      <c r="B87" s="921"/>
      <c r="C87" s="921"/>
      <c r="D87" s="921"/>
      <c r="E87" s="921"/>
      <c r="F87" s="922"/>
      <c r="G87" s="73"/>
      <c r="H87" s="74"/>
      <c r="I87" s="73"/>
      <c r="J87" s="73"/>
      <c r="L87" s="80"/>
    </row>
    <row r="88" spans="1:12" ht="15">
      <c r="A88" s="135"/>
      <c r="B88" s="89"/>
      <c r="C88" s="90"/>
      <c r="D88" s="136"/>
      <c r="E88" s="91"/>
      <c r="F88" s="82">
        <f>B88*E88</f>
        <v>0</v>
      </c>
      <c r="G88" s="92"/>
      <c r="H88" s="100" t="s">
        <v>5</v>
      </c>
      <c r="I88" s="92"/>
      <c r="J88" s="373">
        <f>F88</f>
        <v>0</v>
      </c>
      <c r="L88" s="80"/>
    </row>
    <row r="89" spans="1:12" ht="15">
      <c r="A89" s="135"/>
      <c r="B89" s="89"/>
      <c r="C89" s="90"/>
      <c r="D89" s="136"/>
      <c r="E89" s="91"/>
      <c r="F89" s="82">
        <f>B89*E89</f>
        <v>0</v>
      </c>
      <c r="G89" s="92"/>
      <c r="H89" s="100" t="s">
        <v>5</v>
      </c>
      <c r="I89" s="92"/>
      <c r="J89" s="373">
        <f>F89</f>
        <v>0</v>
      </c>
      <c r="L89" s="80"/>
    </row>
    <row r="90" spans="1:12" ht="15">
      <c r="A90" s="135"/>
      <c r="B90" s="89"/>
      <c r="C90" s="90"/>
      <c r="D90" s="136"/>
      <c r="E90" s="91"/>
      <c r="F90" s="82"/>
      <c r="G90" s="92"/>
      <c r="H90" s="100"/>
      <c r="I90" s="92"/>
      <c r="J90" s="373"/>
    </row>
    <row r="91" spans="1:12" ht="15">
      <c r="A91" s="135"/>
      <c r="B91" s="89"/>
      <c r="C91" s="90"/>
      <c r="D91" s="136"/>
      <c r="E91" s="91"/>
      <c r="F91" s="88"/>
      <c r="G91" s="102"/>
      <c r="H91" s="91"/>
      <c r="I91" s="102"/>
      <c r="J91" s="138">
        <f>SUM(J88:J90)</f>
        <v>0</v>
      </c>
    </row>
    <row r="92" spans="1:12" ht="15">
      <c r="A92" s="87"/>
      <c r="B92" s="89"/>
      <c r="C92" s="90"/>
      <c r="D92" s="136"/>
      <c r="E92" s="91"/>
      <c r="F92" s="88"/>
      <c r="G92" s="102"/>
      <c r="H92" s="91"/>
      <c r="I92" s="102"/>
      <c r="J92" s="102"/>
    </row>
    <row r="93" spans="1:12" ht="15">
      <c r="A93" s="914" t="s">
        <v>485</v>
      </c>
      <c r="B93" s="915"/>
      <c r="C93" s="915"/>
      <c r="D93" s="915"/>
      <c r="E93" s="915"/>
      <c r="F93" s="915"/>
      <c r="G93" s="915"/>
      <c r="H93" s="915"/>
      <c r="I93" s="915"/>
      <c r="J93" s="916"/>
    </row>
    <row r="94" spans="1:12" ht="15">
      <c r="A94" s="250"/>
      <c r="B94" s="251"/>
      <c r="C94" s="251"/>
      <c r="D94" s="251"/>
      <c r="E94" s="251"/>
      <c r="F94" s="251"/>
      <c r="G94" s="251"/>
      <c r="H94" s="251"/>
      <c r="I94" s="251"/>
      <c r="J94" s="252"/>
    </row>
    <row r="95" spans="1:12" ht="15">
      <c r="A95" s="142"/>
      <c r="B95" s="143"/>
      <c r="C95" s="144"/>
      <c r="D95" s="145"/>
      <c r="E95" s="144"/>
      <c r="F95" s="146">
        <f>B95</f>
        <v>0</v>
      </c>
      <c r="G95" s="144"/>
      <c r="H95" s="144" t="s">
        <v>5</v>
      </c>
      <c r="I95" s="147">
        <f>F95*1.1</f>
        <v>0</v>
      </c>
      <c r="J95" s="148">
        <f>I95</f>
        <v>0</v>
      </c>
    </row>
    <row r="97" spans="1:12" ht="15">
      <c r="A97" s="914" t="s">
        <v>92</v>
      </c>
      <c r="B97" s="915"/>
      <c r="C97" s="915"/>
      <c r="D97" s="915"/>
      <c r="E97" s="915"/>
      <c r="F97" s="915"/>
      <c r="G97" s="915"/>
      <c r="H97" s="915"/>
      <c r="I97" s="915"/>
      <c r="J97" s="916"/>
    </row>
    <row r="98" spans="1:12" ht="15">
      <c r="A98" s="84"/>
      <c r="B98" s="82"/>
      <c r="C98" s="91"/>
      <c r="D98" s="82"/>
      <c r="E98" s="91"/>
      <c r="F98" s="82"/>
      <c r="G98" s="92"/>
      <c r="H98" s="100"/>
      <c r="I98" s="92"/>
      <c r="J98" s="92"/>
    </row>
    <row r="99" spans="1:12" ht="15">
      <c r="A99" s="392"/>
      <c r="B99" s="123"/>
      <c r="C99" s="122"/>
      <c r="D99" s="626"/>
      <c r="E99" s="121"/>
      <c r="F99" s="123"/>
      <c r="G99" s="124"/>
      <c r="H99" s="121"/>
      <c r="I99" s="124"/>
      <c r="J99" s="393"/>
    </row>
    <row r="100" spans="1:12" ht="15">
      <c r="A100" s="899" t="s">
        <v>1212</v>
      </c>
      <c r="B100" s="900"/>
      <c r="C100" s="900"/>
      <c r="D100" s="900"/>
      <c r="E100" s="900"/>
      <c r="F100" s="900"/>
      <c r="G100" s="900"/>
      <c r="H100" s="900"/>
      <c r="I100" s="900"/>
      <c r="J100" s="901"/>
    </row>
    <row r="101" spans="1:12" ht="15">
      <c r="A101" s="84"/>
      <c r="B101" s="82"/>
      <c r="C101" s="91"/>
      <c r="D101" s="82"/>
      <c r="E101" s="91"/>
      <c r="F101" s="82"/>
      <c r="G101" s="92"/>
      <c r="H101" s="100"/>
      <c r="I101" s="92"/>
      <c r="J101" s="92"/>
    </row>
    <row r="102" spans="1:12" ht="15">
      <c r="A102" s="627"/>
      <c r="B102" s="123"/>
      <c r="C102" s="121"/>
      <c r="D102" s="123"/>
      <c r="E102" s="121"/>
      <c r="F102" s="123"/>
      <c r="G102" s="124"/>
      <c r="H102" s="121"/>
      <c r="I102" s="124"/>
      <c r="J102" s="124"/>
    </row>
    <row r="103" spans="1:12" ht="15">
      <c r="A103" s="899" t="s">
        <v>93</v>
      </c>
      <c r="B103" s="900"/>
      <c r="C103" s="900"/>
      <c r="D103" s="900"/>
      <c r="E103" s="900"/>
      <c r="F103" s="900"/>
      <c r="G103" s="900"/>
      <c r="H103" s="900"/>
      <c r="I103" s="900"/>
      <c r="J103" s="901"/>
    </row>
    <row r="104" spans="1:12" ht="15">
      <c r="A104" s="84"/>
      <c r="B104" s="82"/>
      <c r="C104" s="91"/>
      <c r="D104" s="82"/>
      <c r="E104" s="91"/>
      <c r="F104" s="82"/>
      <c r="G104" s="92"/>
      <c r="H104" s="100"/>
      <c r="I104" s="92"/>
      <c r="J104" s="92"/>
    </row>
    <row r="105" spans="1:12" ht="15">
      <c r="A105" s="84"/>
      <c r="B105" s="88"/>
      <c r="C105" s="91"/>
      <c r="D105" s="88"/>
      <c r="E105" s="91"/>
      <c r="F105" s="88"/>
      <c r="G105" s="102"/>
      <c r="H105" s="91"/>
      <c r="I105" s="102"/>
      <c r="J105" s="150"/>
      <c r="L105" s="68" t="s">
        <v>94</v>
      </c>
    </row>
    <row r="106" spans="1:12" ht="15">
      <c r="A106" s="899" t="s">
        <v>1111</v>
      </c>
      <c r="B106" s="900"/>
      <c r="C106" s="900"/>
      <c r="D106" s="900"/>
      <c r="E106" s="900"/>
      <c r="F106" s="900"/>
      <c r="G106" s="900"/>
      <c r="H106" s="900"/>
      <c r="I106" s="900"/>
      <c r="J106" s="901"/>
    </row>
    <row r="107" spans="1:12" ht="15">
      <c r="A107" s="84"/>
      <c r="B107" s="88"/>
      <c r="C107" s="91"/>
      <c r="D107" s="88"/>
      <c r="E107" s="91"/>
      <c r="F107" s="88"/>
      <c r="G107" s="102"/>
      <c r="H107" s="91"/>
      <c r="I107" s="102"/>
      <c r="J107" s="150"/>
    </row>
    <row r="108" spans="1:12" ht="15">
      <c r="A108" s="84" t="s">
        <v>1128</v>
      </c>
      <c r="B108" s="88"/>
      <c r="C108" s="91"/>
      <c r="D108" s="88"/>
      <c r="E108" s="91"/>
      <c r="F108" s="88">
        <f>PRODUCT(B108:E108)</f>
        <v>0</v>
      </c>
      <c r="G108" s="102">
        <f>F108</f>
        <v>0</v>
      </c>
      <c r="H108" s="91" t="s">
        <v>63</v>
      </c>
      <c r="I108" s="102">
        <f>G108*1.1</f>
        <v>0</v>
      </c>
      <c r="J108" s="138">
        <f>I108</f>
        <v>0</v>
      </c>
    </row>
    <row r="109" spans="1:12" ht="15">
      <c r="A109" s="84"/>
      <c r="B109" s="88"/>
      <c r="C109" s="91"/>
      <c r="D109" s="88"/>
      <c r="E109" s="91"/>
      <c r="F109" s="88"/>
      <c r="G109" s="102"/>
      <c r="H109" s="91"/>
      <c r="I109" s="102"/>
      <c r="J109" s="150"/>
    </row>
    <row r="110" spans="1:12" ht="15">
      <c r="A110" s="84"/>
      <c r="B110" s="88"/>
      <c r="C110" s="91"/>
      <c r="D110" s="88"/>
      <c r="E110" s="91"/>
      <c r="F110" s="88"/>
      <c r="G110" s="102"/>
      <c r="H110" s="91"/>
      <c r="I110" s="102"/>
      <c r="J110" s="150"/>
    </row>
    <row r="111" spans="1:12" ht="15">
      <c r="A111" s="84"/>
      <c r="B111" s="88"/>
      <c r="C111" s="91"/>
      <c r="D111" s="88"/>
      <c r="E111" s="91"/>
      <c r="F111" s="88"/>
      <c r="G111" s="102"/>
      <c r="H111" s="91"/>
      <c r="I111" s="102"/>
      <c r="J111" s="150"/>
    </row>
    <row r="112" spans="1:12" ht="15">
      <c r="A112" s="84"/>
      <c r="B112" s="123"/>
      <c r="C112" s="121"/>
      <c r="D112" s="123"/>
      <c r="E112" s="121"/>
      <c r="F112" s="123"/>
      <c r="G112" s="124"/>
      <c r="H112" s="121"/>
      <c r="I112" s="124"/>
      <c r="J112" s="124"/>
    </row>
  </sheetData>
  <mergeCells count="30">
    <mergeCell ref="A106:J106"/>
    <mergeCell ref="A56:J56"/>
    <mergeCell ref="A57:F57"/>
    <mergeCell ref="A60:J60"/>
    <mergeCell ref="A61:H61"/>
    <mergeCell ref="A76:J76"/>
    <mergeCell ref="A82:J82"/>
    <mergeCell ref="A87:F87"/>
    <mergeCell ref="A93:J93"/>
    <mergeCell ref="A97:J97"/>
    <mergeCell ref="A100:J100"/>
    <mergeCell ref="A103:J103"/>
    <mergeCell ref="A53:F53"/>
    <mergeCell ref="A17:F17"/>
    <mergeCell ref="A22:F22"/>
    <mergeCell ref="A23:F23"/>
    <mergeCell ref="A24:F24"/>
    <mergeCell ref="A29:J29"/>
    <mergeCell ref="A39:J39"/>
    <mergeCell ref="A40:J40"/>
    <mergeCell ref="A41:F41"/>
    <mergeCell ref="A44:F44"/>
    <mergeCell ref="A47:F47"/>
    <mergeCell ref="A50:F50"/>
    <mergeCell ref="A16:F16"/>
    <mergeCell ref="A1:J1"/>
    <mergeCell ref="A3:J3"/>
    <mergeCell ref="A4:F4"/>
    <mergeCell ref="A14:J14"/>
    <mergeCell ref="A15:F15"/>
  </mergeCells>
  <pageMargins left="0.7" right="0.7" top="0.75" bottom="0.75" header="0.3" footer="0.3"/>
  <pageSetup paperSize="9" scale="63" orientation="portrait" r:id="rId1"/>
  <rowBreaks count="1" manualBreakCount="1">
    <brk id="42" max="16383" man="1"/>
  </rowBreaks>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006DA-20B1-4CFD-ADB5-4DD75BEB5ADC}">
  <dimension ref="B3:W247"/>
  <sheetViews>
    <sheetView zoomScale="70" zoomScaleNormal="70" workbookViewId="0">
      <pane ySplit="1" topLeftCell="A91" activePane="bottomLeft" state="frozen"/>
      <selection activeCell="B5" sqref="B5:E5"/>
      <selection pane="bottomLeft" activeCell="B5" sqref="B5:E5"/>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5" width="9.109375" style="154"/>
    <col min="16" max="16" width="10.33203125" style="154" bestFit="1" customWidth="1"/>
    <col min="17" max="17" width="12.33203125" style="154" customWidth="1"/>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95</v>
      </c>
      <c r="C3" s="151" t="s">
        <v>96</v>
      </c>
      <c r="D3" s="151" t="s">
        <v>97</v>
      </c>
      <c r="E3" s="151" t="s">
        <v>98</v>
      </c>
      <c r="F3" s="151" t="s">
        <v>99</v>
      </c>
      <c r="G3" s="151"/>
      <c r="H3" s="928" t="s">
        <v>100</v>
      </c>
      <c r="I3" s="928"/>
      <c r="J3" s="928"/>
      <c r="K3" s="151" t="s">
        <v>101</v>
      </c>
      <c r="L3" s="152" t="s">
        <v>102</v>
      </c>
      <c r="M3" s="153"/>
    </row>
    <row r="4" spans="2:23" ht="19.5" customHeight="1">
      <c r="B4" s="155"/>
      <c r="C4" s="155"/>
      <c r="D4" s="155"/>
      <c r="E4" s="155"/>
      <c r="F4" s="156" t="s">
        <v>98</v>
      </c>
      <c r="G4" s="156" t="s">
        <v>103</v>
      </c>
      <c r="H4" s="156" t="s">
        <v>104</v>
      </c>
      <c r="I4" s="156" t="s">
        <v>103</v>
      </c>
      <c r="J4" s="156" t="s">
        <v>105</v>
      </c>
      <c r="K4" s="156" t="s">
        <v>106</v>
      </c>
      <c r="L4" s="157" t="s">
        <v>107</v>
      </c>
      <c r="M4" s="157" t="s">
        <v>108</v>
      </c>
    </row>
    <row r="5" spans="2:23">
      <c r="B5" s="158"/>
      <c r="C5" s="158"/>
      <c r="D5" s="158"/>
      <c r="E5" s="158"/>
      <c r="F5" s="159"/>
      <c r="G5" s="159"/>
      <c r="H5" s="159"/>
      <c r="I5" s="159"/>
      <c r="J5" s="159"/>
      <c r="K5" s="160"/>
      <c r="L5" s="160"/>
      <c r="M5" s="160"/>
    </row>
    <row r="6" spans="2:23" ht="18">
      <c r="B6" s="160" t="s">
        <v>109</v>
      </c>
      <c r="C6" s="161">
        <v>0.3</v>
      </c>
      <c r="D6" s="161">
        <v>0.3</v>
      </c>
      <c r="E6" s="161">
        <v>0.1</v>
      </c>
      <c r="F6" s="161">
        <v>0.05</v>
      </c>
      <c r="G6" s="161">
        <v>10</v>
      </c>
      <c r="H6" s="161">
        <v>0.2</v>
      </c>
      <c r="I6" s="161">
        <v>10</v>
      </c>
      <c r="J6" s="161">
        <v>0.25</v>
      </c>
      <c r="K6" s="161">
        <v>3</v>
      </c>
      <c r="L6" s="160"/>
      <c r="M6" s="160"/>
      <c r="T6" s="929" t="s">
        <v>110</v>
      </c>
      <c r="U6" s="929"/>
    </row>
    <row r="7" spans="2:23">
      <c r="B7" s="160"/>
      <c r="C7" s="161"/>
      <c r="D7" s="161"/>
      <c r="E7" s="161"/>
      <c r="F7" s="161"/>
      <c r="G7" s="161"/>
      <c r="H7" s="160"/>
      <c r="I7" s="160"/>
      <c r="J7" s="160"/>
      <c r="K7" s="161"/>
      <c r="L7" s="160"/>
      <c r="M7" s="160"/>
      <c r="S7" s="162"/>
      <c r="V7" s="162"/>
      <c r="W7" s="930" t="s">
        <v>6</v>
      </c>
    </row>
    <row r="8" spans="2:23">
      <c r="B8" s="160"/>
      <c r="C8" s="161"/>
      <c r="D8" s="161"/>
      <c r="E8" s="161"/>
      <c r="F8" s="161"/>
      <c r="G8" s="161"/>
      <c r="H8" s="160"/>
      <c r="I8" s="160"/>
      <c r="J8" s="160"/>
      <c r="K8" s="161"/>
      <c r="L8" s="160"/>
      <c r="M8" s="160"/>
      <c r="S8" s="162"/>
      <c r="V8" s="162"/>
      <c r="W8" s="930"/>
    </row>
    <row r="9" spans="2:23">
      <c r="B9" s="160" t="s">
        <v>111</v>
      </c>
      <c r="C9" s="161">
        <v>0.45</v>
      </c>
      <c r="D9" s="161">
        <v>0.45</v>
      </c>
      <c r="E9" s="161">
        <v>0.1</v>
      </c>
      <c r="F9" s="161">
        <v>0.05</v>
      </c>
      <c r="G9" s="161">
        <v>10</v>
      </c>
      <c r="H9" s="161">
        <v>0.2</v>
      </c>
      <c r="I9" s="161">
        <v>10</v>
      </c>
      <c r="J9" s="161">
        <v>0.25</v>
      </c>
      <c r="K9" s="161">
        <v>3</v>
      </c>
      <c r="L9" s="160"/>
      <c r="M9" s="160"/>
      <c r="S9" s="162"/>
      <c r="V9" s="162"/>
      <c r="W9" s="930"/>
    </row>
    <row r="10" spans="2:23">
      <c r="B10" s="160"/>
      <c r="C10" s="161"/>
      <c r="D10" s="161"/>
      <c r="E10" s="161"/>
      <c r="F10" s="161"/>
      <c r="G10" s="161"/>
      <c r="H10" s="161"/>
      <c r="I10" s="161"/>
      <c r="J10" s="161"/>
      <c r="K10" s="161"/>
      <c r="L10" s="160"/>
      <c r="M10" s="160"/>
      <c r="S10" s="162"/>
      <c r="V10" s="162"/>
      <c r="W10" s="930"/>
    </row>
    <row r="11" spans="2:23">
      <c r="B11" s="160"/>
      <c r="C11" s="161"/>
      <c r="D11" s="161"/>
      <c r="E11" s="161"/>
      <c r="F11" s="161"/>
      <c r="G11" s="161"/>
      <c r="H11" s="160"/>
      <c r="I11" s="160"/>
      <c r="J11" s="160"/>
      <c r="K11" s="161"/>
      <c r="L11" s="160"/>
      <c r="M11" s="160"/>
      <c r="S11" s="162"/>
      <c r="V11" s="162"/>
      <c r="W11" s="930"/>
    </row>
    <row r="12" spans="2:23">
      <c r="B12" s="160" t="s">
        <v>112</v>
      </c>
      <c r="C12" s="161">
        <v>0.6</v>
      </c>
      <c r="D12" s="161">
        <v>0.6</v>
      </c>
      <c r="E12" s="161">
        <v>0.1</v>
      </c>
      <c r="F12" s="161">
        <v>0.05</v>
      </c>
      <c r="G12" s="161">
        <v>10</v>
      </c>
      <c r="H12" s="160">
        <v>0.2</v>
      </c>
      <c r="I12" s="160">
        <v>10</v>
      </c>
      <c r="J12" s="160">
        <v>0.25</v>
      </c>
      <c r="K12" s="161">
        <v>3</v>
      </c>
      <c r="L12" s="160"/>
      <c r="M12" s="160"/>
      <c r="S12" s="162"/>
      <c r="V12" s="162"/>
      <c r="W12" s="930"/>
    </row>
    <row r="13" spans="2:23">
      <c r="B13" s="160"/>
      <c r="C13" s="161"/>
      <c r="D13" s="161"/>
      <c r="E13" s="161"/>
      <c r="F13" s="161"/>
      <c r="G13" s="161"/>
      <c r="H13" s="160"/>
      <c r="I13" s="160"/>
      <c r="J13" s="160"/>
      <c r="K13" s="161"/>
      <c r="L13" s="160"/>
      <c r="M13" s="160"/>
      <c r="S13" s="162"/>
      <c r="V13" s="162"/>
      <c r="W13" s="930"/>
    </row>
    <row r="14" spans="2:23">
      <c r="B14" s="160"/>
      <c r="C14" s="161"/>
      <c r="D14" s="161"/>
      <c r="E14" s="161"/>
      <c r="F14" s="161"/>
      <c r="G14" s="161"/>
      <c r="H14" s="160"/>
      <c r="I14" s="160"/>
      <c r="J14" s="160"/>
      <c r="K14" s="161"/>
      <c r="L14" s="160"/>
      <c r="M14" s="160"/>
      <c r="S14" s="162"/>
      <c r="V14" s="162"/>
      <c r="W14" s="930"/>
    </row>
    <row r="15" spans="2:23">
      <c r="B15" s="160" t="s">
        <v>113</v>
      </c>
      <c r="C15" s="161">
        <v>0.75</v>
      </c>
      <c r="D15" s="161">
        <v>0.75</v>
      </c>
      <c r="E15" s="163">
        <v>0.125</v>
      </c>
      <c r="F15" s="161">
        <v>0.05</v>
      </c>
      <c r="G15" s="161">
        <v>10</v>
      </c>
      <c r="H15" s="160">
        <v>0.2</v>
      </c>
      <c r="I15" s="160">
        <v>10</v>
      </c>
      <c r="J15" s="160">
        <v>0.25</v>
      </c>
      <c r="K15" s="161">
        <v>3</v>
      </c>
      <c r="L15" s="160"/>
      <c r="M15" s="160"/>
      <c r="S15" s="162"/>
      <c r="V15" s="162"/>
      <c r="W15" s="930"/>
    </row>
    <row r="16" spans="2:23">
      <c r="B16" s="160"/>
      <c r="C16" s="161"/>
      <c r="D16" s="161"/>
      <c r="E16" s="161"/>
      <c r="F16" s="161"/>
      <c r="G16" s="161"/>
      <c r="H16" s="160"/>
      <c r="I16" s="160"/>
      <c r="J16" s="160"/>
      <c r="K16" s="161"/>
      <c r="L16" s="160"/>
      <c r="M16" s="160"/>
      <c r="S16" s="162"/>
      <c r="V16" s="162"/>
      <c r="W16" s="930"/>
    </row>
    <row r="17" spans="2:23">
      <c r="B17" s="160"/>
      <c r="C17" s="161"/>
      <c r="D17" s="161"/>
      <c r="E17" s="161"/>
      <c r="F17" s="161"/>
      <c r="G17" s="161"/>
      <c r="H17" s="160"/>
      <c r="I17" s="160"/>
      <c r="J17" s="160"/>
      <c r="K17" s="161"/>
      <c r="L17" s="160"/>
      <c r="M17" s="160"/>
      <c r="S17" s="162"/>
      <c r="V17" s="162"/>
      <c r="W17" s="930"/>
    </row>
    <row r="18" spans="2:23">
      <c r="B18" s="164" t="s">
        <v>114</v>
      </c>
      <c r="C18" s="161">
        <v>0.9</v>
      </c>
      <c r="D18" s="161">
        <v>0.9</v>
      </c>
      <c r="E18" s="163">
        <v>0.15</v>
      </c>
      <c r="F18" s="161">
        <v>0.05</v>
      </c>
      <c r="G18" s="161">
        <v>10</v>
      </c>
      <c r="H18" s="160">
        <v>0.17499999999999999</v>
      </c>
      <c r="I18" s="160">
        <v>10</v>
      </c>
      <c r="J18" s="160">
        <v>0.25</v>
      </c>
      <c r="K18" s="161">
        <v>3</v>
      </c>
      <c r="L18" s="160"/>
      <c r="M18" s="160"/>
      <c r="S18" s="162"/>
      <c r="T18" s="162"/>
      <c r="U18" s="162"/>
      <c r="V18" s="162"/>
      <c r="W18" s="930" t="s">
        <v>115</v>
      </c>
    </row>
    <row r="19" spans="2:23">
      <c r="B19" s="160"/>
      <c r="C19" s="161"/>
      <c r="D19" s="161"/>
      <c r="E19" s="161"/>
      <c r="F19" s="161"/>
      <c r="G19" s="161"/>
      <c r="H19" s="160"/>
      <c r="I19" s="160"/>
      <c r="J19" s="160"/>
      <c r="K19" s="161"/>
      <c r="L19" s="160"/>
      <c r="M19" s="160"/>
      <c r="S19" s="162"/>
      <c r="T19" s="162"/>
      <c r="U19" s="162"/>
      <c r="V19" s="162"/>
      <c r="W19" s="930"/>
    </row>
    <row r="20" spans="2:23">
      <c r="B20" s="160"/>
      <c r="C20" s="161"/>
      <c r="D20" s="161"/>
      <c r="E20" s="161"/>
      <c r="F20" s="161"/>
      <c r="G20" s="161"/>
      <c r="H20" s="160"/>
      <c r="I20" s="160"/>
      <c r="J20" s="160"/>
      <c r="K20" s="161"/>
      <c r="L20" s="160"/>
      <c r="M20" s="160"/>
      <c r="S20" s="162"/>
      <c r="T20" s="162"/>
      <c r="U20" s="162"/>
      <c r="V20" s="162"/>
      <c r="W20" s="930"/>
    </row>
    <row r="21" spans="2:23">
      <c r="B21" s="160" t="s">
        <v>116</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117</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118</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119</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120</v>
      </c>
      <c r="C30" s="161">
        <v>0.3</v>
      </c>
      <c r="D30" s="161">
        <v>0.3</v>
      </c>
      <c r="E30" s="161">
        <v>0.1</v>
      </c>
      <c r="F30" s="161">
        <v>0.05</v>
      </c>
      <c r="G30" s="161">
        <v>10</v>
      </c>
      <c r="H30" s="160">
        <v>0.25</v>
      </c>
      <c r="I30" s="160">
        <v>10</v>
      </c>
      <c r="J30" s="160">
        <v>0.25</v>
      </c>
      <c r="K30" s="161">
        <v>0</v>
      </c>
      <c r="L30" s="160"/>
      <c r="M30" s="160"/>
    </row>
    <row r="31" spans="2:23">
      <c r="B31" s="166" t="s">
        <v>121</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8" t="s">
        <v>122</v>
      </c>
      <c r="C33" s="161">
        <v>0.45</v>
      </c>
      <c r="D33" s="161">
        <v>0.45</v>
      </c>
      <c r="E33" s="161">
        <v>0.1</v>
      </c>
      <c r="F33" s="161">
        <v>0.05</v>
      </c>
      <c r="G33" s="161">
        <v>10</v>
      </c>
      <c r="H33" s="160">
        <v>0.25</v>
      </c>
      <c r="I33" s="160">
        <v>10</v>
      </c>
      <c r="J33" s="160">
        <v>0.25</v>
      </c>
      <c r="K33" s="161">
        <v>0</v>
      </c>
      <c r="L33" s="160"/>
      <c r="M33" s="160"/>
    </row>
    <row r="34" spans="2:13">
      <c r="B34" s="166" t="s">
        <v>121</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123</v>
      </c>
      <c r="L35" s="160"/>
      <c r="M35" s="160"/>
    </row>
    <row r="36" spans="2:13">
      <c r="B36" s="168" t="s">
        <v>124</v>
      </c>
      <c r="C36" s="161">
        <v>1</v>
      </c>
      <c r="D36" s="161">
        <v>0.15</v>
      </c>
      <c r="E36" s="161">
        <v>0.1</v>
      </c>
      <c r="F36" s="161">
        <v>0.05</v>
      </c>
      <c r="G36" s="161">
        <v>10</v>
      </c>
      <c r="H36" s="160">
        <v>0.25</v>
      </c>
      <c r="I36" s="160">
        <v>10</v>
      </c>
      <c r="J36" s="160">
        <v>0.25</v>
      </c>
      <c r="K36" s="161">
        <v>0</v>
      </c>
      <c r="L36" s="160"/>
      <c r="M36" s="160"/>
    </row>
    <row r="37" spans="2:13">
      <c r="B37" s="166" t="s">
        <v>121</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125</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126</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127</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128</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129</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130</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131</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132</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133</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134</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135</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136</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137</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138</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139</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140</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141</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142</v>
      </c>
      <c r="C95" s="161">
        <v>1</v>
      </c>
      <c r="D95" s="161">
        <v>1</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143</v>
      </c>
      <c r="L103" s="931" t="s">
        <v>144</v>
      </c>
      <c r="M103" s="932"/>
      <c r="N103" s="932"/>
      <c r="O103" s="932"/>
      <c r="P103" s="932"/>
      <c r="Q103" s="932"/>
      <c r="R103" s="932"/>
      <c r="S103" s="933"/>
    </row>
    <row r="104" spans="2:21">
      <c r="B104" s="178" t="s">
        <v>145</v>
      </c>
      <c r="K104" s="179">
        <v>1</v>
      </c>
      <c r="L104" s="926" t="s">
        <v>7</v>
      </c>
      <c r="M104" s="934"/>
      <c r="N104" s="927"/>
      <c r="O104" s="926" t="s">
        <v>6</v>
      </c>
      <c r="P104" s="934"/>
      <c r="Q104" s="927"/>
      <c r="R104" s="926" t="s">
        <v>146</v>
      </c>
      <c r="S104" s="927"/>
    </row>
    <row r="105" spans="2:21">
      <c r="D105" s="180" t="s">
        <v>147</v>
      </c>
      <c r="E105" s="181" t="s">
        <v>1</v>
      </c>
      <c r="G105" s="182" t="s">
        <v>148</v>
      </c>
      <c r="H105" s="182" t="s">
        <v>149</v>
      </c>
      <c r="I105" s="182" t="s">
        <v>150</v>
      </c>
      <c r="J105" s="182" t="s">
        <v>151</v>
      </c>
      <c r="K105" s="182" t="s">
        <v>152</v>
      </c>
      <c r="L105" s="926" t="s">
        <v>153</v>
      </c>
      <c r="M105" s="927"/>
      <c r="N105" s="183" t="s">
        <v>1</v>
      </c>
      <c r="O105" s="926" t="s">
        <v>153</v>
      </c>
      <c r="P105" s="927"/>
      <c r="Q105" s="183" t="s">
        <v>1</v>
      </c>
      <c r="R105" s="183" t="s">
        <v>1</v>
      </c>
      <c r="S105" s="183" t="s">
        <v>80</v>
      </c>
    </row>
    <row r="106" spans="2:21" ht="21.75" customHeight="1">
      <c r="B106" s="154" t="s">
        <v>154</v>
      </c>
      <c r="C106" s="178" t="s">
        <v>155</v>
      </c>
      <c r="E106" s="184">
        <v>82.37</v>
      </c>
      <c r="G106" s="185">
        <f>+E106*(C6+E6*2+1.5)</f>
        <v>164.74</v>
      </c>
      <c r="H106" s="185">
        <f>+E106*(C6+E6*2)*(D6+E6+F6)</f>
        <v>18.533250000000002</v>
      </c>
      <c r="I106" s="186">
        <f>+(C6+E6*2)*E106*F6</f>
        <v>2.05925</v>
      </c>
      <c r="J106" s="186">
        <f>+E106*((C6+E6*2)*E6+(D6*E6*2))</f>
        <v>9.0607000000000006</v>
      </c>
      <c r="K106" s="186">
        <f>+(D6+$K$104*(D6+E6))*E106*2</f>
        <v>115.318</v>
      </c>
      <c r="L106" s="187">
        <f>+(E106)/H6+ IF(E106&gt;0,1,0)</f>
        <v>412.85</v>
      </c>
      <c r="M106" s="188">
        <f>+ROUNDUP(L106,0)</f>
        <v>413</v>
      </c>
      <c r="N106" s="189">
        <f>+(D6+E6-0.08)*2+(C6+E6*2-0.08)</f>
        <v>1.06</v>
      </c>
      <c r="O106" s="187">
        <f>+N106/J6+1</f>
        <v>5.24</v>
      </c>
      <c r="P106" s="188">
        <f>+ROUNDUP(O106,0)</f>
        <v>6</v>
      </c>
      <c r="Q106" s="188">
        <f>+E106+E106/6*50*(G6/1000)</f>
        <v>89.234166666666667</v>
      </c>
      <c r="R106" s="190">
        <f>+N106*M106+P106*Q106</f>
        <v>973.18499999999995</v>
      </c>
      <c r="S106" s="186">
        <f>((I6*I6)/162)*R106</f>
        <v>600.73148148148141</v>
      </c>
      <c r="T106" s="154" t="s">
        <v>156</v>
      </c>
    </row>
    <row r="107" spans="2:21" ht="19.5" customHeight="1">
      <c r="C107" s="154" t="s">
        <v>101</v>
      </c>
      <c r="D107" s="191">
        <f>ROUNDUP(+E106/K6,0)</f>
        <v>28</v>
      </c>
      <c r="E107" s="184"/>
      <c r="G107" s="192"/>
      <c r="H107" s="192"/>
      <c r="I107" s="191"/>
      <c r="J107" s="191">
        <f>0.5*(0.075+0.05)*0.075*C6*D107</f>
        <v>3.9375E-2</v>
      </c>
      <c r="K107" s="191">
        <f>+(0.075+0.08)*C6*D107</f>
        <v>1.302</v>
      </c>
      <c r="L107" s="193">
        <f>+D107</f>
        <v>28</v>
      </c>
      <c r="M107" s="188">
        <f>+ROUNDUP(L107,0)</f>
        <v>28</v>
      </c>
      <c r="N107" s="194">
        <f>+(C6-0.08)+((0.075+0.05-0.04)*2)</f>
        <v>0.38999999999999996</v>
      </c>
      <c r="O107" s="193"/>
      <c r="P107" s="195"/>
      <c r="Q107" s="195"/>
      <c r="R107" s="190">
        <f>+N107*M107+P107*Q107</f>
        <v>10.919999999999998</v>
      </c>
      <c r="S107" s="186">
        <f>((I6*I6)/162)*R107</f>
        <v>6.7407407407407396</v>
      </c>
      <c r="T107" s="154" t="s">
        <v>156</v>
      </c>
      <c r="U107" s="191">
        <f>S106+S107</f>
        <v>607.47222222222217</v>
      </c>
    </row>
    <row r="108" spans="2:21" hidden="1">
      <c r="E108" s="184"/>
    </row>
    <row r="109" spans="2:21" hidden="1">
      <c r="B109" s="154" t="s">
        <v>154</v>
      </c>
      <c r="C109" s="178" t="s">
        <v>157</v>
      </c>
      <c r="E109" s="184"/>
      <c r="G109" s="185">
        <f>+E109*(C9+E9*2+3)</f>
        <v>0</v>
      </c>
      <c r="H109" s="185">
        <f>+E109*(C9+E9*2)*(D9+E9+F9)</f>
        <v>0</v>
      </c>
      <c r="I109" s="186">
        <f>+(C9+E9*2)*E109*F9</f>
        <v>0</v>
      </c>
      <c r="J109" s="186">
        <f>+E109*((C9+E9*2)*E9+(D9*E9*2))</f>
        <v>0</v>
      </c>
      <c r="K109" s="186">
        <f>+(D9+$K$104*(D9+E9))*E109*2</f>
        <v>0</v>
      </c>
      <c r="L109" s="187">
        <f>+(E109)/H9+ IF(E109&gt;0,1,0)</f>
        <v>0</v>
      </c>
      <c r="M109" s="188">
        <f>+ROUNDUP(L109,0)</f>
        <v>0</v>
      </c>
      <c r="N109" s="189">
        <f>+(D9+E9-0.08)*2+(C9+E9*2-0.08)</f>
        <v>1.5100000000000002</v>
      </c>
      <c r="O109" s="187">
        <f>+N109/J9+1</f>
        <v>7.0400000000000009</v>
      </c>
      <c r="P109" s="188">
        <f>+ROUNDUP(O109,0)</f>
        <v>8</v>
      </c>
      <c r="Q109" s="188">
        <f>+E109+E109/6*50*(G9/1000)</f>
        <v>0</v>
      </c>
      <c r="R109" s="190">
        <f>+N109*M109+P109*Q109</f>
        <v>0</v>
      </c>
      <c r="S109" s="186">
        <f>((I9*I9)/162)*R109</f>
        <v>0</v>
      </c>
      <c r="T109" s="154" t="s">
        <v>156</v>
      </c>
    </row>
    <row r="110" spans="2:21" hidden="1">
      <c r="C110" s="154" t="s">
        <v>101</v>
      </c>
      <c r="D110" s="191">
        <f>ROUNDUP(+E109/K9,0)</f>
        <v>0</v>
      </c>
      <c r="E110" s="184"/>
      <c r="G110" s="192"/>
      <c r="H110" s="192"/>
      <c r="I110" s="191"/>
      <c r="J110" s="191">
        <f>0.5*(0.075+0.05)*0.075*C9*D110</f>
        <v>0</v>
      </c>
      <c r="K110" s="191">
        <f>+(0.075+0.08)*C9*D110</f>
        <v>0</v>
      </c>
      <c r="L110" s="193">
        <f>+D110</f>
        <v>0</v>
      </c>
      <c r="M110" s="188">
        <f>+ROUNDUP(L110,0)</f>
        <v>0</v>
      </c>
      <c r="N110" s="194">
        <f>+(C9-0.08)+((0.075+0.05-0.04)*2)</f>
        <v>0.54</v>
      </c>
      <c r="O110" s="193"/>
      <c r="P110" s="195"/>
      <c r="Q110" s="195"/>
      <c r="R110" s="190">
        <f>+N110*M110+P110*Q110</f>
        <v>0</v>
      </c>
      <c r="S110" s="186">
        <f>((I9*I9)/162)*R110</f>
        <v>0</v>
      </c>
      <c r="T110" s="154" t="s">
        <v>156</v>
      </c>
      <c r="U110" s="191">
        <f>S109+S110</f>
        <v>0</v>
      </c>
    </row>
    <row r="111" spans="2:21">
      <c r="E111" s="184"/>
    </row>
    <row r="112" spans="2:21">
      <c r="B112" s="154" t="s">
        <v>154</v>
      </c>
      <c r="C112" s="178" t="s">
        <v>158</v>
      </c>
      <c r="E112" s="184">
        <v>78.94</v>
      </c>
      <c r="G112" s="185">
        <f>+E112*(C12+E12*2+3)</f>
        <v>299.97199999999998</v>
      </c>
      <c r="H112" s="185">
        <f>+E112*(C12+E12*2)*(D12+E12+F12)</f>
        <v>47.364000000000004</v>
      </c>
      <c r="I112" s="186">
        <f>+(C12+E12*2)*E112*F12</f>
        <v>3.1576000000000004</v>
      </c>
      <c r="J112" s="186">
        <f>+E112*((C12+E12*2)*E12+(D12*E12*2))</f>
        <v>15.788</v>
      </c>
      <c r="K112" s="186">
        <f>+(D12+$K$104*(D12+E12))*E112*2</f>
        <v>205.24399999999997</v>
      </c>
      <c r="L112" s="187">
        <f>+(E112)/H12+ IF(E112&gt;0,1,0)</f>
        <v>395.7</v>
      </c>
      <c r="M112" s="188">
        <f>+ROUNDUP(L112,0)</f>
        <v>396</v>
      </c>
      <c r="N112" s="189">
        <f>+(D12+E12-0.08)*2+(C12+E12*2-0.08)</f>
        <v>1.96</v>
      </c>
      <c r="O112" s="187">
        <f>+N112/J12+1</f>
        <v>8.84</v>
      </c>
      <c r="P112" s="188">
        <f>+ROUNDUP(O112,0)</f>
        <v>9</v>
      </c>
      <c r="Q112" s="188">
        <f>+E112+E112/6*50*(G12/1000)</f>
        <v>85.518333333333331</v>
      </c>
      <c r="R112" s="190">
        <f>+N112*M112+P112*Q112</f>
        <v>1545.8249999999998</v>
      </c>
      <c r="S112" s="186">
        <f>((I12*I12)/162)*R112</f>
        <v>954.21296296296282</v>
      </c>
      <c r="T112" s="154" t="s">
        <v>156</v>
      </c>
    </row>
    <row r="113" spans="2:21">
      <c r="C113" s="154" t="s">
        <v>101</v>
      </c>
      <c r="D113" s="191">
        <f>ROUNDUP(+E112/K12,0)</f>
        <v>27</v>
      </c>
      <c r="E113" s="184"/>
      <c r="G113" s="192"/>
      <c r="H113" s="192">
        <f>E112*0.6*0.6</f>
        <v>28.418399999999998</v>
      </c>
      <c r="I113" s="191"/>
      <c r="J113" s="191">
        <f>0.5*(0.075+0.05)*0.075*C12*D113</f>
        <v>7.5937499999999991E-2</v>
      </c>
      <c r="K113" s="191">
        <f>+(0.075+0.08)*C12*D113</f>
        <v>2.5110000000000001</v>
      </c>
      <c r="L113" s="193">
        <f>+D113</f>
        <v>27</v>
      </c>
      <c r="M113" s="188">
        <f>+ROUNDUP(L113,0)</f>
        <v>27</v>
      </c>
      <c r="N113" s="194">
        <f>+(C12-0.08)+((0.075+0.05-0.04)*2)</f>
        <v>0.69</v>
      </c>
      <c r="O113" s="193"/>
      <c r="P113" s="195"/>
      <c r="Q113" s="195"/>
      <c r="R113" s="190">
        <f>+N113*M113+P113*Q113</f>
        <v>18.63</v>
      </c>
      <c r="S113" s="186">
        <f>((I12*I12)/162)*R113</f>
        <v>11.499999999999998</v>
      </c>
      <c r="T113" s="154" t="s">
        <v>156</v>
      </c>
      <c r="U113" s="191">
        <f>S112+S113</f>
        <v>965.71296296296282</v>
      </c>
    </row>
    <row r="114" spans="2:21">
      <c r="E114" s="184"/>
    </row>
    <row r="115" spans="2:21" hidden="1">
      <c r="B115" s="154" t="s">
        <v>154</v>
      </c>
      <c r="C115" s="178" t="s">
        <v>159</v>
      </c>
      <c r="E115" s="184"/>
      <c r="G115" s="185">
        <f>+E115*(C15+E15*2+1.5)</f>
        <v>0</v>
      </c>
      <c r="H115" s="185">
        <f>+E115*(C15+E15*2)*(D15+E15+F15)</f>
        <v>0</v>
      </c>
      <c r="I115" s="186">
        <f>+(C15+E15*2)*E115*F15</f>
        <v>0</v>
      </c>
      <c r="J115" s="186">
        <f>+E115*((C15+E15*2)*E15+(D15*E15*2))</f>
        <v>0</v>
      </c>
      <c r="K115" s="186">
        <f>+(D15+$K$104*(D15+E15))*E115*2</f>
        <v>0</v>
      </c>
      <c r="L115" s="187">
        <f>+(E115)/H15+ IF(E115&gt;0,1,0)</f>
        <v>0</v>
      </c>
      <c r="M115" s="188">
        <f>+ROUNDUP(L115,0)</f>
        <v>0</v>
      </c>
      <c r="N115" s="189">
        <f>+(D15+E15-0.08)*2+(C15+E15*2-0.08)</f>
        <v>2.5100000000000002</v>
      </c>
      <c r="O115" s="187">
        <f>+N115/J15+1</f>
        <v>11.040000000000001</v>
      </c>
      <c r="P115" s="188">
        <f>+ROUNDUP(O115,0)</f>
        <v>12</v>
      </c>
      <c r="Q115" s="188">
        <f>+E115+E115/6*50*(G15/1000)</f>
        <v>0</v>
      </c>
      <c r="R115" s="190">
        <f>+N115*M115+P115*Q115</f>
        <v>0</v>
      </c>
      <c r="S115" s="186">
        <f>((I15*I15)/162)*R115</f>
        <v>0</v>
      </c>
      <c r="T115" s="154" t="s">
        <v>156</v>
      </c>
    </row>
    <row r="116" spans="2:21" hidden="1">
      <c r="C116" s="154" t="s">
        <v>101</v>
      </c>
      <c r="D116" s="191">
        <f>ROUNDUP(+E115/K15,0)</f>
        <v>0</v>
      </c>
      <c r="E116" s="184"/>
      <c r="G116" s="192"/>
      <c r="H116" s="192"/>
      <c r="I116" s="191"/>
      <c r="J116" s="191">
        <f>0.5*(0.075+0.05)*0.075*C15*D116</f>
        <v>0</v>
      </c>
      <c r="K116" s="191">
        <f>+(0.075+0.08)*C15*D116</f>
        <v>0</v>
      </c>
      <c r="L116" s="193">
        <f>+D116</f>
        <v>0</v>
      </c>
      <c r="M116" s="188">
        <f>+ROUNDUP(L116,0)</f>
        <v>0</v>
      </c>
      <c r="N116" s="194">
        <f>+(C15-0.08)+((0.075+0.05-0.04)*2)</f>
        <v>0.84000000000000008</v>
      </c>
      <c r="O116" s="193"/>
      <c r="P116" s="195"/>
      <c r="Q116" s="195"/>
      <c r="R116" s="190">
        <f>+N116*M116+P116*Q116</f>
        <v>0</v>
      </c>
      <c r="S116" s="186">
        <f>((I15*I15)/162)*R116</f>
        <v>0</v>
      </c>
      <c r="T116" s="154" t="s">
        <v>156</v>
      </c>
      <c r="U116" s="191">
        <f>S115+S116</f>
        <v>0</v>
      </c>
    </row>
    <row r="117" spans="2:21" hidden="1">
      <c r="B117" s="154" t="s">
        <v>154</v>
      </c>
      <c r="C117" s="178" t="s">
        <v>160</v>
      </c>
      <c r="E117" s="184"/>
      <c r="G117" s="196">
        <f>+E117*(C15+E15*2+1.5)</f>
        <v>0</v>
      </c>
      <c r="H117" s="196">
        <f>+E117*(C15+E15*2)*(D15+E15+F15)</f>
        <v>0</v>
      </c>
      <c r="I117" s="197">
        <f>+(C15+E15*2)*E117*F15</f>
        <v>0</v>
      </c>
      <c r="J117" s="197">
        <f>+E117*((C15+E15*2)*E15+(D15*E15*2))</f>
        <v>0</v>
      </c>
      <c r="K117" s="197">
        <f>+(D15+$K$104*(D15+E15))*E117*2</f>
        <v>0</v>
      </c>
      <c r="L117" s="187">
        <f>+(E117)/H15+ IF(E117&gt;0,1,0)</f>
        <v>0</v>
      </c>
      <c r="M117" s="198">
        <f>+ROUNDUP(L117,0)</f>
        <v>0</v>
      </c>
      <c r="N117" s="189">
        <f>+(D15+E15-0.08)*2+(C15+E15*2-0.08)</f>
        <v>2.5100000000000002</v>
      </c>
      <c r="O117" s="187">
        <f>+N117/J15+1</f>
        <v>11.040000000000001</v>
      </c>
      <c r="P117" s="198">
        <f>+ROUNDUP(O117,0)</f>
        <v>12</v>
      </c>
      <c r="Q117" s="188">
        <f>+E117+E117/6*50*(G15/1000)</f>
        <v>0</v>
      </c>
      <c r="R117" s="190">
        <f>+N117*M117+P117*Q117</f>
        <v>0</v>
      </c>
      <c r="S117" s="197">
        <f>((I15*I15)/162)*R117</f>
        <v>0</v>
      </c>
      <c r="T117" s="154" t="s">
        <v>156</v>
      </c>
    </row>
    <row r="118" spans="2:21" hidden="1">
      <c r="C118" s="154" t="s">
        <v>101</v>
      </c>
      <c r="D118" s="191">
        <f>ROUNDUP(+E117/K15,0)</f>
        <v>0</v>
      </c>
      <c r="E118" s="184"/>
      <c r="G118" s="199"/>
      <c r="H118" s="199"/>
      <c r="I118" s="200"/>
      <c r="J118" s="200">
        <f>0.5*(0.075+0.05)*0.075*C15*D118</f>
        <v>0</v>
      </c>
      <c r="K118" s="200">
        <f>+(0.075+0.08)*C15*D118</f>
        <v>0</v>
      </c>
      <c r="L118" s="193">
        <f>+D118</f>
        <v>0</v>
      </c>
      <c r="M118" s="198">
        <f>+ROUNDUP(L118,0)</f>
        <v>0</v>
      </c>
      <c r="N118" s="194">
        <f>+(C15-0.08)+((0.075+0.05-0.04)*2)</f>
        <v>0.84000000000000008</v>
      </c>
      <c r="O118" s="193"/>
      <c r="P118" s="201"/>
      <c r="Q118" s="195"/>
      <c r="R118" s="190">
        <f>+N118*M118+P118*Q118</f>
        <v>0</v>
      </c>
      <c r="S118" s="197">
        <f>((I15*I15)/162)*R118</f>
        <v>0</v>
      </c>
      <c r="T118" s="154" t="s">
        <v>156</v>
      </c>
    </row>
    <row r="119" spans="2:21" hidden="1"/>
    <row r="120" spans="2:21" hidden="1">
      <c r="B120" s="154" t="s">
        <v>154</v>
      </c>
      <c r="C120" s="178" t="s">
        <v>164</v>
      </c>
      <c r="E120" s="184"/>
      <c r="G120" s="196">
        <f>+E120*(C18+E18*2+1.5)</f>
        <v>0</v>
      </c>
      <c r="H120" s="196">
        <f>+E120*(C18+E18*2)*(D18+E18+F18)</f>
        <v>0</v>
      </c>
      <c r="I120" s="197">
        <f>+(C18+E18*2)*E120*F18</f>
        <v>0</v>
      </c>
      <c r="J120" s="197">
        <f>+E120*((C18+E18*2)*E18+(D18*E18*2))</f>
        <v>0</v>
      </c>
      <c r="K120" s="197">
        <f>+(D18+$K$104*(D18+E18))*E120*2</f>
        <v>0</v>
      </c>
      <c r="L120" s="187">
        <f>+(E120)/H18+ IF(E120&gt;0,1,0)</f>
        <v>0</v>
      </c>
      <c r="M120" s="198">
        <f>+ROUNDUP(L120,0)</f>
        <v>0</v>
      </c>
      <c r="N120" s="189">
        <f>+(D18+E18-0.08)*2+(C18+E18*2-0.08)</f>
        <v>3.06</v>
      </c>
      <c r="O120" s="187">
        <f>+N120/J18+1</f>
        <v>13.24</v>
      </c>
      <c r="P120" s="198">
        <f>+ROUNDUP(O120,0)</f>
        <v>14</v>
      </c>
      <c r="Q120" s="188">
        <f>+E120+E120/6*50*(G18/1000)</f>
        <v>0</v>
      </c>
      <c r="R120" s="190">
        <f>+N120*M120+P120*Q120</f>
        <v>0</v>
      </c>
      <c r="S120" s="197">
        <f>((I18*I18)/162)*R120</f>
        <v>0</v>
      </c>
      <c r="T120" s="154" t="s">
        <v>156</v>
      </c>
    </row>
    <row r="121" spans="2:21" hidden="1">
      <c r="C121" s="154" t="s">
        <v>101</v>
      </c>
      <c r="D121" s="191">
        <f>ROUNDUP(+E120/K18,0)</f>
        <v>0</v>
      </c>
      <c r="E121" s="184"/>
      <c r="G121" s="199"/>
      <c r="H121" s="199"/>
      <c r="I121" s="200"/>
      <c r="J121" s="200">
        <f>0.5*(0.075+0.05)*0.075*C18*D121</f>
        <v>0</v>
      </c>
      <c r="K121" s="200">
        <f>+(0.075+0.08)*C18*D121</f>
        <v>0</v>
      </c>
      <c r="L121" s="193">
        <f>+D121</f>
        <v>0</v>
      </c>
      <c r="M121" s="198">
        <f>+ROUNDUP(L121,0)</f>
        <v>0</v>
      </c>
      <c r="N121" s="194">
        <f>+(C18-0.08)+((0.075+0.05-0.04)*2)</f>
        <v>0.99</v>
      </c>
      <c r="O121" s="193"/>
      <c r="P121" s="201"/>
      <c r="Q121" s="195"/>
      <c r="R121" s="190">
        <f>+N121*M121+P121*Q121</f>
        <v>0</v>
      </c>
      <c r="S121" s="197">
        <f>((I18*I18)/162)*R121</f>
        <v>0</v>
      </c>
      <c r="T121" s="154" t="s">
        <v>156</v>
      </c>
    </row>
    <row r="122" spans="2:21" hidden="1"/>
    <row r="123" spans="2:21" hidden="1">
      <c r="B123" s="154" t="s">
        <v>154</v>
      </c>
      <c r="C123" s="178" t="s">
        <v>165</v>
      </c>
      <c r="E123" s="184"/>
      <c r="G123" s="185">
        <f>+E123*(C21+E21*2+3)</f>
        <v>0</v>
      </c>
      <c r="H123" s="185">
        <f>+E123*(C21+E21*2)*(D21+E21+F21)</f>
        <v>0</v>
      </c>
      <c r="I123" s="186">
        <f>+(C21+E21*2)*E123*F21</f>
        <v>0</v>
      </c>
      <c r="J123" s="186">
        <f>+E123*((C21+E21*2)*E21+(D21*E21*2))</f>
        <v>0</v>
      </c>
      <c r="K123" s="186">
        <f>+(D21+$K$104*(D21+E21))*E123*2</f>
        <v>0</v>
      </c>
      <c r="L123" s="187">
        <f>+(E123)/H21+ IF(E123&gt;0,1,0)</f>
        <v>0</v>
      </c>
      <c r="M123" s="188">
        <f>+ROUNDUP(L123,0)</f>
        <v>0</v>
      </c>
      <c r="N123" s="189">
        <f>+(D21+E21-0.08)*2+(C21+E21*2-0.08)</f>
        <v>3.3599999999999994</v>
      </c>
      <c r="O123" s="187">
        <f>+N123/J21+1</f>
        <v>14.439999999999998</v>
      </c>
      <c r="P123" s="188">
        <f>+ROUNDUP(O123,0)</f>
        <v>15</v>
      </c>
      <c r="Q123" s="188">
        <f>+E123+E123/6*50*(G21/1000)</f>
        <v>0</v>
      </c>
      <c r="R123" s="190">
        <f>+N123*M123+P123*Q123</f>
        <v>0</v>
      </c>
      <c r="S123" s="186">
        <f>((I21*I21)/162)*R123</f>
        <v>0</v>
      </c>
      <c r="T123" s="154" t="s">
        <v>156</v>
      </c>
    </row>
    <row r="124" spans="2:21" hidden="1">
      <c r="C124" s="154" t="s">
        <v>101</v>
      </c>
      <c r="D124" s="191">
        <f>ROUNDUP(+E123/K21,0)</f>
        <v>0</v>
      </c>
      <c r="E124" s="184"/>
      <c r="G124" s="192"/>
      <c r="H124" s="192"/>
      <c r="I124" s="191"/>
      <c r="J124" s="191">
        <f>0.5*(0.075+0.05)*0.075*C21*D124</f>
        <v>0</v>
      </c>
      <c r="K124" s="191">
        <f>+(0.075+0.08)*C21*D124</f>
        <v>0</v>
      </c>
      <c r="L124" s="193">
        <f>+D124</f>
        <v>0</v>
      </c>
      <c r="M124" s="188">
        <f>+ROUNDUP(L124,0)</f>
        <v>0</v>
      </c>
      <c r="N124" s="194">
        <f>+(C21-0.08)+((0.075+0.05-0.04)*2)</f>
        <v>1.0900000000000001</v>
      </c>
      <c r="O124" s="193"/>
      <c r="P124" s="195"/>
      <c r="Q124" s="195"/>
      <c r="R124" s="190">
        <f>+N124*M124+P124*Q124</f>
        <v>0</v>
      </c>
      <c r="S124" s="186">
        <f>((I21*I21)/162)*R124</f>
        <v>0</v>
      </c>
      <c r="T124" s="154" t="s">
        <v>156</v>
      </c>
    </row>
    <row r="125" spans="2:21" hidden="1"/>
    <row r="126" spans="2:21" hidden="1">
      <c r="B126" s="154" t="s">
        <v>154</v>
      </c>
      <c r="C126" s="178" t="s">
        <v>166</v>
      </c>
      <c r="E126" s="184"/>
      <c r="G126" s="196">
        <f>+E126*(C24+E24*2+1.5)</f>
        <v>0</v>
      </c>
      <c r="H126" s="196">
        <f>+E126*(C24+E24*2)*(((D24+E24+F24)*2+0.1)/2)</f>
        <v>0</v>
      </c>
      <c r="I126" s="197">
        <f>+(C24+E24*2)*E126*F24</f>
        <v>0</v>
      </c>
      <c r="J126" s="197">
        <f>+E126*((C24+E24*2)*E24+(D24*E24)+((D24+0.1)*E24))</f>
        <v>0</v>
      </c>
      <c r="K126" s="197">
        <f>+((D24*2)+$K$104*((D24+E24)+(D24+E24+0.1)))*E126</f>
        <v>0</v>
      </c>
      <c r="L126" s="187">
        <f>+(E126)/H24+ IF(E126&gt;0,1,0)</f>
        <v>0</v>
      </c>
      <c r="M126" s="198">
        <f>+ROUNDUP(L126,0)</f>
        <v>0</v>
      </c>
      <c r="N126" s="189">
        <f>+(D24+E24-0.08)+(D24+E24+0.1-0.08)+(C24+E24*2-0.08)</f>
        <v>1.1599999999999999</v>
      </c>
      <c r="O126" s="187">
        <f>+N126/J24+1</f>
        <v>5.64</v>
      </c>
      <c r="P126" s="198">
        <f>+ROUNDUP(O126,0)</f>
        <v>6</v>
      </c>
      <c r="Q126" s="188">
        <f>+E126+E126/6*50*(G24/1000)</f>
        <v>0</v>
      </c>
      <c r="R126" s="190">
        <f>+N126*M126+P126*Q126</f>
        <v>0</v>
      </c>
      <c r="S126" s="197">
        <f>((I24*I24)/162)*R126</f>
        <v>0</v>
      </c>
      <c r="T126" s="154" t="s">
        <v>156</v>
      </c>
    </row>
    <row r="127" spans="2:21" hidden="1">
      <c r="C127" s="154" t="s">
        <v>101</v>
      </c>
      <c r="D127" s="191">
        <f>ROUNDUP(+E126/K24,0)</f>
        <v>0</v>
      </c>
      <c r="E127" s="184"/>
      <c r="G127" s="199"/>
      <c r="H127" s="199"/>
      <c r="I127" s="200"/>
      <c r="J127" s="200">
        <f>0.5*(0.075+0.05)*0.075*C24*D127</f>
        <v>0</v>
      </c>
      <c r="K127" s="200">
        <f>+(0.075+0.08)*C24*D127</f>
        <v>0</v>
      </c>
      <c r="L127" s="193">
        <f>+D127</f>
        <v>0</v>
      </c>
      <c r="M127" s="198">
        <f>+ROUNDUP(L127,0)</f>
        <v>0</v>
      </c>
      <c r="N127" s="194">
        <f>+(C24-0.08)+((0.075+0.05-0.04)*2)</f>
        <v>0.38999999999999996</v>
      </c>
      <c r="O127" s="193"/>
      <c r="P127" s="201"/>
      <c r="Q127" s="195"/>
      <c r="R127" s="190">
        <f>+N127*M127+P127*Q127</f>
        <v>0</v>
      </c>
      <c r="S127" s="197">
        <f>((I24*I24)/162)*R127</f>
        <v>0</v>
      </c>
      <c r="T127" s="154" t="s">
        <v>156</v>
      </c>
    </row>
    <row r="128" spans="2:21" hidden="1"/>
    <row r="129" spans="2:20" hidden="1">
      <c r="B129" s="154" t="s">
        <v>154</v>
      </c>
      <c r="C129" s="178" t="s">
        <v>167</v>
      </c>
      <c r="E129" s="184"/>
      <c r="G129" s="185">
        <f>+E129*(C27+E27*2+1.5)</f>
        <v>0</v>
      </c>
      <c r="H129" s="185">
        <f>+E129*(C27+E27*2)*(((D27+E27+F27)*2+0.1)/2)</f>
        <v>0</v>
      </c>
      <c r="I129" s="186">
        <f>+(C27+E27*2)*E129*F27</f>
        <v>0</v>
      </c>
      <c r="J129" s="186">
        <f>+E129*((C27+E27*2)*E27+(D27*E27)+((D27+0.1)*E27))</f>
        <v>0</v>
      </c>
      <c r="K129" s="186">
        <f>+((D27*2)+$K$104*((D27+E27)+(D27+E27+0.1)))*E129</f>
        <v>0</v>
      </c>
      <c r="L129" s="187">
        <f>+(E129)/H27+ IF(E129&gt;0,1,0)</f>
        <v>0</v>
      </c>
      <c r="M129" s="188">
        <f>+ROUNDUP(L129,0)</f>
        <v>0</v>
      </c>
      <c r="N129" s="189">
        <f>+(D27+E27-0.08)+(D27+E27+0.1-0.08)+(C27+E27*2-0.08)</f>
        <v>2.06</v>
      </c>
      <c r="O129" s="187">
        <f>+N129/J27+1</f>
        <v>9.24</v>
      </c>
      <c r="P129" s="188">
        <f>+ROUNDUP(O129,0)</f>
        <v>10</v>
      </c>
      <c r="Q129" s="188">
        <f>+E129+E129/6*50*(G27/1000)</f>
        <v>0</v>
      </c>
      <c r="R129" s="190">
        <f>+N129*M129+P129*Q129</f>
        <v>0</v>
      </c>
      <c r="S129" s="186">
        <f>((I27*I27)/162)*R129</f>
        <v>0</v>
      </c>
      <c r="T129" s="154" t="s">
        <v>156</v>
      </c>
    </row>
    <row r="130" spans="2:20" hidden="1">
      <c r="C130" s="154" t="s">
        <v>101</v>
      </c>
      <c r="D130" s="191">
        <f>ROUNDUP(+E129/K27,0)</f>
        <v>0</v>
      </c>
      <c r="E130" s="184"/>
      <c r="G130" s="192"/>
      <c r="H130" s="192"/>
      <c r="I130" s="191"/>
      <c r="J130" s="191">
        <f>0.5*(0.075+0.05)*0.075*C27*D130</f>
        <v>0</v>
      </c>
      <c r="K130" s="191">
        <f>+(0.075+0.08)*C27*D130</f>
        <v>0</v>
      </c>
      <c r="L130" s="193">
        <f>+D130</f>
        <v>0</v>
      </c>
      <c r="M130" s="188">
        <f>+ROUNDUP(L130,0)</f>
        <v>0</v>
      </c>
      <c r="N130" s="194">
        <f>+(C27-0.08)+((0.075+0.05-0.04)*2)</f>
        <v>0.69</v>
      </c>
      <c r="O130" s="193"/>
      <c r="P130" s="195"/>
      <c r="Q130" s="195"/>
      <c r="R130" s="190">
        <f>+N130*M130+P130*Q130</f>
        <v>0</v>
      </c>
      <c r="S130" s="186">
        <f>((I27*I27)/162)*R130</f>
        <v>0</v>
      </c>
      <c r="T130" s="154" t="s">
        <v>156</v>
      </c>
    </row>
    <row r="131" spans="2:20" hidden="1"/>
    <row r="132" spans="2:20" hidden="1">
      <c r="B132" s="154" t="s">
        <v>154</v>
      </c>
      <c r="C132" s="178" t="s">
        <v>168</v>
      </c>
      <c r="E132" s="184"/>
      <c r="G132" s="185">
        <f>+E132*(C30+E30*2+0.5)</f>
        <v>0</v>
      </c>
      <c r="H132" s="185">
        <f>+E132*(C30+E30*2)*(((D30+E30+F30)*2+0.1)/2)</f>
        <v>0</v>
      </c>
      <c r="I132" s="186">
        <f>+(C30+E30*2)*E132*F30</f>
        <v>0</v>
      </c>
      <c r="J132" s="186">
        <f>+E132*((C30+E30*2)*E30+(D30*E30)+((D30+0.1)*E30))</f>
        <v>0</v>
      </c>
      <c r="K132" s="186">
        <f>+((D30*2)+$K$104*((D30+E30)+(D30+E30+0.1)))*E132</f>
        <v>0</v>
      </c>
      <c r="L132" s="187">
        <f>+(E132)/H30+ IF(E132&gt;0,1,0)</f>
        <v>0</v>
      </c>
      <c r="M132" s="188">
        <f>+ROUNDUP(L132,0)</f>
        <v>0</v>
      </c>
      <c r="N132" s="189">
        <f>+(D30+E30-0.08)+(D30+E30+0.1-0.08)+(C30+E30*2-0.08)</f>
        <v>1.1599999999999999</v>
      </c>
      <c r="O132" s="187">
        <f>+N132/J30+1</f>
        <v>5.64</v>
      </c>
      <c r="P132" s="188">
        <f>+ROUNDUP(O132,0)</f>
        <v>6</v>
      </c>
      <c r="Q132" s="188">
        <f>+E132+E132/6*50*(G30/1000)</f>
        <v>0</v>
      </c>
      <c r="R132" s="190">
        <f>+N132*M132+P132*Q132</f>
        <v>0</v>
      </c>
      <c r="S132" s="186">
        <f>((I30*I30)/162)*R132</f>
        <v>0</v>
      </c>
      <c r="T132" s="154" t="s">
        <v>156</v>
      </c>
    </row>
    <row r="133" spans="2:20" hidden="1">
      <c r="C133" s="154" t="s">
        <v>121</v>
      </c>
      <c r="D133" s="191"/>
      <c r="E133" s="184"/>
      <c r="G133" s="185">
        <f>+E133*(C31+0.5)</f>
        <v>0</v>
      </c>
      <c r="H133" s="192">
        <f>+E133*C31*E31</f>
        <v>0</v>
      </c>
      <c r="I133" s="191"/>
      <c r="J133" s="191">
        <f>+E133*C31*E31</f>
        <v>0</v>
      </c>
      <c r="K133" s="191">
        <f>+E133*E31</f>
        <v>0</v>
      </c>
      <c r="L133" s="187">
        <f>+(E133)/H31+ IF(E133&gt;0,1,0)</f>
        <v>0</v>
      </c>
      <c r="M133" s="188">
        <f>+ROUNDUP(L133,0)</f>
        <v>0</v>
      </c>
      <c r="N133" s="189">
        <f>+C31-0.04</f>
        <v>1.46</v>
      </c>
      <c r="O133" s="187">
        <f>+N133/J31+1</f>
        <v>10.733333333333334</v>
      </c>
      <c r="P133" s="188">
        <f>+ROUNDUP(O133,0)</f>
        <v>11</v>
      </c>
      <c r="Q133" s="188">
        <f>+E133+E133/6*50*(G31/1000)</f>
        <v>0</v>
      </c>
      <c r="R133" s="190">
        <f>+N133*M133+P133*Q133</f>
        <v>0</v>
      </c>
      <c r="S133" s="186">
        <f>((I31*I31)/162)*R133</f>
        <v>0</v>
      </c>
      <c r="T133" s="154" t="s">
        <v>156</v>
      </c>
    </row>
    <row r="134" spans="2:20" hidden="1">
      <c r="N134" s="189"/>
    </row>
    <row r="135" spans="2:20" hidden="1">
      <c r="B135" s="154" t="s">
        <v>154</v>
      </c>
      <c r="C135" s="178" t="s">
        <v>169</v>
      </c>
      <c r="E135" s="184"/>
      <c r="G135" s="196">
        <f>+E135*(C33+E33*2+0.5)</f>
        <v>0</v>
      </c>
      <c r="H135" s="196">
        <f>+E135*(C33+E33*2)*(((D33+E33+F33)*2+0.1)/2)</f>
        <v>0</v>
      </c>
      <c r="I135" s="197">
        <f>+(C33+E33*2)*E135*F33</f>
        <v>0</v>
      </c>
      <c r="J135" s="197">
        <f>+E135*((C33+E33*2)*E33+(D33*E33)+((D33+0.1)*E33))</f>
        <v>0</v>
      </c>
      <c r="K135" s="197">
        <f>+((D33*2)+$K$104*((D33+E33)+(D33+E33+0.1)))*E135</f>
        <v>0</v>
      </c>
      <c r="L135" s="187">
        <f>+(E135)/H33+ IF(E135&gt;0,1,0)</f>
        <v>0</v>
      </c>
      <c r="M135" s="198">
        <f>+ROUNDUP(L135,0)</f>
        <v>0</v>
      </c>
      <c r="N135" s="189">
        <f>+(D33+E33-0.08)+(D33+E33+0.1-0.08)+(C33+E33*2-0.08)</f>
        <v>1.61</v>
      </c>
      <c r="O135" s="187">
        <f>+N135/J33+1</f>
        <v>7.44</v>
      </c>
      <c r="P135" s="198">
        <f>+ROUNDUP(O135,0)</f>
        <v>8</v>
      </c>
      <c r="Q135" s="188">
        <f>+E135+E135/6*50*(G33/1000)</f>
        <v>0</v>
      </c>
      <c r="R135" s="190">
        <f>+N135*M135+P135*Q135</f>
        <v>0</v>
      </c>
      <c r="S135" s="197">
        <f>((I33*I33)/162)*R135</f>
        <v>0</v>
      </c>
      <c r="T135" s="154" t="s">
        <v>156</v>
      </c>
    </row>
    <row r="136" spans="2:20" hidden="1">
      <c r="C136" s="154" t="s">
        <v>121</v>
      </c>
      <c r="D136" s="191"/>
      <c r="E136" s="184"/>
      <c r="G136" s="196">
        <f>+E136*(C34+0.5)</f>
        <v>0</v>
      </c>
      <c r="H136" s="199">
        <f>+E136*C34*E34</f>
        <v>0</v>
      </c>
      <c r="I136" s="200"/>
      <c r="J136" s="200">
        <f>+E136*C34*E34</f>
        <v>0</v>
      </c>
      <c r="K136" s="200">
        <f>+E136*E34</f>
        <v>0</v>
      </c>
      <c r="L136" s="187">
        <f>+(E136)/H34+ IF(E136&gt;0,1,0)</f>
        <v>0</v>
      </c>
      <c r="M136" s="198">
        <f>+ROUNDUP(L136,0)</f>
        <v>0</v>
      </c>
      <c r="N136" s="189">
        <f>+C34-0.04</f>
        <v>1.46</v>
      </c>
      <c r="O136" s="187">
        <f>+N136/J34+1</f>
        <v>10.733333333333334</v>
      </c>
      <c r="P136" s="198">
        <f>+ROUNDUP(O136,0)</f>
        <v>11</v>
      </c>
      <c r="Q136" s="188">
        <f>+E136+E136/6*50*(G34/1000)</f>
        <v>0</v>
      </c>
      <c r="R136" s="190">
        <f>+N136*M136+P136*Q136</f>
        <v>0</v>
      </c>
      <c r="S136" s="197">
        <f>((I34*I34)/162)*R136</f>
        <v>0</v>
      </c>
      <c r="T136" s="154" t="s">
        <v>156</v>
      </c>
    </row>
    <row r="137" spans="2:20" hidden="1">
      <c r="N137" s="189"/>
    </row>
    <row r="138" spans="2:20" hidden="1">
      <c r="B138" s="154" t="s">
        <v>154</v>
      </c>
      <c r="C138" s="178" t="s">
        <v>170</v>
      </c>
      <c r="E138" s="184"/>
      <c r="G138" s="196">
        <f>+E138*(C36+E36*2+0.5)</f>
        <v>0</v>
      </c>
      <c r="H138" s="196">
        <f>+E138*(C36+E36*2)*(((D36+E36+F36)*2+0.1)/2)</f>
        <v>0</v>
      </c>
      <c r="I138" s="197">
        <f>+(C36+E36*2)*E138*F36</f>
        <v>0</v>
      </c>
      <c r="J138" s="197">
        <f>+E138*((C36+E36*2)*E36+(D36*E36)+((D36+0.1)*E36))</f>
        <v>0</v>
      </c>
      <c r="K138" s="197">
        <f>+((D36*2)+$K$104*((D36+E36)+(D36+E36+0.1)))*E138</f>
        <v>0</v>
      </c>
      <c r="L138" s="187">
        <f>+(E138)/H36+ IF(E138&gt;0,1,0)</f>
        <v>0</v>
      </c>
      <c r="M138" s="198">
        <f>+ROUNDUP(L138,0)</f>
        <v>0</v>
      </c>
      <c r="N138" s="189">
        <f>+(D36+E36-0.08)+(D36+E36+0.1-0.08)+(C36+E36*2-0.08)</f>
        <v>1.5599999999999998</v>
      </c>
      <c r="O138" s="187">
        <f>+N138/J36+1</f>
        <v>7.2399999999999993</v>
      </c>
      <c r="P138" s="198">
        <f>+ROUNDUP(O138,0)</f>
        <v>8</v>
      </c>
      <c r="Q138" s="188">
        <f>+E138+E138/6*50*(G36/1000)</f>
        <v>0</v>
      </c>
      <c r="R138" s="190">
        <f>+N138*M138+P138*Q138</f>
        <v>0</v>
      </c>
      <c r="S138" s="197">
        <f>((I36*I36)/162)*R138</f>
        <v>0</v>
      </c>
      <c r="T138" s="154" t="s">
        <v>156</v>
      </c>
    </row>
    <row r="139" spans="2:20" hidden="1">
      <c r="C139" s="154" t="s">
        <v>121</v>
      </c>
      <c r="D139" s="191"/>
      <c r="E139" s="184"/>
      <c r="G139" s="196">
        <f>+E139*(C37+0.5)</f>
        <v>0</v>
      </c>
      <c r="H139" s="199">
        <f>+E139*C37*E37</f>
        <v>0</v>
      </c>
      <c r="I139" s="200"/>
      <c r="J139" s="200">
        <f>+E139*C37*E37</f>
        <v>0</v>
      </c>
      <c r="K139" s="200">
        <f>+E139*E37</f>
        <v>0</v>
      </c>
      <c r="L139" s="187">
        <f>+(E139)/H37+ IF(E139&gt;0,1,0)</f>
        <v>0</v>
      </c>
      <c r="M139" s="198">
        <f>+ROUNDUP(L139,0)</f>
        <v>0</v>
      </c>
      <c r="N139" s="189">
        <f>+C37-0.04</f>
        <v>1.46</v>
      </c>
      <c r="O139" s="187">
        <f>+N139/J37+1</f>
        <v>10.733333333333334</v>
      </c>
      <c r="P139" s="198">
        <f>+ROUNDUP(O139,0)</f>
        <v>11</v>
      </c>
      <c r="Q139" s="188">
        <f>+E139+E139/6*50*(G37/1000)</f>
        <v>0</v>
      </c>
      <c r="R139" s="190">
        <f>+N139*M139+P139*Q139</f>
        <v>0</v>
      </c>
      <c r="S139" s="197">
        <f>((I37*I37)/162)*R139</f>
        <v>0</v>
      </c>
      <c r="T139" s="154" t="s">
        <v>156</v>
      </c>
    </row>
    <row r="140" spans="2:20" hidden="1">
      <c r="N140" s="189"/>
    </row>
    <row r="141" spans="2:20" hidden="1">
      <c r="B141" s="376" t="s">
        <v>154</v>
      </c>
      <c r="C141" s="377" t="s">
        <v>171</v>
      </c>
      <c r="E141" s="184"/>
      <c r="G141" s="185">
        <f>+E141*(C39+E39)</f>
        <v>0</v>
      </c>
      <c r="H141" s="185">
        <f>+E141*(C39+E39)*E39</f>
        <v>0</v>
      </c>
      <c r="I141" s="186">
        <f>+E141*(C39+E39)*F39</f>
        <v>0</v>
      </c>
      <c r="J141" s="186">
        <f>+E141*((C39+E39)*E39+(E39*D39))</f>
        <v>0</v>
      </c>
      <c r="K141" s="186">
        <f>+E141*(E39*2+D39*2)</f>
        <v>0</v>
      </c>
      <c r="L141" s="187">
        <f>+(E141)/H39+ IF(E141&gt;0,1,0)</f>
        <v>0</v>
      </c>
      <c r="M141" s="188">
        <f>+ROUNDUP(L141,0)</f>
        <v>0</v>
      </c>
      <c r="N141" s="189">
        <f>+(C39+E39-0.08)+(D39+E39-0.08)</f>
        <v>1.24</v>
      </c>
      <c r="O141" s="187">
        <f>+N141/J39+1</f>
        <v>5.96</v>
      </c>
      <c r="P141" s="188">
        <f>+ROUNDUP(O141,0)</f>
        <v>6</v>
      </c>
      <c r="Q141" s="188">
        <f>+E141+E141/6*50*(G39/1000)</f>
        <v>0</v>
      </c>
      <c r="R141" s="190">
        <f>+N141*M141+P141*Q141</f>
        <v>0</v>
      </c>
      <c r="S141" s="186">
        <f>((I39*I39)/162)*R141</f>
        <v>0</v>
      </c>
      <c r="T141" s="154" t="s">
        <v>156</v>
      </c>
    </row>
    <row r="142" spans="2:20" hidden="1">
      <c r="N142" s="189"/>
    </row>
    <row r="143" spans="2:20" hidden="1">
      <c r="B143" s="154" t="s">
        <v>154</v>
      </c>
      <c r="C143" s="178" t="s">
        <v>172</v>
      </c>
      <c r="E143" s="184"/>
      <c r="G143" s="196">
        <f>+E143*(C41+E41)</f>
        <v>0</v>
      </c>
      <c r="H143" s="196">
        <f>+E143*(C41+E41)*E41</f>
        <v>0</v>
      </c>
      <c r="I143" s="197">
        <f>+E143*(C41+E41)*F41</f>
        <v>0</v>
      </c>
      <c r="J143" s="197">
        <f>+E143*((C41+E41)*E41+(E41*D41))</f>
        <v>0</v>
      </c>
      <c r="K143" s="197">
        <f>+E143*(E41*2+D41*2)</f>
        <v>0</v>
      </c>
      <c r="L143" s="187">
        <f>+(E143)/H41+ IF(E143&gt;0,1,0)</f>
        <v>0</v>
      </c>
      <c r="M143" s="198">
        <f>+ROUNDUP(L143,0)</f>
        <v>0</v>
      </c>
      <c r="N143" s="189">
        <f>+(C41+E41-0.08)+(D41+E41-0.08)</f>
        <v>1.34</v>
      </c>
      <c r="O143" s="187">
        <f>+N143/J41+1</f>
        <v>6.36</v>
      </c>
      <c r="P143" s="198">
        <f>+ROUNDUP(O143,0)</f>
        <v>7</v>
      </c>
      <c r="Q143" s="188">
        <f>+E143+E143/6*50*(G41/1000)</f>
        <v>0</v>
      </c>
      <c r="R143" s="190">
        <f>+N143*M143+P143*Q143</f>
        <v>0</v>
      </c>
      <c r="S143" s="197">
        <f>((I41*I41)/162)*R143</f>
        <v>0</v>
      </c>
      <c r="T143" s="154" t="s">
        <v>156</v>
      </c>
    </row>
    <row r="144" spans="2:20" hidden="1">
      <c r="N144" s="189"/>
    </row>
    <row r="145" spans="2:20" hidden="1">
      <c r="B145" s="154" t="s">
        <v>154</v>
      </c>
      <c r="C145" s="178" t="s">
        <v>173</v>
      </c>
      <c r="E145" s="184"/>
      <c r="G145" s="196">
        <f>+E145*(C43+E43*2+1.5)</f>
        <v>0</v>
      </c>
      <c r="H145" s="196">
        <f>+E145*(C43+E43*2)*(((D43+E43+F43)*2+0.6)/2)</f>
        <v>0</v>
      </c>
      <c r="I145" s="197">
        <f>+(C43+E43*2)*E145*F43</f>
        <v>0</v>
      </c>
      <c r="J145" s="197">
        <f>+E145*((C43+E43*2)*E43+(D43*E43)+((D43+0.6)*E43))</f>
        <v>0</v>
      </c>
      <c r="K145" s="197">
        <f>+((D43*2)+$K$104*((D43+E43)+(D43+E43+0.6)))*E145</f>
        <v>0</v>
      </c>
      <c r="L145" s="187">
        <f>+(E145)/H43+ IF(E145&gt;0,1,0)</f>
        <v>0</v>
      </c>
      <c r="M145" s="198">
        <f>+ROUNDUP(L145,0)</f>
        <v>0</v>
      </c>
      <c r="N145" s="189">
        <f>+(E43+D43+E43+C43+2*E43+E43+D43+0.6+E43-9*0.04)+(E43+D43+2*E43-5*0.04)+(E43+0.6+D43+2*E43-5*0.04)+(C43+4*E43-6*0.04)</f>
        <v>6.2</v>
      </c>
      <c r="O145" s="187">
        <f>2*(D43/J43+1)+2*((D43+0.6)/J43+1)+((C43+2*E43)/J43+1)</f>
        <v>23</v>
      </c>
      <c r="P145" s="198">
        <f>+ROUNDUP(O145,0)</f>
        <v>23</v>
      </c>
      <c r="Q145" s="188">
        <f>+E145+E145/6*50*(G43/1000)</f>
        <v>0</v>
      </c>
      <c r="R145" s="190">
        <f>+N145*M145+P145*Q145</f>
        <v>0</v>
      </c>
      <c r="S145" s="197">
        <f>((I43*I43)/162)*R145</f>
        <v>0</v>
      </c>
      <c r="T145" s="154" t="s">
        <v>156</v>
      </c>
    </row>
    <row r="146" spans="2:20" hidden="1"/>
    <row r="147" spans="2:20" hidden="1">
      <c r="B147" s="154" t="s">
        <v>154</v>
      </c>
      <c r="C147" s="178" t="s">
        <v>174</v>
      </c>
      <c r="E147" s="184"/>
      <c r="G147" s="196">
        <f>+E147*(C45+E45*2+1.5)</f>
        <v>0</v>
      </c>
      <c r="H147" s="196">
        <f>+E147*(C45+E45*2)*(((D45+E45+F45)*2+0.6)/2)</f>
        <v>0</v>
      </c>
      <c r="I147" s="197">
        <f>+(C45+E45*2)*E147*F45</f>
        <v>0</v>
      </c>
      <c r="J147" s="197">
        <f>+E147*((C45+E45*2)*E45+(D45*E45)+((D45+0.6)*E45))</f>
        <v>0</v>
      </c>
      <c r="K147" s="197">
        <f>+((D45*2)+$K$104*((D45+E45)+(D45+E45+0.6)))*E147</f>
        <v>0</v>
      </c>
      <c r="L147" s="187">
        <f>+(E147)/H45+ IF(E147&gt;0,1,0)</f>
        <v>0</v>
      </c>
      <c r="M147" s="198">
        <f>+ROUNDUP(L147,0)</f>
        <v>0</v>
      </c>
      <c r="N147" s="189">
        <f>+(E45+D45+E45+C45+2*E45+E45+D45+0.6+E45-9*0.04)+(E45+D45+2*E45-5*0.04)+(E45+0.6+D45+2*E45-5*0.04)+(C45+4*E45-6*0.04)</f>
        <v>7.4000000000000012</v>
      </c>
      <c r="O147" s="187">
        <f>2*(D45/J45+1)+2*((D45+0.6)/J45+1)+((C45+2*E45)/J45+1)</f>
        <v>27</v>
      </c>
      <c r="P147" s="198">
        <f>+ROUNDUP(O147,0)</f>
        <v>27</v>
      </c>
      <c r="Q147" s="188">
        <f>+E147+E147/6*50*(G45/1000)</f>
        <v>0</v>
      </c>
      <c r="R147" s="190">
        <f>+N147*M147+P147*Q147</f>
        <v>0</v>
      </c>
      <c r="S147" s="197">
        <f>((I45*I45)/162)*R147</f>
        <v>0</v>
      </c>
      <c r="T147" s="154" t="s">
        <v>156</v>
      </c>
    </row>
    <row r="148" spans="2:20" hidden="1"/>
    <row r="149" spans="2:20" hidden="1">
      <c r="B149" s="154" t="s">
        <v>154</v>
      </c>
      <c r="C149" s="178" t="s">
        <v>175</v>
      </c>
      <c r="E149" s="184"/>
      <c r="G149" s="196">
        <f>+E149*(C47+E47*2+1.5)</f>
        <v>0</v>
      </c>
      <c r="H149" s="196">
        <f>+E149*(C47+E47*2)*(D47+F47+F47)</f>
        <v>0</v>
      </c>
      <c r="I149" s="197">
        <f>+(C47+E47*2)*E149*F47</f>
        <v>0</v>
      </c>
      <c r="J149" s="197">
        <f>+E149*((C47+E47*2)*E47+(D47*E47*2))</f>
        <v>0</v>
      </c>
      <c r="K149" s="197">
        <f>+(D47+$K$104*(D47+E47))*E149*2</f>
        <v>0</v>
      </c>
      <c r="L149" s="187">
        <f>+(E149)/H47+ IF(E149&gt;0,1,0)</f>
        <v>0</v>
      </c>
      <c r="M149" s="198">
        <f>+ROUNDUP(L149,0)</f>
        <v>0</v>
      </c>
      <c r="N149" s="189">
        <f>+(D47+E47-0.08)*2+(C47+E47*2-0.08)</f>
        <v>2.36</v>
      </c>
      <c r="O149" s="187">
        <f>+N149/J47+1</f>
        <v>10.44</v>
      </c>
      <c r="P149" s="198">
        <f>+ROUNDUP(O149,0)</f>
        <v>11</v>
      </c>
      <c r="Q149" s="188">
        <f>+E149+E149/6*50*(G47/1000)</f>
        <v>0</v>
      </c>
      <c r="R149" s="190">
        <f>+N149*M149+P149*Q149</f>
        <v>0</v>
      </c>
      <c r="S149" s="197">
        <f>((I47*I47)/162)*R149</f>
        <v>0</v>
      </c>
      <c r="T149" s="154" t="s">
        <v>156</v>
      </c>
    </row>
    <row r="150" spans="2:20" hidden="1">
      <c r="C150" s="154" t="s">
        <v>101</v>
      </c>
      <c r="D150" s="191">
        <f>ROUNDUP(+E149/K47,0)</f>
        <v>0</v>
      </c>
      <c r="E150" s="184"/>
      <c r="G150" s="199"/>
      <c r="H150" s="199"/>
      <c r="I150" s="200"/>
      <c r="J150" s="200">
        <f>0.5*(0.075+0.05)*0.075*C47*D150</f>
        <v>0</v>
      </c>
      <c r="K150" s="200">
        <f>+(0.075+0.08)*C47*D150</f>
        <v>0</v>
      </c>
      <c r="L150" s="193">
        <f>+D150</f>
        <v>0</v>
      </c>
      <c r="M150" s="198">
        <f>+ROUNDUP(L150,0)</f>
        <v>0</v>
      </c>
      <c r="N150" s="194">
        <f>+(C47-0.08)+((0.075+0.05-2*0.04)*2)</f>
        <v>1.01</v>
      </c>
      <c r="O150" s="193"/>
      <c r="P150" s="201"/>
      <c r="Q150" s="195"/>
      <c r="R150" s="190">
        <f>+N150*M150+P150*Q150</f>
        <v>0</v>
      </c>
      <c r="S150" s="197">
        <f>((I47*I47)/162)*R150</f>
        <v>0</v>
      </c>
      <c r="T150" s="154" t="s">
        <v>156</v>
      </c>
    </row>
    <row r="151" spans="2:20" hidden="1">
      <c r="E151" s="184"/>
      <c r="M151" s="204"/>
    </row>
    <row r="152" spans="2:20" hidden="1">
      <c r="B152" s="154" t="s">
        <v>154</v>
      </c>
      <c r="C152" s="178" t="s">
        <v>176</v>
      </c>
      <c r="E152" s="184"/>
      <c r="G152" s="196">
        <f>+E152*(C50+E50*2+1.5)</f>
        <v>0</v>
      </c>
      <c r="H152" s="196">
        <f>+E152*(C50+E50*2)*(D50+F50+F50)</f>
        <v>0</v>
      </c>
      <c r="I152" s="197">
        <f>+(C50+E50*2)*E152*F50</f>
        <v>0</v>
      </c>
      <c r="J152" s="197">
        <f>+E152*((C50+E50*2)*E50+(D50*E50*2))</f>
        <v>0</v>
      </c>
      <c r="K152" s="197">
        <f>+(D50+$K$104*(D50+E50))*E152*2</f>
        <v>0</v>
      </c>
      <c r="L152" s="187">
        <f>+(E152)/H50+ IF(E152&gt;0,1,0)</f>
        <v>0</v>
      </c>
      <c r="M152" s="198">
        <f>+ROUNDUP(L152,0)</f>
        <v>0</v>
      </c>
      <c r="N152" s="189">
        <f>+(D50+E50-0.08)*2+(C50+E50*2-0.08)</f>
        <v>2.8600000000000003</v>
      </c>
      <c r="O152" s="187">
        <f>+N152/J50+1</f>
        <v>12.440000000000001</v>
      </c>
      <c r="P152" s="198">
        <f>+ROUNDUP(O152,0)</f>
        <v>13</v>
      </c>
      <c r="Q152" s="188">
        <f>+E152+E152/6*50*(G50/1000)</f>
        <v>0</v>
      </c>
      <c r="R152" s="190">
        <f>+N152*M152+P152*Q152</f>
        <v>0</v>
      </c>
      <c r="S152" s="197">
        <f>((I50*I50)/162)*R152</f>
        <v>0</v>
      </c>
      <c r="T152" s="154" t="s">
        <v>156</v>
      </c>
    </row>
    <row r="153" spans="2:20" hidden="1">
      <c r="C153" s="154" t="s">
        <v>101</v>
      </c>
      <c r="D153" s="191">
        <f>ROUNDUP(+E152/K50,0)</f>
        <v>0</v>
      </c>
      <c r="E153" s="184"/>
      <c r="G153" s="199"/>
      <c r="H153" s="199"/>
      <c r="I153" s="200"/>
      <c r="J153" s="200">
        <f>0.5*(0.075+0.05)*0.075*C50*D153</f>
        <v>0</v>
      </c>
      <c r="K153" s="200">
        <f>+(0.075+0.08)*C50*D153</f>
        <v>0</v>
      </c>
      <c r="L153" s="193">
        <f>+D153</f>
        <v>0</v>
      </c>
      <c r="M153" s="198">
        <f>+ROUNDUP(L153,0)</f>
        <v>0</v>
      </c>
      <c r="N153" s="194">
        <f>+(C50-0.08)+((0.075+0.05-2*0.04)*2)</f>
        <v>1.01</v>
      </c>
      <c r="O153" s="193"/>
      <c r="P153" s="201"/>
      <c r="Q153" s="195"/>
      <c r="R153" s="190">
        <f>+N153*M153+P153*Q153</f>
        <v>0</v>
      </c>
      <c r="S153" s="197">
        <f>((I50*I50)/162)*R153</f>
        <v>0</v>
      </c>
      <c r="T153" s="154" t="s">
        <v>156</v>
      </c>
    </row>
    <row r="154" spans="2:20" hidden="1"/>
    <row r="155" spans="2:20" hidden="1">
      <c r="B155" s="154" t="s">
        <v>154</v>
      </c>
      <c r="C155" s="178" t="s">
        <v>177</v>
      </c>
      <c r="E155" s="184"/>
      <c r="G155" s="196">
        <f>+E155*(C53+E53*2+1.5)</f>
        <v>0</v>
      </c>
      <c r="H155" s="196">
        <f>+E155*(C53+E53*2)*(D53+F53+F53)</f>
        <v>0</v>
      </c>
      <c r="I155" s="197">
        <f>+(C53+E53*2)*E155*F53</f>
        <v>0</v>
      </c>
      <c r="J155" s="197">
        <f>+E155*((C53+E53*2)*E53+(D53*E53*2))</f>
        <v>0</v>
      </c>
      <c r="K155" s="197">
        <f>+(D53+$K$104*(D53+E53))*E155*2</f>
        <v>0</v>
      </c>
      <c r="L155" s="187">
        <f>+(E155)/H53+ IF(E155&gt;0,1,0)</f>
        <v>0</v>
      </c>
      <c r="M155" s="198">
        <f>+ROUNDUP(L155,0)</f>
        <v>0</v>
      </c>
      <c r="N155" s="189">
        <f>+(E53+D53+E53+C53+2*E53+D53+2*E53-0.04*10)+(E53+D53+2*E53-5*0.04)*2+(C53+4*E53-6*0.04)</f>
        <v>6.96</v>
      </c>
      <c r="O155" s="187">
        <f>(2*(D53+E53)+(C53+2*E53)-6*0.04)/J53*2</f>
        <v>26.08</v>
      </c>
      <c r="P155" s="198">
        <f>+ROUNDUP(O155,0)</f>
        <v>27</v>
      </c>
      <c r="Q155" s="188">
        <f>+E155+E155/6*50*(G53/1000)</f>
        <v>0</v>
      </c>
      <c r="R155" s="190">
        <f>+N155*M155+P155*Q155</f>
        <v>0</v>
      </c>
      <c r="S155" s="197">
        <f>((I53*I53)/162)*R155</f>
        <v>0</v>
      </c>
      <c r="T155" s="154" t="s">
        <v>156</v>
      </c>
    </row>
    <row r="156" spans="2:20" hidden="1">
      <c r="C156" s="154" t="s">
        <v>101</v>
      </c>
      <c r="D156" s="191">
        <f>ROUNDUP(+E155/K53,0)</f>
        <v>0</v>
      </c>
      <c r="E156" s="184"/>
      <c r="G156" s="199"/>
      <c r="H156" s="199"/>
      <c r="I156" s="200"/>
      <c r="J156" s="200">
        <f>0.5*(0.075+0.05)*0.075*C53*D156</f>
        <v>0</v>
      </c>
      <c r="K156" s="200">
        <f>+(0.075+0.08)*C53*D156</f>
        <v>0</v>
      </c>
      <c r="L156" s="193">
        <f>+D156</f>
        <v>0</v>
      </c>
      <c r="M156" s="198">
        <f>+ROUNDUP(L156,0)</f>
        <v>0</v>
      </c>
      <c r="N156" s="194">
        <f>+(C53-0.08)+((0.075+0.05-2*0.04)*2)</f>
        <v>1.01</v>
      </c>
      <c r="O156" s="193"/>
      <c r="P156" s="201"/>
      <c r="Q156" s="195"/>
      <c r="R156" s="190">
        <f>+N156*M156+P156*Q156</f>
        <v>0</v>
      </c>
      <c r="S156" s="197">
        <f>((I53*I53)/162)*R156</f>
        <v>0</v>
      </c>
      <c r="T156" s="154" t="s">
        <v>156</v>
      </c>
    </row>
    <row r="157" spans="2:20" hidden="1"/>
    <row r="158" spans="2:20" hidden="1">
      <c r="B158" s="154" t="s">
        <v>154</v>
      </c>
      <c r="C158" s="178" t="s">
        <v>178</v>
      </c>
      <c r="E158" s="184"/>
      <c r="G158" s="196">
        <f>+E158*(C56+E56*2+1.5)</f>
        <v>0</v>
      </c>
      <c r="H158" s="196">
        <f>+E158*(C56+E56*2)*(D56+F56+F56)</f>
        <v>0</v>
      </c>
      <c r="I158" s="197">
        <f>+(C56+E56*2)*E158*F56</f>
        <v>0</v>
      </c>
      <c r="J158" s="197">
        <f>+E158*((C56+E56*2)*E56+(D56*E56*2))</f>
        <v>0</v>
      </c>
      <c r="K158" s="197">
        <f>+(D56+$K$104*(D56+E56))*E158*2</f>
        <v>0</v>
      </c>
      <c r="L158" s="187">
        <f>+(E158)/H56+ IF(E158&gt;0,1,0)</f>
        <v>0</v>
      </c>
      <c r="M158" s="198">
        <f>+ROUNDUP(L158,0)</f>
        <v>0</v>
      </c>
      <c r="N158" s="189">
        <f>+(E56+D56+E56+C56+2*E56+D56+2*E56-0.04*10)+(E56+D56+2*E56-5*0.04)*2+(C56+4*E56-6*0.04)</f>
        <v>6.96</v>
      </c>
      <c r="O158" s="187">
        <f>(2*(D56+E56)+(C56+2*E56)-6*0.04)/J56*2</f>
        <v>26.08</v>
      </c>
      <c r="P158" s="198">
        <f>+ROUNDUP(O158,0)</f>
        <v>27</v>
      </c>
      <c r="Q158" s="188">
        <f>+E158+E158/6*50*(G56/1000)</f>
        <v>0</v>
      </c>
      <c r="R158" s="190">
        <f>+N158*M158+P158*Q158</f>
        <v>0</v>
      </c>
      <c r="S158" s="197">
        <f>((I56*I56)/162)*R158</f>
        <v>0</v>
      </c>
      <c r="T158" s="154" t="s">
        <v>156</v>
      </c>
    </row>
    <row r="159" spans="2:20" hidden="1">
      <c r="C159" s="154" t="s">
        <v>101</v>
      </c>
      <c r="D159" s="191">
        <f>ROUNDUP(+E158/K56,0)</f>
        <v>0</v>
      </c>
      <c r="E159" s="184"/>
      <c r="G159" s="199"/>
      <c r="H159" s="199"/>
      <c r="I159" s="200"/>
      <c r="J159" s="200">
        <f>0.5*(0.075+0.05)*0.075*C56*D159</f>
        <v>0</v>
      </c>
      <c r="K159" s="200">
        <f>+(0.075+0.08)*C56*D159</f>
        <v>0</v>
      </c>
      <c r="L159" s="193">
        <f>+D159</f>
        <v>0</v>
      </c>
      <c r="M159" s="198">
        <f>+ROUNDUP(L159,0)</f>
        <v>0</v>
      </c>
      <c r="N159" s="194">
        <f>+(C56-0.08)+((0.075+0.05-2*0.04)*2)</f>
        <v>1.01</v>
      </c>
      <c r="O159" s="193"/>
      <c r="P159" s="201"/>
      <c r="Q159" s="195"/>
      <c r="R159" s="190">
        <f>+N159*M159+P159*Q159</f>
        <v>0</v>
      </c>
      <c r="S159" s="197">
        <f>((I56*I56)/162)*R159</f>
        <v>0</v>
      </c>
      <c r="T159" s="154" t="s">
        <v>156</v>
      </c>
    </row>
    <row r="160" spans="2:20" hidden="1"/>
    <row r="161" spans="2:20">
      <c r="B161" s="205" t="s">
        <v>179</v>
      </c>
      <c r="C161" s="178" t="s">
        <v>180</v>
      </c>
      <c r="E161" s="184">
        <v>5.18</v>
      </c>
      <c r="G161" s="196">
        <f>+E161*(C59+E59*2+1)</f>
        <v>8.5469999999999988</v>
      </c>
      <c r="H161" s="196">
        <f>(+E161*(C59+E59*2)*(D59+F59+F59))*50%</f>
        <v>0.92592500000000011</v>
      </c>
      <c r="I161" s="197">
        <f>+(C59+E59*2)*E161*F59</f>
        <v>0.16835</v>
      </c>
      <c r="J161" s="197">
        <f>+E161*((C59+E59*2+0.06)*E59+(D59*E59*2))</f>
        <v>0.83397999999999994</v>
      </c>
      <c r="K161" s="197">
        <f>+(D59+(D59+E59))*E161*2</f>
        <v>10.36</v>
      </c>
      <c r="L161" s="187">
        <f>+(E161)/H59+ IF(E161&gt;0,1,0)</f>
        <v>21.72</v>
      </c>
      <c r="M161" s="198">
        <f>+ROUNDUP(L161,0)</f>
        <v>22</v>
      </c>
      <c r="N161" s="189">
        <f>+(D59+E59-0.08)*2+(C59+E59*2-0.08)</f>
        <v>1.5100000000000002</v>
      </c>
      <c r="O161" s="187">
        <f>+N161/J59+1</f>
        <v>7.0400000000000009</v>
      </c>
      <c r="P161" s="198">
        <f>+ROUNDUP(O161,0)</f>
        <v>8</v>
      </c>
      <c r="Q161" s="188">
        <f>+E161+E161/6*50*(G59/1000)</f>
        <v>5.6116666666666664</v>
      </c>
      <c r="R161" s="190">
        <f>+N161*M161+P161*Q161</f>
        <v>78.113333333333344</v>
      </c>
      <c r="S161" s="197">
        <f>((I59*I59)/162)*R161</f>
        <v>48.218106995884774</v>
      </c>
      <c r="T161" s="154" t="s">
        <v>156</v>
      </c>
    </row>
    <row r="162" spans="2:20">
      <c r="C162" s="154" t="s">
        <v>181</v>
      </c>
      <c r="D162" s="191">
        <f>ROUNDUP(+(E161/SQRT(L59^2+M59^2)),0)</f>
        <v>14</v>
      </c>
      <c r="E162" s="184"/>
      <c r="G162" s="199"/>
      <c r="H162" s="199"/>
      <c r="I162" s="200"/>
      <c r="J162" s="200">
        <f>0.5*(0.075+0.05)*0.075*C59*D162</f>
        <v>2.9531250000000002E-2</v>
      </c>
      <c r="K162" s="200">
        <f>+M59*C59*D162</f>
        <v>1.7325000000000002</v>
      </c>
      <c r="L162" s="193"/>
      <c r="M162" s="198">
        <f>+ROUNDUP(L162,0)</f>
        <v>0</v>
      </c>
      <c r="N162" s="194"/>
      <c r="O162" s="193"/>
      <c r="P162" s="201"/>
      <c r="Q162" s="195"/>
      <c r="R162" s="190">
        <f>+N162*M162+P162*Q162</f>
        <v>0</v>
      </c>
      <c r="S162" s="197">
        <f>((I59*I59)/162)*R162</f>
        <v>0</v>
      </c>
    </row>
    <row r="163" spans="2:20">
      <c r="C163" s="154" t="s">
        <v>182</v>
      </c>
      <c r="D163" s="154">
        <f>ROUNDUP(+E161/1,0)</f>
        <v>6</v>
      </c>
    </row>
    <row r="165" spans="2:20" hidden="1">
      <c r="B165" s="205" t="s">
        <v>179</v>
      </c>
      <c r="C165" s="178" t="s">
        <v>183</v>
      </c>
      <c r="E165" s="184">
        <f>(57.1+9.59+17.56)*1.0785</f>
        <v>90.863624999999999</v>
      </c>
      <c r="G165" s="185">
        <f>+E165*(C63+E63*2+1)</f>
        <v>149.92498125</v>
      </c>
      <c r="H165" s="185">
        <f>(+E165*(C63+E63*2)*(D63+F63+F63))*50%</f>
        <v>20.671474687500002</v>
      </c>
      <c r="I165" s="186">
        <f>+(C63+E63*2)*E165*F63</f>
        <v>2.9530678125000005</v>
      </c>
      <c r="J165" s="186">
        <f>+E165*((C63+E63*2+0.06)*E63+(D63*E63*2))</f>
        <v>17.354952375</v>
      </c>
      <c r="K165" s="186">
        <f>+(D63+(D63+E63))*E165*2</f>
        <v>236.24542499999995</v>
      </c>
      <c r="L165" s="187">
        <f>+(E165)/H63+ IF(E165&gt;0,1,0)</f>
        <v>364.4545</v>
      </c>
      <c r="M165" s="188">
        <f>+ROUNDUP(L165,0)</f>
        <v>365</v>
      </c>
      <c r="N165" s="189">
        <f>+(D63+E63-0.08)*2+(C63+E63*2-0.08)</f>
        <v>1.81</v>
      </c>
      <c r="O165" s="187">
        <f>+N165/J63+1</f>
        <v>8.24</v>
      </c>
      <c r="P165" s="188">
        <f>+ROUNDUP(O165,0)</f>
        <v>9</v>
      </c>
      <c r="Q165" s="188">
        <f>+E165+E165/6*50*(G63/1000)</f>
        <v>98.435593749999995</v>
      </c>
      <c r="R165" s="190">
        <f>+N165*M165+P165*Q165</f>
        <v>1546.5703437499999</v>
      </c>
      <c r="S165" s="186">
        <f>((I63*I63)/162)*R165</f>
        <v>954.6730516975307</v>
      </c>
      <c r="T165" s="154" t="s">
        <v>156</v>
      </c>
    </row>
    <row r="166" spans="2:20" hidden="1">
      <c r="C166" s="154" t="s">
        <v>181</v>
      </c>
      <c r="D166" s="191">
        <f>ROUNDUP(+(E165/SQRT(L63^2+M63^2)),0)</f>
        <v>234</v>
      </c>
      <c r="E166" s="184"/>
      <c r="G166" s="192"/>
      <c r="H166" s="192"/>
      <c r="I166" s="191"/>
      <c r="J166" s="191">
        <f>0.5*(0.075+0.05)*0.075*C63*D166</f>
        <v>0.49359375000000005</v>
      </c>
      <c r="K166" s="191">
        <f>+M63*C63*D166</f>
        <v>28.957500000000003</v>
      </c>
      <c r="L166" s="193"/>
      <c r="M166" s="188">
        <f>+ROUNDUP(L166,0)</f>
        <v>0</v>
      </c>
      <c r="N166" s="194"/>
      <c r="O166" s="193"/>
      <c r="P166" s="195"/>
      <c r="Q166" s="195"/>
      <c r="R166" s="190">
        <f>+N166*M166+P166*Q166</f>
        <v>0</v>
      </c>
      <c r="S166" s="186">
        <f>((I63*I63)/162)*R166</f>
        <v>0</v>
      </c>
    </row>
    <row r="167" spans="2:20" hidden="1">
      <c r="C167" s="154" t="s">
        <v>182</v>
      </c>
      <c r="D167" s="154">
        <f>ROUNDUP(+E165/1,0)</f>
        <v>91</v>
      </c>
    </row>
    <row r="168" spans="2:20" hidden="1">
      <c r="K168" s="186"/>
    </row>
    <row r="169" spans="2:20" hidden="1">
      <c r="B169" s="205" t="s">
        <v>179</v>
      </c>
      <c r="C169" s="178" t="s">
        <v>184</v>
      </c>
      <c r="E169" s="184">
        <v>47.63</v>
      </c>
      <c r="G169" s="185">
        <f>+E169*(C67+E67*2+1)</f>
        <v>85.734000000000009</v>
      </c>
      <c r="H169" s="185">
        <f>(+E169*(C67+E67*2)*(D67+F67+F67))*50%</f>
        <v>13.336400000000003</v>
      </c>
      <c r="I169" s="186">
        <f>+(C67+E67*2)*E169*F67</f>
        <v>1.9052000000000004</v>
      </c>
      <c r="J169" s="186">
        <f>+E169*((C67+E67*2+0.06)*E67+(D67*E67*2))</f>
        <v>9.8117800000000006</v>
      </c>
      <c r="K169" s="186">
        <f>+(D67+(D67+E67))*E169*2</f>
        <v>123.83799999999999</v>
      </c>
      <c r="L169" s="187">
        <f>+(E169)/H67+ IF(E169&gt;0,1,0)</f>
        <v>191.52</v>
      </c>
      <c r="M169" s="188">
        <f>+ROUNDUP(L169,0)</f>
        <v>192</v>
      </c>
      <c r="N169" s="189">
        <f>+(D67+E67-0.08)*2+(C67+E67*2-0.08)</f>
        <v>1.96</v>
      </c>
      <c r="O169" s="187">
        <f>+N169/J67+1</f>
        <v>8.84</v>
      </c>
      <c r="P169" s="188">
        <f>+ROUNDUP(O169,0)</f>
        <v>9</v>
      </c>
      <c r="Q169" s="188">
        <f>+E169+E169/6*50*(G67/1000)</f>
        <v>51.599166666666669</v>
      </c>
      <c r="R169" s="190">
        <f>+N169*M169+P169*Q169</f>
        <v>840.71250000000009</v>
      </c>
      <c r="S169" s="186">
        <f>((I67*I67)/162)*R169</f>
        <v>518.95833333333337</v>
      </c>
      <c r="T169" s="154" t="s">
        <v>156</v>
      </c>
    </row>
    <row r="170" spans="2:20" hidden="1">
      <c r="C170" s="154" t="s">
        <v>181</v>
      </c>
      <c r="D170" s="191">
        <f>ROUNDUP(+(E169/SQRT(L67^2+M67^2)),0)</f>
        <v>123</v>
      </c>
      <c r="E170" s="184"/>
      <c r="G170" s="192"/>
      <c r="H170" s="192"/>
      <c r="I170" s="191"/>
      <c r="J170" s="191">
        <f>0.5*(0.075+0.05)*0.075*C67*D170</f>
        <v>0.34593750000000001</v>
      </c>
      <c r="K170" s="191">
        <f>+M67*C67*D170</f>
        <v>20.295000000000002</v>
      </c>
      <c r="L170" s="193"/>
      <c r="M170" s="188">
        <f>+ROUNDUP(L170,0)</f>
        <v>0</v>
      </c>
      <c r="N170" s="194"/>
      <c r="O170" s="193"/>
      <c r="P170" s="195"/>
      <c r="Q170" s="195"/>
      <c r="R170" s="190">
        <f>+N170*M170+P170*Q170</f>
        <v>0</v>
      </c>
      <c r="S170" s="186">
        <f>((I67*I67)/162)*R170</f>
        <v>0</v>
      </c>
    </row>
    <row r="171" spans="2:20" hidden="1">
      <c r="C171" s="154" t="s">
        <v>182</v>
      </c>
      <c r="D171" s="154">
        <f>ROUNDUP(+E169/1,0)</f>
        <v>48</v>
      </c>
    </row>
    <row r="172" spans="2:20" hidden="1"/>
    <row r="173" spans="2:20" hidden="1">
      <c r="B173" s="205" t="s">
        <v>179</v>
      </c>
      <c r="C173" s="178" t="s">
        <v>185</v>
      </c>
      <c r="E173" s="184">
        <v>8.6</v>
      </c>
      <c r="G173" s="196">
        <f>+E173*(C71+E71*2+1)</f>
        <v>17.2</v>
      </c>
      <c r="H173" s="196">
        <f>(+E173*(C71+E71*2)*(D71+F71+F71))*50%</f>
        <v>3.8700000000000006</v>
      </c>
      <c r="I173" s="197">
        <f>+(C71+E71*2)*E173*F71</f>
        <v>0.43</v>
      </c>
      <c r="J173" s="197">
        <f>+E173*((C71+E71*2+0.06)*E71+(D71*E71*2))</f>
        <v>2.2875999999999999</v>
      </c>
      <c r="K173" s="197">
        <f>+(D71+(D71+E71))*E173*2</f>
        <v>29.240000000000002</v>
      </c>
      <c r="L173" s="187">
        <f>+(E173)/H71+ IF(E173&gt;0,1,0)</f>
        <v>35.4</v>
      </c>
      <c r="M173" s="198">
        <f>+ROUNDUP(L173,0)</f>
        <v>36</v>
      </c>
      <c r="N173" s="189">
        <f>+(D71+E71-0.08)*2+(C71+E71*2-0.08)</f>
        <v>2.56</v>
      </c>
      <c r="O173" s="187">
        <f>+N173/J71+1</f>
        <v>11.24</v>
      </c>
      <c r="P173" s="198">
        <f>+ROUNDUP(O173,0)</f>
        <v>12</v>
      </c>
      <c r="Q173" s="188">
        <f>+E173+E173/6*50*(G71/1000)</f>
        <v>9.3166666666666664</v>
      </c>
      <c r="R173" s="190">
        <f>+N173*M173+P173*Q173</f>
        <v>203.95999999999998</v>
      </c>
      <c r="S173" s="197">
        <f>((I71*I71)/162)*R173</f>
        <v>125.90123456790121</v>
      </c>
      <c r="T173" s="154" t="s">
        <v>156</v>
      </c>
    </row>
    <row r="174" spans="2:20" hidden="1">
      <c r="C174" s="154" t="s">
        <v>181</v>
      </c>
      <c r="D174" s="191">
        <f>ROUNDUP(+(E173/SQRT(L71^2+M71^2)),0)</f>
        <v>23</v>
      </c>
      <c r="E174" s="184"/>
      <c r="G174" s="199"/>
      <c r="H174" s="199"/>
      <c r="I174" s="200"/>
      <c r="J174" s="200">
        <f>0.5*(0.075+0.05)*0.075*C71*D174</f>
        <v>8.6249999999999993E-2</v>
      </c>
      <c r="K174" s="200">
        <f>+M71*C71*D174</f>
        <v>5.0600000000000005</v>
      </c>
      <c r="L174" s="193"/>
      <c r="M174" s="198">
        <f>+ROUNDUP(L174,0)</f>
        <v>0</v>
      </c>
      <c r="N174" s="194"/>
      <c r="O174" s="193"/>
      <c r="P174" s="201"/>
      <c r="Q174" s="195"/>
      <c r="R174" s="190">
        <f>+N174*M174+P174*Q174</f>
        <v>0</v>
      </c>
      <c r="S174" s="197">
        <f>((I71*I71)/162)*R174</f>
        <v>0</v>
      </c>
    </row>
    <row r="175" spans="2:20" hidden="1">
      <c r="C175" s="154" t="s">
        <v>182</v>
      </c>
      <c r="D175" s="154">
        <f>ROUNDUP(+E173/1,0)</f>
        <v>9</v>
      </c>
      <c r="H175" s="191"/>
    </row>
    <row r="176" spans="2:20" hidden="1"/>
    <row r="177" spans="2:20" hidden="1">
      <c r="B177" s="205" t="s">
        <v>179</v>
      </c>
      <c r="C177" s="178" t="s">
        <v>186</v>
      </c>
      <c r="E177" s="184">
        <v>100</v>
      </c>
      <c r="G177" s="196">
        <f>+E177*(C75+E75*2+1)</f>
        <v>225</v>
      </c>
      <c r="H177" s="196">
        <f>(+E177*(C75+E75*2)*(D75+F75+F75))*50%</f>
        <v>68.75</v>
      </c>
      <c r="I177" s="197">
        <f>+(C75+E75*2)*E177*F75</f>
        <v>6.25</v>
      </c>
      <c r="J177" s="197">
        <f>+E177*((C75+E75*2+0.06)*E75+(D75*E75*2))</f>
        <v>41.375</v>
      </c>
      <c r="K177" s="197">
        <f>+(D75+(D75+E75))*E177*2</f>
        <v>425</v>
      </c>
      <c r="L177" s="187">
        <f>+(E177)/H75+ IF(E177&gt;0,1,0)</f>
        <v>401</v>
      </c>
      <c r="M177" s="198">
        <f>+ROUNDUP(L177,0)</f>
        <v>401</v>
      </c>
      <c r="N177" s="189">
        <f>+(D75+E75-0.08)*2+(C75+E75*2-0.08)</f>
        <v>3.26</v>
      </c>
      <c r="O177" s="187">
        <f>+N177/J75+1</f>
        <v>14.04</v>
      </c>
      <c r="P177" s="198">
        <f>+ROUNDUP(O177,0)</f>
        <v>15</v>
      </c>
      <c r="Q177" s="188">
        <f>+E177+E177/6*50*(G75/1000)</f>
        <v>108.33333333333333</v>
      </c>
      <c r="R177" s="190">
        <f>+N177*M177+P177*Q177</f>
        <v>2932.26</v>
      </c>
      <c r="S177" s="197">
        <f>((I75*I75)/162)*R177</f>
        <v>1810.0370370370372</v>
      </c>
      <c r="T177" s="154" t="s">
        <v>156</v>
      </c>
    </row>
    <row r="178" spans="2:20" hidden="1">
      <c r="C178" s="154" t="s">
        <v>181</v>
      </c>
      <c r="D178" s="191">
        <f>ROUNDUP(+(E177/SQRT(L75^2+M75^2)),0)</f>
        <v>258</v>
      </c>
      <c r="E178" s="184"/>
      <c r="G178" s="199"/>
      <c r="H178" s="199"/>
      <c r="I178" s="200"/>
      <c r="J178" s="200">
        <f>0.5*(0.075+0.05)*0.075*C75*D178</f>
        <v>1.2093749999999999</v>
      </c>
      <c r="K178" s="200">
        <f>+M75*C75*D178</f>
        <v>70.95</v>
      </c>
      <c r="L178" s="193"/>
      <c r="M178" s="198">
        <f>+ROUNDUP(L178,0)</f>
        <v>0</v>
      </c>
      <c r="N178" s="194"/>
      <c r="O178" s="193"/>
      <c r="P178" s="201"/>
      <c r="Q178" s="195"/>
      <c r="R178" s="190">
        <f>+N178*M178+P178*Q178</f>
        <v>0</v>
      </c>
      <c r="S178" s="197">
        <f>((I75*I75)/162)*R178</f>
        <v>0</v>
      </c>
    </row>
    <row r="179" spans="2:20" hidden="1">
      <c r="C179" s="154" t="s">
        <v>182</v>
      </c>
      <c r="D179" s="154">
        <f>ROUNDUP(+E177/1,0)</f>
        <v>100</v>
      </c>
    </row>
    <row r="180" spans="2:20" hidden="1"/>
    <row r="181" spans="2:20" hidden="1">
      <c r="B181" s="205" t="s">
        <v>187</v>
      </c>
      <c r="C181" s="178" t="s">
        <v>180</v>
      </c>
      <c r="E181" s="184">
        <v>100</v>
      </c>
      <c r="G181" s="196">
        <f>+E181*(C79+E79*2+1)</f>
        <v>165</v>
      </c>
      <c r="H181" s="196">
        <f>0.5*L79*M79*D182</f>
        <v>20.25</v>
      </c>
      <c r="I181" s="197">
        <f>+(L79*(C79+2*E79)*D182*E79)</f>
        <v>5.8500000000000014</v>
      </c>
      <c r="J181" s="197">
        <f>+D182*(L79+M79)*E79*(C79+2*E79)+D182*((L79+M79)*E79*D79)*2</f>
        <v>20.925000000000001</v>
      </c>
      <c r="K181" s="197">
        <f>+(D79+(D79+E79))*E181*2</f>
        <v>200</v>
      </c>
      <c r="L181" s="187">
        <f>+(D182*(L79+M79))/H79+ IF(E181&gt;0,1,0)</f>
        <v>541</v>
      </c>
      <c r="M181" s="198">
        <f>+ROUNDUP(L181,0)</f>
        <v>541</v>
      </c>
      <c r="N181" s="189">
        <f>+(D79+E79-0.08)*2+(C79+E79*2-0.08)</f>
        <v>1.5100000000000002</v>
      </c>
      <c r="O181" s="187">
        <f>+N181/J79+1</f>
        <v>7.0400000000000009</v>
      </c>
      <c r="P181" s="198">
        <f>+ROUNDUP(O181,0)</f>
        <v>8</v>
      </c>
      <c r="Q181" s="188">
        <f>+(L79+M79-2*0.04)*D182+(((L79+M79-2*0.04)*D182)/6*50*(I79/1000))</f>
        <v>137.58333333333334</v>
      </c>
      <c r="R181" s="190">
        <f>+N181*M181+P181*Q181</f>
        <v>1917.5766666666668</v>
      </c>
      <c r="S181" s="197">
        <f>((I79*I79)/162)*R181</f>
        <v>1183.6893004115227</v>
      </c>
      <c r="T181" s="154" t="s">
        <v>156</v>
      </c>
    </row>
    <row r="182" spans="2:20" hidden="1">
      <c r="C182" s="154" t="s">
        <v>181</v>
      </c>
      <c r="D182" s="191">
        <f>ROUNDUP(+(E181/SQRT(L79^2+M79^2)),0)</f>
        <v>100</v>
      </c>
      <c r="E182" s="184"/>
      <c r="G182" s="199"/>
      <c r="H182" s="199"/>
      <c r="I182" s="200"/>
      <c r="J182" s="200"/>
      <c r="K182" s="200"/>
      <c r="L182" s="193"/>
      <c r="M182" s="198"/>
      <c r="N182" s="194"/>
      <c r="O182" s="193"/>
      <c r="P182" s="201"/>
      <c r="Q182" s="195"/>
      <c r="R182" s="190"/>
      <c r="S182" s="197"/>
    </row>
    <row r="183" spans="2:20" hidden="1">
      <c r="C183" s="154" t="s">
        <v>182</v>
      </c>
      <c r="D183" s="154">
        <f>ROUNDUP(+E181/1,0)</f>
        <v>100</v>
      </c>
    </row>
    <row r="184" spans="2:20" hidden="1"/>
    <row r="185" spans="2:20" hidden="1">
      <c r="B185" s="205" t="s">
        <v>187</v>
      </c>
      <c r="C185" s="178" t="s">
        <v>183</v>
      </c>
      <c r="E185" s="184">
        <v>28.19</v>
      </c>
      <c r="G185" s="196">
        <f>+E185*(C83+E83*2+1)</f>
        <v>46.513500000000001</v>
      </c>
      <c r="H185" s="196">
        <f>0.5*L83*M83*D186</f>
        <v>5.8725000000000005</v>
      </c>
      <c r="I185" s="197">
        <f>+(L83*(C83+2*E83)*D186*E83)</f>
        <v>1.6965000000000003</v>
      </c>
      <c r="J185" s="197">
        <f>+D186*(L83+M83)*E83*(C83+2*E83)+D186*((L83+M83)*E83*D83)*2</f>
        <v>7.2427500000000009</v>
      </c>
      <c r="K185" s="197">
        <f>+(D83+(D83+E83))*E185*2</f>
        <v>73.293999999999997</v>
      </c>
      <c r="L185" s="187">
        <f>+(D186*(L83+M83))/H83+ IF(E185&gt;0,1,0)</f>
        <v>157.60000000000002</v>
      </c>
      <c r="M185" s="198">
        <f>+ROUNDUP(L185,0)</f>
        <v>158</v>
      </c>
      <c r="N185" s="189">
        <f>+(D83+E83-0.08)*2+(C83+E83*2-0.08)</f>
        <v>1.81</v>
      </c>
      <c r="O185" s="187">
        <f>+N185/J83+1</f>
        <v>8.24</v>
      </c>
      <c r="P185" s="198">
        <f>+ROUNDUP(O185,0)</f>
        <v>9</v>
      </c>
      <c r="Q185" s="188">
        <f>+(L83+M83-2*0.04)*D186+(((L83+M83-2*0.04)*D186)/6*50*(I83/1000))</f>
        <v>39.899166666666666</v>
      </c>
      <c r="R185" s="190">
        <f>+N185*M185+P185*Q185</f>
        <v>645.07249999999999</v>
      </c>
      <c r="S185" s="197">
        <f>((I83*I83)/162)*R185</f>
        <v>398.1929012345679</v>
      </c>
      <c r="T185" s="154" t="s">
        <v>156</v>
      </c>
    </row>
    <row r="186" spans="2:20" hidden="1">
      <c r="C186" s="154" t="s">
        <v>181</v>
      </c>
      <c r="D186" s="191">
        <f>ROUNDUP(+(E185/SQRT(L83^2+M83^2)),0)</f>
        <v>29</v>
      </c>
      <c r="E186" s="184"/>
      <c r="G186" s="199"/>
      <c r="H186" s="199"/>
      <c r="I186" s="200"/>
      <c r="J186" s="200"/>
      <c r="K186" s="200"/>
      <c r="L186" s="193"/>
      <c r="M186" s="198"/>
      <c r="N186" s="194"/>
      <c r="O186" s="193"/>
      <c r="P186" s="201"/>
      <c r="Q186" s="195"/>
      <c r="R186" s="190"/>
      <c r="S186" s="197"/>
    </row>
    <row r="187" spans="2:20" hidden="1">
      <c r="C187" s="154" t="s">
        <v>182</v>
      </c>
      <c r="D187" s="154">
        <f>ROUNDUP(+E185/1,0)</f>
        <v>29</v>
      </c>
    </row>
    <row r="188" spans="2:20" hidden="1"/>
    <row r="189" spans="2:20" hidden="1">
      <c r="B189" s="205" t="s">
        <v>187</v>
      </c>
      <c r="C189" s="178" t="s">
        <v>184</v>
      </c>
      <c r="E189" s="184">
        <v>100</v>
      </c>
      <c r="G189" s="196">
        <f>+E189*(C87+E87*2+1)</f>
        <v>180</v>
      </c>
      <c r="H189" s="196">
        <f>0.5*L87*M87*D190</f>
        <v>20.25</v>
      </c>
      <c r="I189" s="197">
        <f>+(L87*(C87+2*E87)*D190*E87)</f>
        <v>7.200000000000002</v>
      </c>
      <c r="J189" s="197">
        <f>+D190*(L87+M87)*E87*(C87+2*E87)+D190*((L87+M87)*E87*D87)*2</f>
        <v>27</v>
      </c>
      <c r="K189" s="197">
        <f>+(D87+(D87+E87))*E189*2</f>
        <v>259.99999999999994</v>
      </c>
      <c r="L189" s="187">
        <f>+(D190*(L87+M87))/H87+ IF(E189&gt;0,1,0)</f>
        <v>541</v>
      </c>
      <c r="M189" s="198">
        <f>+ROUNDUP(L189,0)</f>
        <v>541</v>
      </c>
      <c r="N189" s="189">
        <f>+(D87+E87-0.08)*2+(C87+E87*2-0.08)</f>
        <v>1.96</v>
      </c>
      <c r="O189" s="187">
        <f>+N189/J87+1</f>
        <v>8.84</v>
      </c>
      <c r="P189" s="198">
        <f>+ROUNDUP(O189,0)</f>
        <v>9</v>
      </c>
      <c r="Q189" s="188">
        <f>+(L87+M87-2*0.04)*D190+(((L87+M87-2*0.04)*D190)/6*50*(I87/1000))</f>
        <v>137.58333333333334</v>
      </c>
      <c r="R189" s="190">
        <f>+N189*M189+P189*Q189</f>
        <v>2298.6099999999997</v>
      </c>
      <c r="S189" s="197">
        <f>((I87*I87)/162)*R189</f>
        <v>1418.8950617283947</v>
      </c>
      <c r="T189" s="154" t="s">
        <v>156</v>
      </c>
    </row>
    <row r="190" spans="2:20" hidden="1">
      <c r="C190" s="154" t="s">
        <v>181</v>
      </c>
      <c r="D190" s="191">
        <f>ROUNDUP(+(E189/SQRT(L87^2+M87^2)),0)</f>
        <v>100</v>
      </c>
      <c r="E190" s="184"/>
      <c r="G190" s="199"/>
      <c r="H190" s="199"/>
      <c r="I190" s="200"/>
      <c r="J190" s="200"/>
      <c r="K190" s="200"/>
      <c r="L190" s="193"/>
      <c r="M190" s="198"/>
      <c r="N190" s="194"/>
      <c r="O190" s="193"/>
      <c r="P190" s="201"/>
      <c r="Q190" s="195"/>
      <c r="R190" s="190"/>
      <c r="S190" s="197"/>
    </row>
    <row r="191" spans="2:20" hidden="1">
      <c r="C191" s="154" t="s">
        <v>182</v>
      </c>
      <c r="D191" s="154">
        <f>ROUNDUP(+E189/1,0)</f>
        <v>100</v>
      </c>
    </row>
    <row r="192" spans="2:20" hidden="1"/>
    <row r="193" spans="2:21" hidden="1">
      <c r="B193" s="205" t="s">
        <v>187</v>
      </c>
      <c r="C193" s="178" t="s">
        <v>185</v>
      </c>
      <c r="E193" s="184">
        <v>100</v>
      </c>
      <c r="G193" s="196">
        <f>+E193*(C91+E91*2+1)</f>
        <v>200</v>
      </c>
      <c r="H193" s="196">
        <f>0.5*L91*M91*D194</f>
        <v>20.25</v>
      </c>
      <c r="I193" s="197">
        <f>+(L91*(C91+2*E91)*D194*E91)</f>
        <v>9</v>
      </c>
      <c r="J193" s="197">
        <f>+D194*(L91+M91)*E91*(C91+2*E91)+D194*((L91+M91)*E91*D91)*2</f>
        <v>35.1</v>
      </c>
      <c r="K193" s="197">
        <f>+(D91+(D91+E91))*E193*2</f>
        <v>340.00000000000006</v>
      </c>
      <c r="L193" s="187">
        <f>+(D194*(L91+M91))/H91+ IF(E193&gt;0,1,0)</f>
        <v>541</v>
      </c>
      <c r="M193" s="198">
        <f>+ROUNDUP(L193,0)</f>
        <v>541</v>
      </c>
      <c r="N193" s="189">
        <f>+(D91+E91-0.08)*2+(C91+E91*2-0.08)</f>
        <v>2.56</v>
      </c>
      <c r="O193" s="187">
        <f>+N193/J91+1</f>
        <v>11.24</v>
      </c>
      <c r="P193" s="198">
        <f>+ROUNDUP(O193,0)</f>
        <v>12</v>
      </c>
      <c r="Q193" s="188">
        <f>+(L91+M91-2*0.04)*D194+(((L91+M91-2*0.04)*D194)/6*50*(I91/1000))</f>
        <v>137.58333333333334</v>
      </c>
      <c r="R193" s="190">
        <f>+N193*M193+P193*Q193</f>
        <v>3035.96</v>
      </c>
      <c r="S193" s="197">
        <f>((I91*I91)/162)*R193</f>
        <v>1874.0493827160492</v>
      </c>
      <c r="T193" s="154" t="s">
        <v>156</v>
      </c>
    </row>
    <row r="194" spans="2:21" hidden="1">
      <c r="C194" s="154" t="s">
        <v>181</v>
      </c>
      <c r="D194" s="191">
        <f>ROUNDUP(+(E193/SQRT(L91^2+M91^2)),0)</f>
        <v>100</v>
      </c>
      <c r="E194" s="184"/>
      <c r="G194" s="199"/>
      <c r="H194" s="199"/>
      <c r="I194" s="200"/>
      <c r="J194" s="200"/>
      <c r="K194" s="200"/>
      <c r="L194" s="193"/>
      <c r="M194" s="198"/>
      <c r="N194" s="194"/>
      <c r="O194" s="193"/>
      <c r="P194" s="201"/>
      <c r="Q194" s="195"/>
      <c r="R194" s="190"/>
      <c r="S194" s="197"/>
    </row>
    <row r="195" spans="2:21" hidden="1">
      <c r="C195" s="154" t="s">
        <v>182</v>
      </c>
      <c r="D195" s="154">
        <f>ROUNDUP(+E193/1,0)</f>
        <v>100</v>
      </c>
    </row>
    <row r="196" spans="2:21" hidden="1"/>
    <row r="197" spans="2:21" hidden="1">
      <c r="B197" s="205" t="s">
        <v>187</v>
      </c>
      <c r="C197" s="178" t="s">
        <v>186</v>
      </c>
      <c r="E197" s="184">
        <v>100</v>
      </c>
      <c r="G197" s="196">
        <f>+E197*(C95+E95*2+1)</f>
        <v>225</v>
      </c>
      <c r="H197" s="196">
        <f>0.5*L95*M95*D198</f>
        <v>20.25</v>
      </c>
      <c r="I197" s="197">
        <f>+(L95*(C95+2*E95)*D198*E95)</f>
        <v>14.0625</v>
      </c>
      <c r="J197" s="197">
        <f>+D198*(L95+M95)*E95*(C95+2*E95)+D198*((L95+M95)*E95*D95)*2</f>
        <v>54.84375</v>
      </c>
      <c r="K197" s="197">
        <f>+(D95+(D95+E95))*E197*2</f>
        <v>425</v>
      </c>
      <c r="L197" s="187">
        <f>+(D198*(L95+M95))/H95+ IF(E197&gt;0,1,0)</f>
        <v>541</v>
      </c>
      <c r="M197" s="198">
        <f>+ROUNDUP(L197,0)</f>
        <v>541</v>
      </c>
      <c r="N197" s="189">
        <f>+(D95+E95-0.08)*2+(C95+E95*2-0.08)</f>
        <v>3.26</v>
      </c>
      <c r="O197" s="187">
        <f>+N197/J95+1</f>
        <v>14.04</v>
      </c>
      <c r="P197" s="198">
        <f>+ROUNDUP(O197,0)</f>
        <v>15</v>
      </c>
      <c r="Q197" s="188">
        <f>+(L95+M95-2*0.04)*D198+(((L95+M95-2*0.04)*D198)/6*50*(I95/1000))</f>
        <v>137.58333333333334</v>
      </c>
      <c r="R197" s="190">
        <f>+N197*M197+P197*Q197</f>
        <v>3827.41</v>
      </c>
      <c r="S197" s="197">
        <f>((I95*I95)/162)*R197</f>
        <v>2362.5987654320984</v>
      </c>
      <c r="T197" s="154" t="s">
        <v>156</v>
      </c>
    </row>
    <row r="198" spans="2:21" hidden="1">
      <c r="C198" s="154" t="s">
        <v>181</v>
      </c>
      <c r="D198" s="191">
        <f>ROUNDUP(+(E197/SQRT(L95^2+M95^2)),0)</f>
        <v>100</v>
      </c>
      <c r="E198" s="184"/>
      <c r="G198" s="199"/>
      <c r="H198" s="199"/>
      <c r="I198" s="200"/>
      <c r="J198" s="200"/>
      <c r="K198" s="200"/>
      <c r="L198" s="193"/>
      <c r="M198" s="198"/>
      <c r="N198" s="194"/>
      <c r="O198" s="193"/>
      <c r="P198" s="201"/>
      <c r="Q198" s="195"/>
      <c r="R198" s="190"/>
      <c r="S198" s="197"/>
    </row>
    <row r="199" spans="2:21" hidden="1">
      <c r="C199" s="154" t="s">
        <v>182</v>
      </c>
      <c r="D199" s="154">
        <f>ROUNDUP(+E197/1,0)</f>
        <v>100</v>
      </c>
    </row>
    <row r="200" spans="2:21" hidden="1">
      <c r="G200" s="206" t="s">
        <v>189</v>
      </c>
      <c r="H200" s="206" t="s">
        <v>190</v>
      </c>
      <c r="I200" s="206" t="s">
        <v>52</v>
      </c>
    </row>
    <row r="201" spans="2:21" hidden="1"/>
    <row r="202" spans="2:21" hidden="1">
      <c r="B202" s="202"/>
      <c r="E202" s="202"/>
    </row>
    <row r="203" spans="2:21" hidden="1"/>
    <row r="204" spans="2:21" hidden="1">
      <c r="E204" s="202"/>
    </row>
    <row r="205" spans="2:21">
      <c r="L205" s="931" t="s">
        <v>144</v>
      </c>
      <c r="M205" s="932"/>
      <c r="N205" s="932"/>
      <c r="O205" s="932"/>
      <c r="P205" s="932"/>
      <c r="Q205" s="932"/>
      <c r="R205" s="932"/>
      <c r="S205" s="933"/>
    </row>
    <row r="206" spans="2:21">
      <c r="C206" s="178" t="s">
        <v>1281</v>
      </c>
      <c r="E206" s="202">
        <v>52.96</v>
      </c>
      <c r="G206" s="154">
        <f>ROUNDUP(E206*4.2*1.1,2)</f>
        <v>244.67999999999998</v>
      </c>
      <c r="H206" s="154">
        <f>ROUNDUP(E206*2.2*0.15,2)</f>
        <v>17.48</v>
      </c>
      <c r="I206" s="154">
        <v>0</v>
      </c>
      <c r="J206" s="154">
        <f>ROUNDUP(E206*((0.175*0.1)+(0.1*0.15)+(2*0.1))*1.1,2)</f>
        <v>13.549999999999999</v>
      </c>
      <c r="K206" s="154">
        <f>ROUNDUP(E206*(0.275+0.175+0.25+0.15)*1.1,2)</f>
        <v>49.519999999999996</v>
      </c>
      <c r="M206" s="154" t="s">
        <v>1</v>
      </c>
      <c r="N206" s="154" t="s">
        <v>52</v>
      </c>
      <c r="O206" s="154" t="s">
        <v>607</v>
      </c>
      <c r="P206" s="154" t="s">
        <v>1282</v>
      </c>
      <c r="Q206" s="154" t="s">
        <v>1283</v>
      </c>
      <c r="R206" s="154" t="s">
        <v>80</v>
      </c>
      <c r="S206" s="154" t="s">
        <v>1284</v>
      </c>
    </row>
    <row r="207" spans="2:21">
      <c r="L207" s="154" t="s">
        <v>7</v>
      </c>
      <c r="M207" s="154">
        <f>(2.1+0.125+0.15)</f>
        <v>2.375</v>
      </c>
      <c r="N207" s="154">
        <f>ROUNDUP(M208/0.25,0)+1</f>
        <v>213</v>
      </c>
      <c r="O207" s="154">
        <f>ROUNDUP((M207*N207)/6,0)</f>
        <v>85</v>
      </c>
      <c r="P207" s="154">
        <f>O207*50*0.01</f>
        <v>42.5</v>
      </c>
      <c r="Q207" s="154">
        <f>(M207*N207)+P207</f>
        <v>548.375</v>
      </c>
      <c r="R207" s="154">
        <v>0.61699999999999999</v>
      </c>
      <c r="S207" s="154">
        <f>ROUNDUP(Q207*R207*1.1,2)</f>
        <v>372.19</v>
      </c>
    </row>
    <row r="208" spans="2:21">
      <c r="E208" s="202"/>
      <c r="L208" s="154" t="s">
        <v>6</v>
      </c>
      <c r="M208" s="154">
        <f>E206</f>
        <v>52.96</v>
      </c>
      <c r="N208" s="154">
        <f>ROUNDUP(M207/0.25,0)+1</f>
        <v>11</v>
      </c>
      <c r="O208" s="154">
        <f>ROUNDUP((M208*N208)/6,0)</f>
        <v>98</v>
      </c>
      <c r="P208" s="154">
        <f>O208*50*0.01</f>
        <v>49</v>
      </c>
      <c r="Q208" s="154">
        <f>(M208*N208)+P208</f>
        <v>631.56000000000006</v>
      </c>
      <c r="R208" s="154">
        <v>0.61699999999999999</v>
      </c>
      <c r="S208" s="154">
        <f>ROUNDUP(Q208*R208*1.1,2)</f>
        <v>428.64</v>
      </c>
      <c r="U208" s="154">
        <f>S207+S208</f>
        <v>800.82999999999993</v>
      </c>
    </row>
    <row r="223" spans="2:3">
      <c r="B223" s="202" t="s">
        <v>158</v>
      </c>
    </row>
    <row r="224" spans="2:3" ht="28.8">
      <c r="B224" s="207" t="s">
        <v>191</v>
      </c>
      <c r="C224" s="208"/>
    </row>
    <row r="226" spans="2:10">
      <c r="B226" s="154" t="s">
        <v>192</v>
      </c>
      <c r="C226" s="191"/>
    </row>
    <row r="227" spans="2:10">
      <c r="B227" s="154" t="s">
        <v>193</v>
      </c>
      <c r="C227" s="154">
        <v>0.5</v>
      </c>
    </row>
    <row r="228" spans="2:10">
      <c r="C228" s="191"/>
    </row>
    <row r="229" spans="2:10">
      <c r="B229" s="154" t="s">
        <v>194</v>
      </c>
      <c r="C229" s="154">
        <f>ROUNDUP(C224/C227,0)</f>
        <v>0</v>
      </c>
    </row>
    <row r="232" spans="2:10">
      <c r="B232" s="154" t="s">
        <v>195</v>
      </c>
      <c r="C232" s="154">
        <f>C229*0.16*0.5</f>
        <v>0</v>
      </c>
      <c r="E232" s="202" t="s">
        <v>196</v>
      </c>
    </row>
    <row r="233" spans="2:10">
      <c r="B233" s="154" t="s">
        <v>82</v>
      </c>
      <c r="C233" s="154">
        <f>((0.16*2)+(0.15*0.5*2))*C229</f>
        <v>0</v>
      </c>
    </row>
    <row r="235" spans="2:10">
      <c r="B235" s="154" t="s">
        <v>197</v>
      </c>
      <c r="C235" s="193">
        <v>2.12</v>
      </c>
      <c r="D235" s="209">
        <f>ROUNDUP(0.5/0.125,0)+1</f>
        <v>5</v>
      </c>
      <c r="E235" s="154">
        <f>C229</f>
        <v>0</v>
      </c>
      <c r="F235" s="154">
        <v>1.1000000000000001</v>
      </c>
      <c r="G235" s="154">
        <f>PRODUCT(C235:F235)</f>
        <v>0</v>
      </c>
    </row>
    <row r="236" spans="2:10">
      <c r="C236" s="154">
        <v>0.5</v>
      </c>
      <c r="D236" s="209">
        <f>ROUNDUP(C235/0.2+1,0)</f>
        <v>12</v>
      </c>
      <c r="E236" s="154">
        <f>C229</f>
        <v>0</v>
      </c>
      <c r="F236" s="154">
        <v>1.1000000000000001</v>
      </c>
      <c r="G236" s="154">
        <f>PRODUCT(C236:F236)</f>
        <v>0</v>
      </c>
    </row>
    <row r="238" spans="2:10">
      <c r="G238" s="154">
        <f>SUM(G235:G237)</f>
        <v>0</v>
      </c>
      <c r="H238" s="154">
        <f>ROUND(100/162,3)</f>
        <v>0.61699999999999999</v>
      </c>
      <c r="J238" s="193">
        <f>ROUNDUP(PRODUCT(G238:H238),0)</f>
        <v>0</v>
      </c>
    </row>
    <row r="245" spans="2:8">
      <c r="B245" s="202" t="s">
        <v>198</v>
      </c>
    </row>
    <row r="246" spans="2:8">
      <c r="C246" s="202" t="s">
        <v>189</v>
      </c>
      <c r="D246" s="202" t="s">
        <v>486</v>
      </c>
      <c r="F246" s="202" t="s">
        <v>487</v>
      </c>
    </row>
    <row r="247" spans="2:8">
      <c r="B247" s="202" t="s">
        <v>488</v>
      </c>
      <c r="C247" s="191">
        <f>E106</f>
        <v>82.37</v>
      </c>
      <c r="D247" s="191">
        <f>(C6+E6+E6)</f>
        <v>0.5</v>
      </c>
      <c r="F247" s="154">
        <f>C247*D247</f>
        <v>41.185000000000002</v>
      </c>
      <c r="G247" s="154">
        <v>1.1000000000000001</v>
      </c>
      <c r="H247" s="154">
        <f>F247*G247</f>
        <v>45.303500000000007</v>
      </c>
    </row>
  </sheetData>
  <mergeCells count="11">
    <mergeCell ref="L105:M105"/>
    <mergeCell ref="O105:P105"/>
    <mergeCell ref="L205:S2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64543-43F0-4A70-ADC3-E6D576009AD1}">
  <dimension ref="A1:N15"/>
  <sheetViews>
    <sheetView workbookViewId="0">
      <selection activeCell="B5" sqref="B5:E5"/>
    </sheetView>
  </sheetViews>
  <sheetFormatPr defaultColWidth="9.109375" defaultRowHeight="14.4"/>
  <cols>
    <col min="1" max="1" width="15.6640625" style="1" bestFit="1" customWidth="1"/>
    <col min="2" max="2" width="9.109375" style="1"/>
    <col min="3" max="3" width="9.5546875" style="1" bestFit="1" customWidth="1"/>
    <col min="4" max="5" width="9.109375" style="1"/>
    <col min="6" max="6" width="15" style="1" bestFit="1" customWidth="1"/>
    <col min="7" max="8" width="9.109375" style="1"/>
    <col min="9" max="9" width="11.6640625" style="1" bestFit="1" customWidth="1"/>
    <col min="10" max="10" width="11.6640625" style="1" customWidth="1"/>
    <col min="11" max="11" width="11.5546875" style="1" bestFit="1" customWidth="1"/>
    <col min="12" max="12" width="9.109375" style="1"/>
    <col min="13" max="13" width="12.33203125" style="1" bestFit="1" customWidth="1"/>
    <col min="14" max="14" width="12" style="1" bestFit="1" customWidth="1"/>
    <col min="15" max="16384" width="9.109375" style="1"/>
  </cols>
  <sheetData>
    <row r="1" spans="1:14">
      <c r="A1" s="1" t="s">
        <v>1285</v>
      </c>
    </row>
    <row r="2" spans="1:14">
      <c r="K2" s="1" t="s">
        <v>1286</v>
      </c>
      <c r="M2" s="962" t="s">
        <v>500</v>
      </c>
      <c r="N2" s="962"/>
    </row>
    <row r="3" spans="1:14">
      <c r="A3" s="2" t="s">
        <v>0</v>
      </c>
      <c r="B3" s="2"/>
      <c r="C3" s="2" t="s">
        <v>1</v>
      </c>
      <c r="D3" s="2"/>
      <c r="F3" s="2" t="s">
        <v>1287</v>
      </c>
      <c r="G3" s="2"/>
      <c r="H3" s="2" t="s">
        <v>1</v>
      </c>
      <c r="I3" s="1" t="s">
        <v>1288</v>
      </c>
      <c r="J3" s="1" t="s">
        <v>1289</v>
      </c>
      <c r="K3" s="1" t="s">
        <v>1290</v>
      </c>
      <c r="L3" s="1" t="s">
        <v>494</v>
      </c>
      <c r="M3" s="1" t="s">
        <v>763</v>
      </c>
      <c r="N3" s="1" t="s">
        <v>1291</v>
      </c>
    </row>
    <row r="5" spans="1:14">
      <c r="A5" s="1" t="s">
        <v>208</v>
      </c>
      <c r="C5" s="1">
        <v>82.37</v>
      </c>
      <c r="F5" s="1" t="s">
        <v>1276</v>
      </c>
      <c r="H5" s="1">
        <f>30.75+24.52</f>
        <v>55.269999999999996</v>
      </c>
      <c r="I5" s="1">
        <v>0</v>
      </c>
      <c r="K5" s="1">
        <v>1.1599999999999999</v>
      </c>
      <c r="L5" s="1">
        <v>0</v>
      </c>
      <c r="M5" s="1">
        <v>0</v>
      </c>
      <c r="N5" s="1">
        <v>0</v>
      </c>
    </row>
    <row r="6" spans="1:14">
      <c r="A6" s="1" t="s">
        <v>1292</v>
      </c>
      <c r="C6" s="1">
        <v>52.96</v>
      </c>
    </row>
    <row r="7" spans="1:14">
      <c r="A7" s="1" t="s">
        <v>4</v>
      </c>
      <c r="C7" s="1">
        <v>78.94</v>
      </c>
      <c r="F7" s="961" t="str">
        <f>A11</f>
        <v>Gabion Type 1</v>
      </c>
      <c r="H7" s="1">
        <f>C11</f>
        <v>20.45</v>
      </c>
      <c r="N7" s="1">
        <v>3.25</v>
      </c>
    </row>
    <row r="8" spans="1:14">
      <c r="A8" s="1" t="s">
        <v>497</v>
      </c>
      <c r="C8" s="1">
        <f>3.66*1.4142</f>
        <v>5.1759719999999998</v>
      </c>
      <c r="F8" s="961"/>
      <c r="H8" s="1">
        <f>H7</f>
        <v>20.45</v>
      </c>
      <c r="I8" s="1">
        <v>0</v>
      </c>
      <c r="K8" s="1">
        <v>0</v>
      </c>
      <c r="L8" s="1">
        <v>0</v>
      </c>
      <c r="M8" s="1">
        <v>9.8000000000000007</v>
      </c>
      <c r="N8" s="1">
        <v>0</v>
      </c>
    </row>
    <row r="10" spans="1:14">
      <c r="F10" s="1" t="s">
        <v>1277</v>
      </c>
      <c r="H10" s="1">
        <v>19.21</v>
      </c>
      <c r="I10" s="1">
        <v>0</v>
      </c>
      <c r="J10" s="1">
        <v>4.9000000000000004</v>
      </c>
      <c r="K10" s="1">
        <v>0</v>
      </c>
      <c r="L10" s="1">
        <v>0</v>
      </c>
      <c r="M10" s="1">
        <v>0</v>
      </c>
      <c r="N10" s="1">
        <v>0</v>
      </c>
    </row>
    <row r="11" spans="1:14">
      <c r="A11" s="1" t="s">
        <v>1293</v>
      </c>
      <c r="C11" s="1">
        <v>20.45</v>
      </c>
    </row>
    <row r="13" spans="1:14">
      <c r="F13" s="1" t="s">
        <v>1272</v>
      </c>
      <c r="H13" s="1">
        <v>30.75</v>
      </c>
      <c r="I13" s="1">
        <v>13.365</v>
      </c>
      <c r="L13" s="1">
        <v>11.95</v>
      </c>
    </row>
    <row r="14" spans="1:14">
      <c r="F14" s="1" t="s">
        <v>1273</v>
      </c>
      <c r="H14" s="1">
        <f>24.52+9.75</f>
        <v>34.269999999999996</v>
      </c>
      <c r="I14" s="1">
        <f>(13.37+11.7)/2</f>
        <v>12.535</v>
      </c>
      <c r="L14" s="1">
        <f>(13.9+11.95)/2</f>
        <v>12.925000000000001</v>
      </c>
    </row>
    <row r="15" spans="1:14">
      <c r="F15" s="1" t="s">
        <v>1274</v>
      </c>
      <c r="H15" s="1">
        <v>9.31</v>
      </c>
      <c r="I15" s="1">
        <v>11.7</v>
      </c>
      <c r="L15" s="1">
        <v>13.9</v>
      </c>
    </row>
  </sheetData>
  <mergeCells count="2">
    <mergeCell ref="M2:N2"/>
    <mergeCell ref="F7:F8"/>
  </mergeCell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D0E2C-8F6D-40A6-ACDD-4A4DFFB866A6}">
  <dimension ref="A1"/>
  <sheetViews>
    <sheetView workbookViewId="0">
      <selection activeCell="B5" sqref="B5:E5"/>
    </sheetView>
  </sheetViews>
  <sheetFormatPr defaultRowHeight="14.4"/>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5D12-1AA1-481B-84D8-4275AC834F3C}">
  <sheetPr>
    <tabColor rgb="FF002060"/>
  </sheetPr>
  <dimension ref="A1:M36"/>
  <sheetViews>
    <sheetView showGridLines="0" view="pageBreakPreview" zoomScaleNormal="100" zoomScaleSheetLayoutView="100" workbookViewId="0">
      <selection activeCell="E36" sqref="E36"/>
    </sheetView>
  </sheetViews>
  <sheetFormatPr defaultColWidth="9.109375" defaultRowHeight="13.2"/>
  <cols>
    <col min="1" max="1" width="5.77734375" style="21" customWidth="1"/>
    <col min="2" max="2" width="40.88671875" style="22" customWidth="1"/>
    <col min="3" max="3" width="7.33203125" style="21" customWidth="1"/>
    <col min="4" max="4" width="9.21875" style="23" customWidth="1"/>
    <col min="5" max="5" width="15.33203125" style="24" customWidth="1"/>
    <col min="6" max="6" width="37" style="24" customWidth="1"/>
    <col min="7" max="7" width="1.6640625" style="22" customWidth="1"/>
    <col min="8" max="8" width="17.5546875" style="25" customWidth="1"/>
    <col min="9" max="9" width="13.44140625" style="26" bestFit="1" customWidth="1"/>
    <col min="10" max="10" width="11.6640625" style="25" bestFit="1" customWidth="1"/>
    <col min="11" max="11" width="12.44140625" style="22" bestFit="1" customWidth="1"/>
    <col min="12" max="12" width="13.5546875" style="22" customWidth="1"/>
    <col min="13" max="13" width="14.109375" style="22" customWidth="1"/>
    <col min="14" max="16384" width="9.109375" style="22"/>
  </cols>
  <sheetData>
    <row r="1" spans="1:13" customFormat="1" ht="15.6">
      <c r="A1" s="869" t="str">
        <f>'Bill No.8.2'!A1:F1</f>
        <v>LOT -06 - BILLS OF QUANTITIES</v>
      </c>
      <c r="B1" s="870"/>
      <c r="C1" s="870"/>
      <c r="D1" s="870"/>
      <c r="E1" s="870"/>
      <c r="F1" s="871"/>
    </row>
    <row r="2" spans="1:13" customFormat="1" ht="46.2" customHeight="1">
      <c r="A2" s="872" t="s">
        <v>1509</v>
      </c>
      <c r="B2" s="873"/>
      <c r="C2" s="873"/>
      <c r="D2" s="873"/>
      <c r="E2" s="873"/>
      <c r="F2" s="874"/>
    </row>
    <row r="3" spans="1:13" customFormat="1" ht="15" thickBot="1">
      <c r="A3" s="748"/>
      <c r="B3" s="749"/>
      <c r="C3" s="749"/>
      <c r="D3" s="749"/>
      <c r="E3" s="750"/>
      <c r="F3" s="751"/>
    </row>
    <row r="4" spans="1:13" customFormat="1" ht="15" thickBot="1">
      <c r="A4" s="752"/>
      <c r="B4" s="6" t="s">
        <v>8</v>
      </c>
      <c r="C4" s="6"/>
      <c r="D4" s="7"/>
      <c r="E4" s="8"/>
      <c r="F4" s="753" t="s">
        <v>9</v>
      </c>
    </row>
    <row r="5" spans="1:13" s="11" customFormat="1" ht="35.4" customHeight="1">
      <c r="A5" s="9"/>
      <c r="B5" s="875" t="str">
        <f>'Bill 9.1'!$A$1</f>
        <v>BILL No. 9.1 - SITE CLEARING</v>
      </c>
      <c r="C5" s="875"/>
      <c r="D5" s="875"/>
      <c r="E5" s="876"/>
      <c r="F5" s="10"/>
      <c r="H5" s="12"/>
      <c r="I5" s="13"/>
      <c r="J5" s="12"/>
      <c r="L5" s="14"/>
    </row>
    <row r="6" spans="1:13" s="11" customFormat="1" ht="35.4" customHeight="1">
      <c r="A6" s="9"/>
      <c r="B6" s="890" t="str">
        <f>'Bill 9.2'!$A$1</f>
        <v>BILL No. 9.2 - EARTHWORKS</v>
      </c>
      <c r="C6" s="890"/>
      <c r="D6" s="890"/>
      <c r="E6" s="891"/>
      <c r="F6" s="10"/>
      <c r="H6" s="12"/>
      <c r="I6" s="13"/>
      <c r="J6" s="12"/>
      <c r="L6" s="14"/>
    </row>
    <row r="7" spans="1:13" s="11" customFormat="1" ht="35.4" customHeight="1" thickBot="1">
      <c r="A7" s="9"/>
      <c r="B7" s="890" t="str">
        <f>'Bill 9.3'!$A$1</f>
        <v>BILL No. 9.3 - STRUCTURE CONSTRUCTION</v>
      </c>
      <c r="C7" s="890"/>
      <c r="D7" s="890"/>
      <c r="E7" s="891"/>
      <c r="F7" s="10"/>
      <c r="H7" s="12"/>
      <c r="I7" s="13"/>
      <c r="J7" s="12"/>
      <c r="L7" s="14"/>
    </row>
    <row r="8" spans="1:13" s="11" customFormat="1" ht="24.9" customHeight="1" thickBot="1">
      <c r="A8" s="15"/>
      <c r="B8" s="877" t="s">
        <v>10</v>
      </c>
      <c r="C8" s="877"/>
      <c r="D8" s="877"/>
      <c r="E8" s="878"/>
      <c r="F8" s="16"/>
      <c r="H8" s="12"/>
      <c r="I8" s="17"/>
      <c r="J8" s="12"/>
      <c r="K8" s="14"/>
      <c r="M8" s="12"/>
    </row>
    <row r="9" spans="1:13" s="11" customFormat="1">
      <c r="A9" s="18"/>
      <c r="C9" s="18"/>
      <c r="D9" s="19"/>
      <c r="E9" s="20"/>
      <c r="F9" s="20"/>
      <c r="H9" s="12"/>
      <c r="I9" s="13"/>
      <c r="J9" s="12"/>
    </row>
    <row r="10" spans="1:13" s="11" customFormat="1">
      <c r="A10" s="18"/>
      <c r="C10" s="18"/>
      <c r="D10" s="19"/>
      <c r="E10" s="20"/>
      <c r="F10" s="20"/>
      <c r="H10" s="12"/>
      <c r="I10" s="13"/>
      <c r="J10" s="12"/>
    </row>
    <row r="11" spans="1:13" s="11" customFormat="1">
      <c r="A11" s="18"/>
      <c r="C11" s="18"/>
      <c r="D11" s="19"/>
      <c r="E11" s="20"/>
      <c r="F11" s="20"/>
      <c r="H11" s="12"/>
      <c r="I11" s="13"/>
      <c r="J11" s="12"/>
    </row>
    <row r="12" spans="1:13" s="11" customFormat="1">
      <c r="A12" s="18"/>
      <c r="C12" s="18"/>
      <c r="D12" s="19"/>
      <c r="E12" s="20"/>
      <c r="F12" s="20"/>
      <c r="H12" s="12"/>
      <c r="I12" s="13"/>
      <c r="J12" s="12"/>
    </row>
    <row r="13" spans="1:13" s="11" customFormat="1">
      <c r="A13" s="18"/>
      <c r="C13" s="18"/>
      <c r="D13" s="19"/>
      <c r="E13" s="20"/>
      <c r="F13" s="20"/>
      <c r="H13" s="12"/>
      <c r="I13" s="13"/>
      <c r="J13" s="12"/>
    </row>
    <row r="14" spans="1:13" s="11" customFormat="1">
      <c r="A14" s="18"/>
      <c r="C14" s="18"/>
      <c r="D14" s="19"/>
      <c r="E14" s="20"/>
      <c r="F14" s="20"/>
      <c r="H14" s="12"/>
      <c r="I14" s="13"/>
      <c r="J14" s="12"/>
    </row>
    <row r="15" spans="1:13" s="11" customFormat="1">
      <c r="A15" s="18"/>
      <c r="C15" s="18"/>
      <c r="D15" s="19"/>
      <c r="E15" s="20"/>
      <c r="F15" s="20"/>
      <c r="H15" s="12"/>
      <c r="I15" s="13"/>
      <c r="J15" s="12"/>
    </row>
    <row r="16" spans="1:13" s="11" customFormat="1">
      <c r="A16" s="18"/>
      <c r="C16" s="18"/>
      <c r="D16" s="19"/>
      <c r="E16" s="20"/>
      <c r="F16" s="20"/>
      <c r="H16" s="12"/>
      <c r="I16" s="13"/>
      <c r="J16" s="12"/>
    </row>
    <row r="17" spans="1:10" s="11" customFormat="1">
      <c r="A17" s="18"/>
      <c r="C17" s="18"/>
      <c r="D17" s="19"/>
      <c r="E17" s="20"/>
      <c r="F17" s="20"/>
      <c r="H17" s="12"/>
      <c r="I17" s="13"/>
      <c r="J17" s="12"/>
    </row>
    <row r="18" spans="1:10" s="11" customFormat="1">
      <c r="A18" s="18"/>
      <c r="C18" s="18"/>
      <c r="D18" s="19"/>
      <c r="E18" s="20"/>
      <c r="F18" s="20"/>
      <c r="H18" s="12"/>
      <c r="I18" s="13"/>
      <c r="J18" s="12"/>
    </row>
    <row r="19" spans="1:10" s="11" customFormat="1">
      <c r="A19" s="18"/>
      <c r="C19" s="18"/>
      <c r="D19" s="19"/>
      <c r="E19" s="20"/>
      <c r="F19" s="20"/>
      <c r="H19" s="12"/>
      <c r="I19" s="13"/>
      <c r="J19" s="12"/>
    </row>
    <row r="20" spans="1:10" s="11" customFormat="1">
      <c r="A20" s="18"/>
      <c r="C20" s="18"/>
      <c r="D20" s="19"/>
      <c r="E20" s="20"/>
      <c r="F20" s="20"/>
      <c r="H20" s="12"/>
      <c r="I20" s="13"/>
      <c r="J20" s="12"/>
    </row>
    <row r="21" spans="1:10" s="11" customFormat="1">
      <c r="A21" s="18"/>
      <c r="C21" s="18"/>
      <c r="D21" s="19"/>
      <c r="E21" s="20"/>
      <c r="F21" s="20"/>
      <c r="H21" s="12"/>
      <c r="I21" s="13"/>
      <c r="J21" s="12"/>
    </row>
    <row r="22" spans="1:10" s="11" customFormat="1">
      <c r="A22" s="18"/>
      <c r="C22" s="18"/>
      <c r="D22" s="19"/>
      <c r="E22" s="20"/>
      <c r="F22" s="20"/>
      <c r="H22" s="12"/>
      <c r="I22" s="13"/>
      <c r="J22" s="12"/>
    </row>
    <row r="23" spans="1:10" s="11" customFormat="1">
      <c r="A23" s="18"/>
      <c r="C23" s="18"/>
      <c r="D23" s="19"/>
      <c r="E23" s="20"/>
      <c r="F23" s="20"/>
      <c r="H23" s="12"/>
      <c r="I23" s="13"/>
      <c r="J23" s="12"/>
    </row>
    <row r="24" spans="1:10" s="11" customFormat="1">
      <c r="A24" s="18"/>
      <c r="C24" s="18"/>
      <c r="D24" s="19"/>
      <c r="E24" s="20"/>
      <c r="F24" s="20"/>
      <c r="H24" s="12"/>
      <c r="I24" s="13"/>
      <c r="J24" s="12"/>
    </row>
    <row r="25" spans="1:10" s="11" customFormat="1">
      <c r="A25" s="18"/>
      <c r="C25" s="18"/>
      <c r="D25" s="19"/>
      <c r="E25" s="20"/>
      <c r="F25" s="20"/>
      <c r="H25" s="12"/>
      <c r="I25" s="13"/>
      <c r="J25" s="12"/>
    </row>
    <row r="26" spans="1:10" s="11" customFormat="1">
      <c r="A26" s="18"/>
      <c r="C26" s="18"/>
      <c r="D26" s="19"/>
      <c r="E26" s="20"/>
      <c r="F26" s="20"/>
      <c r="H26" s="12"/>
      <c r="I26" s="13"/>
      <c r="J26" s="12"/>
    </row>
    <row r="27" spans="1:10" s="11" customFormat="1">
      <c r="A27" s="18"/>
      <c r="C27" s="18"/>
      <c r="D27" s="19"/>
      <c r="E27" s="20"/>
      <c r="F27" s="20"/>
      <c r="H27" s="12"/>
      <c r="I27" s="13"/>
      <c r="J27" s="12"/>
    </row>
    <row r="28" spans="1:10" s="11" customFormat="1">
      <c r="A28" s="18"/>
      <c r="C28" s="18"/>
      <c r="D28" s="19"/>
      <c r="E28" s="20"/>
      <c r="F28" s="20"/>
      <c r="H28" s="12"/>
      <c r="I28" s="13"/>
      <c r="J28" s="12"/>
    </row>
    <row r="29" spans="1:10" s="11" customFormat="1">
      <c r="A29" s="18"/>
      <c r="C29" s="18"/>
      <c r="D29" s="19"/>
      <c r="E29" s="20"/>
      <c r="F29" s="20"/>
      <c r="H29" s="12"/>
      <c r="I29" s="13"/>
      <c r="J29" s="12"/>
    </row>
    <row r="30" spans="1:10" s="11" customFormat="1">
      <c r="A30" s="18"/>
      <c r="C30" s="18"/>
      <c r="D30" s="19"/>
      <c r="E30" s="20"/>
      <c r="F30" s="20"/>
      <c r="H30" s="12"/>
      <c r="I30" s="13"/>
      <c r="J30" s="12"/>
    </row>
    <row r="31" spans="1:10" s="11" customFormat="1">
      <c r="A31" s="18"/>
      <c r="C31" s="18"/>
      <c r="D31" s="19"/>
      <c r="E31" s="20"/>
      <c r="F31" s="20"/>
      <c r="H31" s="12"/>
      <c r="I31" s="13"/>
      <c r="J31" s="12"/>
    </row>
    <row r="32" spans="1:10" s="11" customFormat="1">
      <c r="A32" s="18"/>
      <c r="C32" s="18"/>
      <c r="D32" s="19"/>
      <c r="E32" s="20"/>
      <c r="F32" s="20"/>
      <c r="H32" s="12"/>
      <c r="I32" s="13"/>
      <c r="J32" s="12"/>
    </row>
    <row r="33" spans="1:10" s="11" customFormat="1">
      <c r="A33" s="18"/>
      <c r="C33" s="18"/>
      <c r="D33" s="19"/>
      <c r="E33" s="20"/>
      <c r="F33" s="20"/>
      <c r="H33" s="12"/>
      <c r="I33" s="13"/>
      <c r="J33" s="12"/>
    </row>
    <row r="34" spans="1:10" s="11" customFormat="1">
      <c r="A34" s="18"/>
      <c r="C34" s="18"/>
      <c r="D34" s="19"/>
      <c r="E34" s="20"/>
      <c r="F34" s="20"/>
      <c r="H34" s="12"/>
      <c r="I34" s="13"/>
      <c r="J34" s="12"/>
    </row>
    <row r="35" spans="1:10" s="11" customFormat="1">
      <c r="A35" s="18"/>
      <c r="C35" s="18"/>
      <c r="D35" s="19"/>
      <c r="E35" s="20"/>
      <c r="F35" s="20"/>
      <c r="H35" s="12"/>
      <c r="I35" s="13"/>
      <c r="J35" s="12"/>
    </row>
    <row r="36" spans="1:10" s="11" customFormat="1">
      <c r="A36" s="18"/>
      <c r="C36" s="18"/>
      <c r="D36" s="19"/>
      <c r="E36" s="20"/>
      <c r="F36" s="20"/>
      <c r="H36" s="12"/>
      <c r="I36" s="13"/>
      <c r="J36" s="12"/>
    </row>
  </sheetData>
  <mergeCells count="6">
    <mergeCell ref="B8:E8"/>
    <mergeCell ref="A1:F1"/>
    <mergeCell ref="A2:F2"/>
    <mergeCell ref="B5:E5"/>
    <mergeCell ref="B6:E6"/>
    <mergeCell ref="B7:E7"/>
  </mergeCells>
  <printOptions horizontalCentered="1"/>
  <pageMargins left="0.75" right="0.4" top="0.75" bottom="0.5" header="0" footer="0"/>
  <pageSetup paperSize="9" scale="70" fitToHeight="0"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25C1A-0965-4E4E-9B59-43BE2286813D}">
  <sheetPr>
    <tabColor rgb="FFFF9933"/>
  </sheetPr>
  <dimension ref="A1:L14"/>
  <sheetViews>
    <sheetView view="pageBreakPreview" zoomScaleNormal="100" zoomScaleSheetLayoutView="100" workbookViewId="0">
      <selection activeCell="I1" sqref="I1:M1048576"/>
    </sheetView>
  </sheetViews>
  <sheetFormatPr defaultColWidth="9.109375" defaultRowHeight="13.2"/>
  <cols>
    <col min="1" max="1" width="7.6640625" style="31" customWidth="1"/>
    <col min="2" max="2" width="9.6640625" style="31" customWidth="1"/>
    <col min="3" max="3" width="50.6640625" style="31" customWidth="1"/>
    <col min="4" max="4" width="7.6640625" style="31" customWidth="1"/>
    <col min="5" max="5" width="8.6640625" style="31" customWidth="1"/>
    <col min="6" max="6" width="13.5546875" style="31" customWidth="1"/>
    <col min="7" max="7" width="17.6640625" style="31" customWidth="1"/>
    <col min="8" max="8" width="9.109375" style="31"/>
    <col min="9" max="13" width="0" style="31" hidden="1" customWidth="1"/>
    <col min="14" max="16384" width="9.109375" style="31"/>
  </cols>
  <sheetData>
    <row r="1" spans="1:12" s="27" customFormat="1" ht="76.8" customHeight="1" thickBot="1">
      <c r="A1" s="892" t="s">
        <v>1294</v>
      </c>
      <c r="B1" s="893"/>
      <c r="C1" s="893"/>
      <c r="D1" s="953" t="str">
        <f>'Bill No. 9'!$A$2</f>
        <v xml:space="preserve">BILL NO. 09- REDUCTION OF LANDSLIDE VULNERABILITY BY MITIGATION MEASURES
 AKKARA 50, GIKIYANAKANDA, IHALAKUDALIGAMA (Site No. 115) </v>
      </c>
      <c r="E1" s="953"/>
      <c r="F1" s="953"/>
      <c r="G1" s="954"/>
    </row>
    <row r="2" spans="1:12" ht="26.4">
      <c r="A2" s="754" t="s">
        <v>11</v>
      </c>
      <c r="B2" s="28" t="s">
        <v>12</v>
      </c>
      <c r="C2" s="29" t="s">
        <v>8</v>
      </c>
      <c r="D2" s="28" t="s">
        <v>13</v>
      </c>
      <c r="E2" s="28" t="s">
        <v>14</v>
      </c>
      <c r="F2" s="30" t="s">
        <v>15</v>
      </c>
      <c r="G2" s="755" t="s">
        <v>16</v>
      </c>
    </row>
    <row r="3" spans="1:12" ht="30" customHeight="1">
      <c r="A3" s="756" t="s">
        <v>1295</v>
      </c>
      <c r="B3" s="32"/>
      <c r="C3" s="219" t="s">
        <v>17</v>
      </c>
      <c r="D3" s="32"/>
      <c r="E3" s="32"/>
      <c r="F3" s="32"/>
      <c r="G3" s="757"/>
      <c r="I3" s="220" t="s">
        <v>0</v>
      </c>
      <c r="J3" s="220"/>
    </row>
    <row r="4" spans="1:12" ht="26.4">
      <c r="A4" s="758" t="s">
        <v>1296</v>
      </c>
      <c r="B4" s="33" t="s">
        <v>18</v>
      </c>
      <c r="C4" s="34" t="s">
        <v>19</v>
      </c>
      <c r="D4" s="33" t="s">
        <v>20</v>
      </c>
      <c r="E4" s="406">
        <v>1263</v>
      </c>
      <c r="F4" s="35"/>
      <c r="G4" s="759"/>
      <c r="I4" s="44">
        <f>Drains115!G107+Drains115!G110+Drains115!G113+Drains115!G173</f>
        <v>1262.3495</v>
      </c>
      <c r="J4" s="44"/>
      <c r="L4" s="44">
        <f>SUM(I4:K4)</f>
        <v>1262.3495</v>
      </c>
    </row>
    <row r="5" spans="1:12" s="27" customFormat="1" ht="30" customHeight="1">
      <c r="A5" s="758" t="s">
        <v>1297</v>
      </c>
      <c r="B5" s="36" t="s">
        <v>21</v>
      </c>
      <c r="C5" s="37" t="s">
        <v>22</v>
      </c>
      <c r="D5" s="36" t="s">
        <v>23</v>
      </c>
      <c r="E5" s="348">
        <v>60</v>
      </c>
      <c r="F5" s="38"/>
      <c r="G5" s="39"/>
      <c r="H5" s="40"/>
    </row>
    <row r="6" spans="1:12" s="27" customFormat="1" ht="30" customHeight="1">
      <c r="A6" s="758" t="s">
        <v>1298</v>
      </c>
      <c r="B6" s="36" t="s">
        <v>24</v>
      </c>
      <c r="C6" s="37" t="s">
        <v>25</v>
      </c>
      <c r="D6" s="36" t="s">
        <v>23</v>
      </c>
      <c r="E6" s="348">
        <v>35</v>
      </c>
      <c r="F6" s="38"/>
      <c r="G6" s="39"/>
      <c r="H6" s="40"/>
    </row>
    <row r="7" spans="1:12" s="27" customFormat="1" ht="30" customHeight="1">
      <c r="A7" s="222" t="s">
        <v>1299</v>
      </c>
      <c r="B7" s="56" t="s">
        <v>200</v>
      </c>
      <c r="C7" s="223" t="s">
        <v>201</v>
      </c>
      <c r="D7" s="36" t="s">
        <v>23</v>
      </c>
      <c r="E7" s="348">
        <v>10</v>
      </c>
      <c r="F7" s="57"/>
      <c r="G7" s="39"/>
      <c r="H7" s="40"/>
      <c r="I7" s="40"/>
    </row>
    <row r="8" spans="1:12" s="27" customFormat="1" ht="30" customHeight="1">
      <c r="A8" s="222" t="s">
        <v>1300</v>
      </c>
      <c r="B8" s="56" t="s">
        <v>202</v>
      </c>
      <c r="C8" s="223" t="s">
        <v>203</v>
      </c>
      <c r="D8" s="36" t="s">
        <v>23</v>
      </c>
      <c r="E8" s="348">
        <v>10</v>
      </c>
      <c r="F8" s="57"/>
      <c r="G8" s="39"/>
      <c r="H8" s="40"/>
      <c r="I8" s="40"/>
    </row>
    <row r="9" spans="1:12" s="27" customFormat="1" ht="30" customHeight="1">
      <c r="A9" s="222" t="s">
        <v>1301</v>
      </c>
      <c r="B9" s="56" t="s">
        <v>26</v>
      </c>
      <c r="C9" s="223" t="s">
        <v>204</v>
      </c>
      <c r="D9" s="36" t="s">
        <v>23</v>
      </c>
      <c r="E9" s="348">
        <v>15</v>
      </c>
      <c r="F9" s="57"/>
      <c r="G9" s="39"/>
      <c r="H9" s="40"/>
      <c r="I9" s="40"/>
    </row>
    <row r="10" spans="1:12" s="27" customFormat="1" ht="30" customHeight="1">
      <c r="A10" s="222" t="s">
        <v>1302</v>
      </c>
      <c r="B10" s="56" t="s">
        <v>205</v>
      </c>
      <c r="C10" s="223" t="s">
        <v>206</v>
      </c>
      <c r="D10" s="36" t="s">
        <v>23</v>
      </c>
      <c r="E10" s="348">
        <v>10</v>
      </c>
      <c r="F10" s="57"/>
      <c r="G10" s="39"/>
      <c r="H10" s="40"/>
      <c r="I10" s="40"/>
      <c r="L10" s="27">
        <v>0</v>
      </c>
    </row>
    <row r="11" spans="1:12" ht="22.5" customHeight="1">
      <c r="A11" s="770" t="s">
        <v>1303</v>
      </c>
      <c r="B11" s="350"/>
      <c r="C11" s="351" t="s">
        <v>399</v>
      </c>
      <c r="D11" s="350"/>
      <c r="E11" s="352"/>
      <c r="F11" s="57"/>
      <c r="G11" s="39"/>
    </row>
    <row r="12" spans="1:12" ht="24" customHeight="1">
      <c r="A12" s="222" t="s">
        <v>1304</v>
      </c>
      <c r="B12" s="350" t="s">
        <v>401</v>
      </c>
      <c r="C12" s="353" t="s">
        <v>402</v>
      </c>
      <c r="D12" s="350" t="s">
        <v>28</v>
      </c>
      <c r="E12" s="352">
        <v>5</v>
      </c>
      <c r="F12" s="57"/>
      <c r="G12" s="39"/>
    </row>
    <row r="13" spans="1:12" ht="22.2" customHeight="1">
      <c r="A13" s="222" t="s">
        <v>1305</v>
      </c>
      <c r="B13" s="354" t="s">
        <v>404</v>
      </c>
      <c r="C13" s="355" t="s">
        <v>405</v>
      </c>
      <c r="D13" s="354" t="s">
        <v>28</v>
      </c>
      <c r="E13" s="356">
        <v>5</v>
      </c>
      <c r="F13" s="357"/>
      <c r="G13" s="639"/>
    </row>
    <row r="14" spans="1:12" ht="33" customHeight="1" thickBot="1">
      <c r="A14" s="760"/>
      <c r="B14" s="896" t="s">
        <v>1306</v>
      </c>
      <c r="C14" s="897"/>
      <c r="D14" s="897"/>
      <c r="E14" s="897"/>
      <c r="F14" s="898"/>
      <c r="G14" s="796"/>
    </row>
  </sheetData>
  <mergeCells count="3">
    <mergeCell ref="A1:C1"/>
    <mergeCell ref="D1:G1"/>
    <mergeCell ref="B14:F14"/>
  </mergeCells>
  <printOptions horizontalCentered="1"/>
  <pageMargins left="0.75" right="0.4" top="0.75" bottom="0.5" header="0" footer="0"/>
  <pageSetup paperSize="9" scale="70" fitToHeight="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C161B-E7F5-4A25-9385-65882EB63168}">
  <sheetPr>
    <tabColor rgb="FFFF9933"/>
  </sheetPr>
  <dimension ref="A1:L15"/>
  <sheetViews>
    <sheetView view="pageBreakPreview" topLeftCell="A7" zoomScaleNormal="100" zoomScaleSheetLayoutView="100" workbookViewId="0">
      <selection activeCell="H1" sqref="H1:L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31" customWidth="1"/>
    <col min="6" max="6" width="13.33203125" style="31" customWidth="1"/>
    <col min="7" max="7" width="17.6640625" style="31" customWidth="1"/>
    <col min="8" max="8" width="9.44140625" style="31" hidden="1" customWidth="1"/>
    <col min="9" max="12" width="0" style="31" hidden="1" customWidth="1"/>
    <col min="13" max="16384" width="9.109375" style="31"/>
  </cols>
  <sheetData>
    <row r="1" spans="1:12" s="27" customFormat="1" ht="63.6" customHeight="1" thickBot="1">
      <c r="A1" s="892" t="s">
        <v>1307</v>
      </c>
      <c r="B1" s="893"/>
      <c r="C1" s="893"/>
      <c r="D1" s="953" t="str">
        <f>+'Bill 9.1'!D1:G1</f>
        <v xml:space="preserve">BILL NO. 09- REDUCTION OF LANDSLIDE VULNERABILITY BY MITIGATION MEASURES
 AKKARA 50, GIKIYANAKANDA, IHALAKUDALIGAMA (Site No. 115) </v>
      </c>
      <c r="E1" s="953"/>
      <c r="F1" s="953"/>
      <c r="G1" s="954"/>
    </row>
    <row r="2" spans="1:12" ht="26.4">
      <c r="A2" s="754" t="s">
        <v>11</v>
      </c>
      <c r="B2" s="28" t="s">
        <v>12</v>
      </c>
      <c r="C2" s="29" t="s">
        <v>8</v>
      </c>
      <c r="D2" s="28" t="s">
        <v>13</v>
      </c>
      <c r="E2" s="28" t="s">
        <v>14</v>
      </c>
      <c r="F2" s="30" t="s">
        <v>15</v>
      </c>
      <c r="G2" s="755" t="s">
        <v>16</v>
      </c>
    </row>
    <row r="3" spans="1:12" ht="21.6" customHeight="1">
      <c r="A3" s="762" t="s">
        <v>1308</v>
      </c>
      <c r="B3" s="52"/>
      <c r="C3" s="640" t="s">
        <v>1309</v>
      </c>
      <c r="D3" s="52"/>
      <c r="E3" s="358"/>
      <c r="F3" s="35"/>
      <c r="G3" s="764"/>
    </row>
    <row r="4" spans="1:12" ht="29.4" customHeight="1">
      <c r="A4" s="758" t="s">
        <v>1310</v>
      </c>
      <c r="B4" s="46" t="s">
        <v>222</v>
      </c>
      <c r="C4" s="47" t="s">
        <v>223</v>
      </c>
      <c r="D4" s="46" t="s">
        <v>63</v>
      </c>
      <c r="E4" s="359">
        <v>100</v>
      </c>
      <c r="F4" s="35"/>
      <c r="G4" s="764"/>
    </row>
    <row r="5" spans="1:12" ht="35.4" customHeight="1">
      <c r="A5" s="758" t="s">
        <v>1311</v>
      </c>
      <c r="B5" s="46" t="s">
        <v>224</v>
      </c>
      <c r="C5" s="47" t="s">
        <v>1312</v>
      </c>
      <c r="D5" s="46" t="s">
        <v>63</v>
      </c>
      <c r="E5" s="359">
        <v>20</v>
      </c>
      <c r="F5" s="35"/>
      <c r="G5" s="764"/>
    </row>
    <row r="6" spans="1:12" ht="34.200000000000003" customHeight="1">
      <c r="A6" s="758" t="s">
        <v>1313</v>
      </c>
      <c r="B6" s="48" t="s">
        <v>226</v>
      </c>
      <c r="C6" s="49" t="s">
        <v>1151</v>
      </c>
      <c r="D6" s="50" t="s">
        <v>63</v>
      </c>
      <c r="E6" s="359">
        <v>20</v>
      </c>
      <c r="F6" s="35"/>
      <c r="G6" s="764"/>
    </row>
    <row r="7" spans="1:12" ht="24" customHeight="1">
      <c r="A7" s="758" t="s">
        <v>1314</v>
      </c>
      <c r="B7" s="52" t="s">
        <v>228</v>
      </c>
      <c r="C7" s="53" t="s">
        <v>35</v>
      </c>
      <c r="D7" s="52" t="s">
        <v>63</v>
      </c>
      <c r="E7" s="358">
        <v>20</v>
      </c>
      <c r="F7" s="35"/>
      <c r="G7" s="764"/>
    </row>
    <row r="8" spans="1:12" ht="26.25" customHeight="1">
      <c r="A8" s="762" t="s">
        <v>1315</v>
      </c>
      <c r="B8" s="41"/>
      <c r="C8" s="42" t="s">
        <v>29</v>
      </c>
      <c r="D8" s="51"/>
      <c r="E8" s="43"/>
      <c r="F8" s="41"/>
      <c r="G8" s="764"/>
    </row>
    <row r="9" spans="1:12" ht="48" customHeight="1">
      <c r="A9" s="758" t="s">
        <v>1316</v>
      </c>
      <c r="B9" s="52" t="s">
        <v>30</v>
      </c>
      <c r="C9" s="53" t="s">
        <v>31</v>
      </c>
      <c r="D9" s="52" t="s">
        <v>28</v>
      </c>
      <c r="E9" s="358">
        <v>165</v>
      </c>
      <c r="F9" s="35"/>
      <c r="G9" s="764"/>
      <c r="H9" s="44">
        <f>Drains115!H107+Drains115!H110+Drains115!H113+Drains115!H173</f>
        <v>164.76055000000002</v>
      </c>
    </row>
    <row r="10" spans="1:12" ht="35.25" customHeight="1">
      <c r="A10" s="758" t="s">
        <v>1317</v>
      </c>
      <c r="B10" s="46" t="s">
        <v>32</v>
      </c>
      <c r="C10" s="47" t="s">
        <v>219</v>
      </c>
      <c r="D10" s="46" t="s">
        <v>28</v>
      </c>
      <c r="E10" s="359">
        <v>30</v>
      </c>
      <c r="F10" s="35"/>
      <c r="G10" s="764"/>
      <c r="L10" s="54"/>
    </row>
    <row r="11" spans="1:12" ht="35.25" customHeight="1">
      <c r="A11" s="758" t="s">
        <v>1318</v>
      </c>
      <c r="B11" s="46" t="s">
        <v>33</v>
      </c>
      <c r="C11" s="47" t="s">
        <v>1319</v>
      </c>
      <c r="D11" s="46" t="s">
        <v>28</v>
      </c>
      <c r="E11" s="359">
        <v>15</v>
      </c>
      <c r="F11" s="35"/>
      <c r="G11" s="764"/>
      <c r="L11" s="54"/>
    </row>
    <row r="12" spans="1:12" ht="25.95" customHeight="1">
      <c r="A12" s="758" t="s">
        <v>1320</v>
      </c>
      <c r="B12" s="48" t="s">
        <v>34</v>
      </c>
      <c r="C12" s="49" t="s">
        <v>35</v>
      </c>
      <c r="D12" s="50" t="s">
        <v>27</v>
      </c>
      <c r="E12" s="359">
        <v>165</v>
      </c>
      <c r="F12" s="35"/>
      <c r="G12" s="764"/>
      <c r="H12" s="44">
        <f>E9</f>
        <v>165</v>
      </c>
      <c r="L12" s="54"/>
    </row>
    <row r="13" spans="1:12" ht="24.6" customHeight="1">
      <c r="A13" s="762" t="s">
        <v>1321</v>
      </c>
      <c r="B13" s="48"/>
      <c r="C13" s="641" t="s">
        <v>1045</v>
      </c>
      <c r="D13" s="50"/>
      <c r="E13" s="359"/>
      <c r="F13" s="35"/>
      <c r="G13" s="764"/>
      <c r="H13" s="44"/>
      <c r="L13" s="54"/>
    </row>
    <row r="14" spans="1:12" ht="22.2" customHeight="1">
      <c r="A14" s="758" t="s">
        <v>1322</v>
      </c>
      <c r="B14" s="350" t="s">
        <v>1047</v>
      </c>
      <c r="C14" s="58" t="s">
        <v>1323</v>
      </c>
      <c r="D14" s="56" t="s">
        <v>63</v>
      </c>
      <c r="E14" s="359">
        <v>38</v>
      </c>
      <c r="F14" s="237"/>
      <c r="G14" s="764"/>
      <c r="H14" s="44">
        <f>'QTY115'!J34</f>
        <v>37.906000000000006</v>
      </c>
      <c r="J14" s="642" t="s">
        <v>1324</v>
      </c>
      <c r="L14" s="54"/>
    </row>
    <row r="15" spans="1:12" ht="28.5" customHeight="1" thickBot="1">
      <c r="A15" s="760"/>
      <c r="B15" s="896" t="s">
        <v>1325</v>
      </c>
      <c r="C15" s="897"/>
      <c r="D15" s="897"/>
      <c r="E15" s="897"/>
      <c r="F15" s="898"/>
      <c r="G15" s="761"/>
    </row>
  </sheetData>
  <mergeCells count="3">
    <mergeCell ref="A1:C1"/>
    <mergeCell ref="D1:G1"/>
    <mergeCell ref="B15:F15"/>
  </mergeCells>
  <printOptions horizontalCentered="1"/>
  <pageMargins left="0.75" right="0.4" top="0.75" bottom="0.5" header="0" footer="0"/>
  <pageSetup paperSize="9" scale="70" fitToHeight="0"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2FC5A-FB34-40A3-8E07-300A47F25FF9}">
  <sheetPr>
    <tabColor rgb="FFFF9933"/>
  </sheetPr>
  <dimension ref="A1:I27"/>
  <sheetViews>
    <sheetView view="pageBreakPreview" zoomScale="89" zoomScaleNormal="110" zoomScaleSheetLayoutView="89" workbookViewId="0">
      <pane ySplit="2" topLeftCell="A9" activePane="bottomLeft" state="frozen"/>
      <selection activeCell="E36" sqref="E36"/>
      <selection pane="bottomLeft" activeCell="H1" sqref="H1:H1048576"/>
    </sheetView>
  </sheetViews>
  <sheetFormatPr defaultColWidth="9.109375" defaultRowHeight="13.2"/>
  <cols>
    <col min="1" max="1" width="7.6640625" style="31" customWidth="1"/>
    <col min="2" max="2" width="9.6640625" style="31" customWidth="1"/>
    <col min="3" max="3" width="54" style="31" customWidth="1"/>
    <col min="4" max="4" width="7.6640625" style="31" customWidth="1"/>
    <col min="5" max="5" width="8.6640625" style="31" customWidth="1"/>
    <col min="6" max="6" width="17.77734375" style="31" customWidth="1"/>
    <col min="7" max="7" width="18.44140625" style="31" customWidth="1"/>
    <col min="8" max="8" width="11.44140625" style="59" hidden="1" customWidth="1"/>
    <col min="9" max="16384" width="9.109375" style="31"/>
  </cols>
  <sheetData>
    <row r="1" spans="1:8" s="27" customFormat="1" ht="70.2" customHeight="1" thickBot="1">
      <c r="A1" s="892" t="s">
        <v>1326</v>
      </c>
      <c r="B1" s="893"/>
      <c r="C1" s="893"/>
      <c r="D1" s="953" t="str">
        <f>+'Bill 9.1'!D1:G1</f>
        <v xml:space="preserve">BILL NO. 09- REDUCTION OF LANDSLIDE VULNERABILITY BY MITIGATION MEASURES
 AKKARA 50, GIKIYANAKANDA, IHALAKUDALIGAMA (Site No. 115) </v>
      </c>
      <c r="E1" s="953"/>
      <c r="F1" s="953"/>
      <c r="G1" s="954"/>
    </row>
    <row r="2" spans="1:8" ht="30.6" customHeight="1">
      <c r="A2" s="754" t="s">
        <v>11</v>
      </c>
      <c r="B2" s="28" t="s">
        <v>12</v>
      </c>
      <c r="C2" s="29" t="s">
        <v>8</v>
      </c>
      <c r="D2" s="28" t="s">
        <v>13</v>
      </c>
      <c r="E2" s="28" t="s">
        <v>14</v>
      </c>
      <c r="F2" s="30" t="s">
        <v>15</v>
      </c>
      <c r="G2" s="755" t="s">
        <v>16</v>
      </c>
    </row>
    <row r="3" spans="1:8" ht="29.4" customHeight="1">
      <c r="A3" s="766" t="s">
        <v>1327</v>
      </c>
      <c r="B3" s="60"/>
      <c r="C3" s="42" t="s">
        <v>210</v>
      </c>
      <c r="D3" s="61"/>
      <c r="E3" s="61"/>
      <c r="F3" s="61"/>
      <c r="G3" s="767"/>
    </row>
    <row r="4" spans="1:8" ht="29.4" customHeight="1">
      <c r="A4" s="758" t="s">
        <v>1328</v>
      </c>
      <c r="B4" s="62" t="s">
        <v>37</v>
      </c>
      <c r="C4" s="45" t="s">
        <v>38</v>
      </c>
      <c r="D4" s="33" t="s">
        <v>27</v>
      </c>
      <c r="E4" s="406">
        <v>3</v>
      </c>
      <c r="F4" s="35"/>
      <c r="G4" s="764"/>
      <c r="H4" s="59">
        <f>Drains115!I107</f>
        <v>2.7092500000000004</v>
      </c>
    </row>
    <row r="5" spans="1:8" ht="29.4" customHeight="1">
      <c r="A5" s="758" t="s">
        <v>1329</v>
      </c>
      <c r="B5" s="62" t="s">
        <v>39</v>
      </c>
      <c r="C5" s="45" t="s">
        <v>40</v>
      </c>
      <c r="D5" s="33" t="s">
        <v>27</v>
      </c>
      <c r="E5" s="406">
        <v>12</v>
      </c>
      <c r="F5" s="35"/>
      <c r="G5" s="764"/>
      <c r="H5" s="59">
        <f>Drains115!J107+Drains115!J108</f>
        <v>11.972731250000001</v>
      </c>
    </row>
    <row r="6" spans="1:8" ht="29.4" customHeight="1">
      <c r="A6" s="758" t="s">
        <v>1330</v>
      </c>
      <c r="B6" s="62" t="s">
        <v>41</v>
      </c>
      <c r="C6" s="45" t="s">
        <v>42</v>
      </c>
      <c r="D6" s="33" t="s">
        <v>43</v>
      </c>
      <c r="E6" s="406">
        <v>800</v>
      </c>
      <c r="F6" s="35"/>
      <c r="G6" s="764"/>
      <c r="H6" s="59">
        <f>Drains115!U108</f>
        <v>799.02160493827159</v>
      </c>
    </row>
    <row r="7" spans="1:8" ht="29.4" customHeight="1">
      <c r="A7" s="758" t="s">
        <v>1331</v>
      </c>
      <c r="B7" s="62" t="s">
        <v>44</v>
      </c>
      <c r="C7" s="45" t="s">
        <v>45</v>
      </c>
      <c r="D7" s="33" t="s">
        <v>20</v>
      </c>
      <c r="E7" s="406">
        <v>154</v>
      </c>
      <c r="F7" s="35"/>
      <c r="G7" s="764"/>
      <c r="H7" s="59">
        <f>Drains115!K107+Drains115!K108</f>
        <v>153.43849999999998</v>
      </c>
    </row>
    <row r="8" spans="1:8" ht="29.4" customHeight="1">
      <c r="A8" s="766" t="s">
        <v>1332</v>
      </c>
      <c r="B8" s="60"/>
      <c r="C8" s="42" t="s">
        <v>36</v>
      </c>
      <c r="D8" s="61"/>
      <c r="E8" s="61"/>
      <c r="F8" s="61"/>
      <c r="G8" s="767"/>
    </row>
    <row r="9" spans="1:8" ht="29.4" customHeight="1">
      <c r="A9" s="758" t="s">
        <v>1333</v>
      </c>
      <c r="B9" s="62" t="s">
        <v>37</v>
      </c>
      <c r="C9" s="45" t="s">
        <v>38</v>
      </c>
      <c r="D9" s="33" t="s">
        <v>27</v>
      </c>
      <c r="E9" s="406">
        <v>5</v>
      </c>
      <c r="F9" s="35"/>
      <c r="G9" s="764"/>
      <c r="H9" s="59">
        <f>Drains115!I110</f>
        <v>4.2285750000000011</v>
      </c>
    </row>
    <row r="10" spans="1:8" ht="29.4" customHeight="1">
      <c r="A10" s="758" t="s">
        <v>1334</v>
      </c>
      <c r="B10" s="62" t="s">
        <v>39</v>
      </c>
      <c r="C10" s="45" t="s">
        <v>40</v>
      </c>
      <c r="D10" s="33" t="s">
        <v>27</v>
      </c>
      <c r="E10" s="406">
        <v>21</v>
      </c>
      <c r="F10" s="35"/>
      <c r="G10" s="764"/>
      <c r="H10" s="59">
        <f>Drains115!J110+Drains115!J111</f>
        <v>20.259862500000008</v>
      </c>
    </row>
    <row r="11" spans="1:8" ht="29.4" customHeight="1">
      <c r="A11" s="758" t="s">
        <v>1335</v>
      </c>
      <c r="B11" s="62" t="s">
        <v>41</v>
      </c>
      <c r="C11" s="45" t="s">
        <v>42</v>
      </c>
      <c r="D11" s="33" t="s">
        <v>43</v>
      </c>
      <c r="E11" s="406">
        <v>1319</v>
      </c>
      <c r="F11" s="35"/>
      <c r="G11" s="764"/>
      <c r="H11" s="59">
        <f>Drains115!U111</f>
        <v>1318.456790123457</v>
      </c>
    </row>
    <row r="12" spans="1:8" ht="29.4" customHeight="1">
      <c r="A12" s="758" t="s">
        <v>1336</v>
      </c>
      <c r="B12" s="62" t="s">
        <v>44</v>
      </c>
      <c r="C12" s="45" t="s">
        <v>45</v>
      </c>
      <c r="D12" s="33" t="s">
        <v>20</v>
      </c>
      <c r="E12" s="406">
        <v>264</v>
      </c>
      <c r="F12" s="35"/>
      <c r="G12" s="764"/>
      <c r="H12" s="59">
        <f>Drains115!K110+Drains115!K111</f>
        <v>263.28900000000004</v>
      </c>
    </row>
    <row r="13" spans="1:8" ht="29.4" customHeight="1">
      <c r="A13" s="766" t="s">
        <v>1337</v>
      </c>
      <c r="B13" s="51"/>
      <c r="C13" s="42" t="s">
        <v>46</v>
      </c>
      <c r="D13" s="41"/>
      <c r="E13" s="41"/>
      <c r="F13" s="41"/>
      <c r="G13" s="765"/>
    </row>
    <row r="14" spans="1:8" ht="29.4" customHeight="1">
      <c r="A14" s="758" t="s">
        <v>1338</v>
      </c>
      <c r="B14" s="62" t="s">
        <v>37</v>
      </c>
      <c r="C14" s="45" t="s">
        <v>38</v>
      </c>
      <c r="D14" s="33" t="s">
        <v>27</v>
      </c>
      <c r="E14" s="406">
        <v>4</v>
      </c>
      <c r="F14" s="35"/>
      <c r="G14" s="764"/>
      <c r="H14" s="59">
        <f>Drains115!I113</f>
        <v>3.8592000000000009</v>
      </c>
    </row>
    <row r="15" spans="1:8" ht="29.4" customHeight="1">
      <c r="A15" s="758" t="s">
        <v>1339</v>
      </c>
      <c r="B15" s="62" t="s">
        <v>39</v>
      </c>
      <c r="C15" s="45" t="s">
        <v>40</v>
      </c>
      <c r="D15" s="33" t="s">
        <v>27</v>
      </c>
      <c r="E15" s="406">
        <v>20</v>
      </c>
      <c r="F15" s="35"/>
      <c r="G15" s="764"/>
      <c r="H15" s="59">
        <f>Drains115!J113+Drains115!J114</f>
        <v>19.388812500000004</v>
      </c>
    </row>
    <row r="16" spans="1:8" ht="29.4" customHeight="1">
      <c r="A16" s="758" t="s">
        <v>1340</v>
      </c>
      <c r="B16" s="62" t="s">
        <v>41</v>
      </c>
      <c r="C16" s="45" t="s">
        <v>42</v>
      </c>
      <c r="D16" s="33" t="s">
        <v>43</v>
      </c>
      <c r="E16" s="406">
        <v>1181</v>
      </c>
      <c r="F16" s="35"/>
      <c r="G16" s="764"/>
      <c r="H16" s="59">
        <f>Drains115!U114</f>
        <v>1180.3024691358025</v>
      </c>
    </row>
    <row r="17" spans="1:9" ht="29.4" customHeight="1">
      <c r="A17" s="758" t="s">
        <v>1341</v>
      </c>
      <c r="B17" s="62" t="s">
        <v>44</v>
      </c>
      <c r="C17" s="45" t="s">
        <v>45</v>
      </c>
      <c r="D17" s="33" t="s">
        <v>20</v>
      </c>
      <c r="E17" s="406">
        <v>254</v>
      </c>
      <c r="F17" s="35"/>
      <c r="G17" s="764"/>
      <c r="H17" s="59">
        <f>Drains115!K113+Drains115!K114</f>
        <v>253.91699999999997</v>
      </c>
    </row>
    <row r="18" spans="1:9" ht="30" customHeight="1">
      <c r="A18" s="766" t="s">
        <v>1342</v>
      </c>
      <c r="B18" s="60"/>
      <c r="C18" s="55" t="s">
        <v>47</v>
      </c>
      <c r="D18" s="41"/>
      <c r="E18" s="61"/>
      <c r="F18" s="61"/>
      <c r="G18" s="765"/>
    </row>
    <row r="19" spans="1:9" ht="30" customHeight="1">
      <c r="A19" s="758" t="s">
        <v>1343</v>
      </c>
      <c r="B19" s="62" t="s">
        <v>37</v>
      </c>
      <c r="C19" s="45" t="s">
        <v>38</v>
      </c>
      <c r="D19" s="33" t="s">
        <v>27</v>
      </c>
      <c r="E19" s="406">
        <v>5</v>
      </c>
      <c r="F19" s="35"/>
      <c r="G19" s="764"/>
      <c r="H19" s="59">
        <f>Drains115!I173</f>
        <v>4.5352000000000006</v>
      </c>
    </row>
    <row r="20" spans="1:9" ht="30" customHeight="1">
      <c r="A20" s="758" t="s">
        <v>1344</v>
      </c>
      <c r="B20" s="62" t="s">
        <v>39</v>
      </c>
      <c r="C20" s="45" t="s">
        <v>40</v>
      </c>
      <c r="D20" s="33" t="s">
        <v>27</v>
      </c>
      <c r="E20" s="406">
        <v>25</v>
      </c>
      <c r="F20" s="35"/>
      <c r="G20" s="764"/>
      <c r="H20" s="59">
        <f>Drains115!J173+Drains115!J174</f>
        <v>24.177530000000001</v>
      </c>
    </row>
    <row r="21" spans="1:9" ht="30" customHeight="1">
      <c r="A21" s="758" t="s">
        <v>1345</v>
      </c>
      <c r="B21" s="62" t="s">
        <v>41</v>
      </c>
      <c r="C21" s="45" t="s">
        <v>42</v>
      </c>
      <c r="D21" s="33" t="s">
        <v>43</v>
      </c>
      <c r="E21" s="406">
        <v>1333</v>
      </c>
      <c r="F21" s="35"/>
      <c r="G21" s="764"/>
      <c r="H21" s="59">
        <f>Drains115!S173</f>
        <v>1232.8734567901233</v>
      </c>
    </row>
    <row r="22" spans="1:9" ht="30" customHeight="1">
      <c r="A22" s="758" t="s">
        <v>1346</v>
      </c>
      <c r="B22" s="62" t="s">
        <v>44</v>
      </c>
      <c r="C22" s="45" t="s">
        <v>45</v>
      </c>
      <c r="D22" s="33" t="s">
        <v>20</v>
      </c>
      <c r="E22" s="406">
        <v>343</v>
      </c>
      <c r="F22" s="35"/>
      <c r="G22" s="764"/>
      <c r="H22" s="59">
        <f>Drains115!K173+Drains115!K174</f>
        <v>342.96799999999996</v>
      </c>
    </row>
    <row r="23" spans="1:9" s="65" customFormat="1" ht="27.75" customHeight="1">
      <c r="A23" s="766" t="s">
        <v>1347</v>
      </c>
      <c r="B23" s="46"/>
      <c r="C23" s="66" t="s">
        <v>1527</v>
      </c>
      <c r="D23" s="46"/>
      <c r="E23" s="359"/>
      <c r="F23" s="57"/>
      <c r="G23" s="367"/>
      <c r="H23" s="63"/>
      <c r="I23" s="64"/>
    </row>
    <row r="24" spans="1:9" s="65" customFormat="1" ht="31.95" customHeight="1">
      <c r="A24" s="768" t="s">
        <v>1348</v>
      </c>
      <c r="B24" s="46" t="s">
        <v>49</v>
      </c>
      <c r="C24" s="58" t="s">
        <v>221</v>
      </c>
      <c r="D24" s="46" t="s">
        <v>5</v>
      </c>
      <c r="E24" s="359">
        <v>115</v>
      </c>
      <c r="F24" s="57"/>
      <c r="G24" s="367"/>
      <c r="H24" s="63">
        <f>Drains115!E173+1</f>
        <v>114.38</v>
      </c>
      <c r="I24" s="64"/>
    </row>
    <row r="25" spans="1:9" s="65" customFormat="1" ht="31.95" customHeight="1">
      <c r="A25" s="770" t="s">
        <v>1349</v>
      </c>
      <c r="B25" s="350"/>
      <c r="C25" s="351" t="s">
        <v>465</v>
      </c>
      <c r="D25" s="46"/>
      <c r="E25" s="359"/>
      <c r="F25" s="57"/>
      <c r="G25" s="367"/>
      <c r="H25" s="63"/>
      <c r="I25" s="64"/>
    </row>
    <row r="26" spans="1:9" ht="58.5" customHeight="1">
      <c r="A26" s="758" t="s">
        <v>1350</v>
      </c>
      <c r="B26" s="33" t="s">
        <v>467</v>
      </c>
      <c r="C26" s="368" t="s">
        <v>1351</v>
      </c>
      <c r="D26" s="33" t="s">
        <v>5</v>
      </c>
      <c r="E26" s="406">
        <v>400</v>
      </c>
      <c r="F26" s="35"/>
      <c r="G26" s="764"/>
      <c r="H26" s="347">
        <f>'QTY115'!J118</f>
        <v>0</v>
      </c>
    </row>
    <row r="27" spans="1:9" ht="30" customHeight="1" thickBot="1">
      <c r="A27" s="760"/>
      <c r="B27" s="896" t="s">
        <v>1352</v>
      </c>
      <c r="C27" s="897"/>
      <c r="D27" s="897"/>
      <c r="E27" s="897"/>
      <c r="F27" s="898"/>
      <c r="G27" s="761"/>
    </row>
  </sheetData>
  <mergeCells count="3">
    <mergeCell ref="A1:C1"/>
    <mergeCell ref="D1:G1"/>
    <mergeCell ref="B27:F27"/>
  </mergeCells>
  <printOptions horizontalCentered="1"/>
  <pageMargins left="0.75" right="0.4" top="0.75" bottom="0.5" header="0" footer="0"/>
  <pageSetup paperSize="9" scale="70" fitToHeight="0"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E93D1-3265-4BE8-ACD2-7A825A968B6E}">
  <sheetPr>
    <tabColor rgb="FF00B050"/>
  </sheetPr>
  <dimension ref="A1:L112"/>
  <sheetViews>
    <sheetView view="pageBreakPreview" zoomScale="90" zoomScaleNormal="100" zoomScaleSheetLayoutView="90" workbookViewId="0">
      <pane ySplit="2" topLeftCell="A84" activePane="bottomLeft" state="frozen"/>
      <selection activeCell="F8" sqref="F8"/>
      <selection pane="bottomLeft" activeCell="F8" sqref="F8"/>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5" width="9.109375" style="68"/>
    <col min="16" max="16" width="11.109375" style="68" bestFit="1" customWidth="1"/>
    <col min="17" max="16384" width="9.109375" style="68"/>
  </cols>
  <sheetData>
    <row r="1" spans="1:12" ht="20.100000000000001" customHeight="1">
      <c r="A1" s="902" t="s">
        <v>1353</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08" t="s">
        <v>62</v>
      </c>
      <c r="B4" s="909"/>
      <c r="C4" s="909"/>
      <c r="D4" s="909"/>
      <c r="E4" s="909"/>
      <c r="F4" s="910"/>
      <c r="G4" s="73"/>
      <c r="H4" s="74"/>
      <c r="I4" s="73"/>
      <c r="J4" s="73"/>
    </row>
    <row r="5" spans="1:12" ht="15">
      <c r="A5" s="75" t="s">
        <v>1111</v>
      </c>
      <c r="B5" s="76"/>
      <c r="C5" s="77"/>
      <c r="D5" s="78"/>
      <c r="E5" s="77"/>
      <c r="F5" s="76"/>
      <c r="G5" s="77"/>
      <c r="H5" s="77"/>
      <c r="I5" s="77"/>
      <c r="J5" s="79"/>
      <c r="L5" s="80"/>
    </row>
    <row r="6" spans="1:12" ht="15">
      <c r="A6" s="87"/>
      <c r="B6" s="88">
        <v>17.23</v>
      </c>
      <c r="C6" s="82">
        <v>3</v>
      </c>
      <c r="D6" s="78"/>
      <c r="E6" s="77"/>
      <c r="F6" s="76">
        <f>PRODUCT(B6:E6)</f>
        <v>51.69</v>
      </c>
      <c r="G6" s="79">
        <f>F6</f>
        <v>51.69</v>
      </c>
      <c r="H6" s="77" t="s">
        <v>487</v>
      </c>
      <c r="I6" s="79">
        <f>G6*1.1</f>
        <v>56.859000000000002</v>
      </c>
      <c r="J6" s="103">
        <f>I6</f>
        <v>56.859000000000002</v>
      </c>
      <c r="L6" s="80"/>
    </row>
    <row r="7" spans="1:12" ht="15">
      <c r="A7" s="87"/>
      <c r="B7" s="88"/>
      <c r="C7" s="76"/>
      <c r="D7" s="78"/>
      <c r="E7" s="77"/>
      <c r="F7" s="88"/>
      <c r="G7" s="102"/>
      <c r="H7" s="77"/>
      <c r="I7" s="79"/>
      <c r="J7" s="79"/>
      <c r="L7" s="80"/>
    </row>
    <row r="8" spans="1:12" ht="15">
      <c r="A8" s="87"/>
      <c r="B8" s="88"/>
      <c r="C8" s="76"/>
      <c r="D8" s="78"/>
      <c r="E8" s="77"/>
      <c r="F8" s="76"/>
      <c r="G8" s="77"/>
      <c r="H8" s="77"/>
      <c r="I8" s="79"/>
      <c r="J8" s="79"/>
      <c r="L8" s="80"/>
    </row>
    <row r="9" spans="1:12" ht="15">
      <c r="A9" s="84"/>
      <c r="B9" s="76"/>
      <c r="C9" s="76"/>
      <c r="D9" s="78"/>
      <c r="E9" s="77"/>
      <c r="F9" s="76"/>
      <c r="G9" s="77"/>
      <c r="H9" s="77"/>
      <c r="I9" s="79"/>
      <c r="J9" s="101"/>
      <c r="L9" s="80"/>
    </row>
    <row r="10" spans="1:12" ht="15">
      <c r="A10" s="87"/>
      <c r="B10" s="88"/>
      <c r="C10" s="89"/>
      <c r="D10" s="90"/>
      <c r="E10" s="91"/>
      <c r="F10" s="88"/>
      <c r="G10" s="91"/>
      <c r="H10" s="91"/>
      <c r="I10" s="92"/>
      <c r="J10" s="93"/>
    </row>
    <row r="11" spans="1:12" ht="15">
      <c r="A11" s="905" t="s">
        <v>64</v>
      </c>
      <c r="B11" s="906"/>
      <c r="C11" s="906"/>
      <c r="D11" s="906"/>
      <c r="E11" s="906"/>
      <c r="F11" s="906"/>
      <c r="G11" s="906"/>
      <c r="H11" s="906"/>
      <c r="I11" s="906"/>
      <c r="J11" s="907"/>
    </row>
    <row r="12" spans="1:12" ht="15">
      <c r="A12" s="911" t="s">
        <v>65</v>
      </c>
      <c r="B12" s="912"/>
      <c r="C12" s="912"/>
      <c r="D12" s="912"/>
      <c r="E12" s="912"/>
      <c r="F12" s="913"/>
      <c r="G12" s="73"/>
      <c r="H12" s="74"/>
      <c r="I12" s="74"/>
      <c r="J12" s="73"/>
      <c r="K12" s="94"/>
    </row>
    <row r="13" spans="1:12" ht="15">
      <c r="A13" s="911" t="s">
        <v>66</v>
      </c>
      <c r="B13" s="912"/>
      <c r="C13" s="912"/>
      <c r="D13" s="912"/>
      <c r="E13" s="912"/>
      <c r="F13" s="913"/>
      <c r="G13" s="73"/>
      <c r="H13" s="74"/>
      <c r="I13" s="73"/>
      <c r="J13" s="73"/>
      <c r="L13" s="80"/>
    </row>
    <row r="14" spans="1:12" ht="15">
      <c r="A14" s="911" t="s">
        <v>67</v>
      </c>
      <c r="B14" s="912"/>
      <c r="C14" s="912"/>
      <c r="D14" s="912"/>
      <c r="E14" s="912"/>
      <c r="F14" s="913"/>
      <c r="G14" s="95"/>
      <c r="H14" s="96"/>
      <c r="I14" s="95"/>
      <c r="J14" s="95"/>
      <c r="L14" s="80"/>
    </row>
    <row r="15" spans="1:12" ht="15">
      <c r="A15" s="84" t="s">
        <v>68</v>
      </c>
      <c r="B15" s="76"/>
      <c r="C15" s="76"/>
      <c r="D15" s="78"/>
      <c r="E15" s="77"/>
      <c r="F15" s="76"/>
      <c r="G15" s="77"/>
      <c r="H15" s="77"/>
      <c r="I15" s="79"/>
      <c r="J15" s="79"/>
      <c r="L15" s="80"/>
    </row>
    <row r="16" spans="1:12" ht="15">
      <c r="A16" s="87"/>
      <c r="B16" s="88"/>
      <c r="C16" s="76"/>
      <c r="D16" s="78"/>
      <c r="E16" s="77"/>
      <c r="F16" s="76"/>
      <c r="G16" s="77"/>
      <c r="H16" s="77"/>
      <c r="I16" s="79"/>
      <c r="J16" s="79"/>
      <c r="L16" s="80"/>
    </row>
    <row r="17" spans="1:12" ht="15">
      <c r="A17" s="87"/>
      <c r="B17" s="88"/>
      <c r="C17" s="76"/>
      <c r="D17" s="78"/>
      <c r="E17" s="77"/>
      <c r="F17" s="76"/>
      <c r="G17" s="77"/>
      <c r="H17" s="77"/>
      <c r="I17" s="79"/>
      <c r="J17" s="79"/>
      <c r="L17" s="80"/>
    </row>
    <row r="18" spans="1:12" ht="15">
      <c r="A18" s="87"/>
      <c r="B18" s="88"/>
      <c r="C18" s="76"/>
      <c r="D18" s="78"/>
      <c r="E18" s="77"/>
      <c r="F18" s="76"/>
      <c r="G18" s="77"/>
      <c r="H18" s="77"/>
      <c r="I18" s="79"/>
      <c r="J18" s="79"/>
      <c r="L18" s="80"/>
    </row>
    <row r="19" spans="1:12" ht="15">
      <c r="A19" s="84"/>
      <c r="B19" s="76"/>
      <c r="C19" s="76"/>
      <c r="D19" s="78"/>
      <c r="E19" s="77"/>
      <c r="F19" s="76"/>
      <c r="G19" s="77"/>
      <c r="H19" s="77"/>
      <c r="I19" s="79"/>
      <c r="J19" s="101"/>
    </row>
    <row r="20" spans="1:12" ht="15">
      <c r="A20" s="84"/>
      <c r="B20" s="76"/>
      <c r="C20" s="76"/>
      <c r="D20" s="78"/>
      <c r="E20" s="77"/>
      <c r="F20" s="76"/>
      <c r="G20" s="77"/>
      <c r="H20" s="77"/>
      <c r="I20" s="79"/>
      <c r="J20" s="101"/>
    </row>
    <row r="21" spans="1:12" ht="15">
      <c r="A21" s="84"/>
      <c r="B21" s="76"/>
      <c r="C21" s="76"/>
      <c r="D21" s="78"/>
      <c r="E21" s="77"/>
      <c r="F21" s="76"/>
      <c r="G21" s="77"/>
      <c r="H21" s="77"/>
      <c r="I21" s="79"/>
      <c r="J21" s="79"/>
    </row>
    <row r="22" spans="1:12" ht="15">
      <c r="A22" s="911" t="s">
        <v>69</v>
      </c>
      <c r="B22" s="912"/>
      <c r="C22" s="912"/>
      <c r="D22" s="912"/>
      <c r="E22" s="912"/>
      <c r="F22" s="913"/>
      <c r="G22" s="97"/>
      <c r="H22" s="74"/>
      <c r="I22" s="73"/>
      <c r="J22" s="73"/>
      <c r="K22" s="80"/>
      <c r="L22" s="80"/>
    </row>
    <row r="23" spans="1:12" ht="15">
      <c r="A23" s="911" t="s">
        <v>70</v>
      </c>
      <c r="B23" s="912"/>
      <c r="C23" s="912"/>
      <c r="D23" s="912"/>
      <c r="E23" s="912"/>
      <c r="F23" s="913"/>
      <c r="G23" s="97"/>
      <c r="H23" s="74"/>
      <c r="I23" s="73"/>
      <c r="J23" s="73"/>
      <c r="K23" s="80"/>
      <c r="L23" s="80"/>
    </row>
    <row r="24" spans="1:12" ht="15">
      <c r="A24" s="911" t="s">
        <v>71</v>
      </c>
      <c r="B24" s="912"/>
      <c r="C24" s="912"/>
      <c r="D24" s="912"/>
      <c r="E24" s="912"/>
      <c r="F24" s="913"/>
      <c r="G24" s="95"/>
      <c r="H24" s="96"/>
      <c r="I24" s="95"/>
      <c r="J24" s="95"/>
      <c r="K24" s="80"/>
      <c r="L24" s="80"/>
    </row>
    <row r="25" spans="1:12" ht="15">
      <c r="A25" s="98"/>
      <c r="B25" s="82"/>
      <c r="C25" s="99"/>
      <c r="D25" s="99"/>
      <c r="E25" s="100"/>
      <c r="F25" s="82"/>
      <c r="G25" s="100"/>
      <c r="H25" s="100"/>
      <c r="I25" s="79"/>
      <c r="J25" s="101"/>
      <c r="K25" s="80"/>
      <c r="L25" s="80"/>
    </row>
    <row r="26" spans="1:12" ht="15">
      <c r="A26" s="87"/>
      <c r="B26" s="88"/>
      <c r="C26" s="90"/>
      <c r="D26" s="90"/>
      <c r="E26" s="91"/>
      <c r="F26" s="88"/>
      <c r="G26" s="102"/>
      <c r="H26" s="77"/>
      <c r="I26" s="79"/>
      <c r="J26" s="79"/>
      <c r="K26" s="80"/>
      <c r="L26" s="80"/>
    </row>
    <row r="27" spans="1:12" ht="15">
      <c r="A27" s="87"/>
      <c r="B27" s="88"/>
      <c r="C27" s="90"/>
      <c r="D27" s="90"/>
      <c r="E27" s="91"/>
      <c r="F27" s="88"/>
      <c r="G27" s="102"/>
      <c r="H27" s="77"/>
      <c r="I27" s="79"/>
      <c r="J27" s="79"/>
      <c r="K27" s="80"/>
      <c r="L27" s="80"/>
    </row>
    <row r="28" spans="1:12" ht="15">
      <c r="A28" s="87"/>
      <c r="B28" s="88"/>
      <c r="C28" s="90"/>
      <c r="D28" s="90"/>
      <c r="E28" s="91"/>
      <c r="F28" s="88"/>
      <c r="G28" s="102"/>
      <c r="H28" s="77"/>
      <c r="I28" s="79"/>
      <c r="J28" s="79"/>
      <c r="K28" s="80"/>
      <c r="L28" s="80"/>
    </row>
    <row r="29" spans="1:12" ht="15">
      <c r="A29" s="87"/>
      <c r="B29" s="88"/>
      <c r="C29" s="90"/>
      <c r="D29" s="90"/>
      <c r="E29" s="91"/>
      <c r="F29" s="88"/>
      <c r="G29" s="91"/>
      <c r="H29" s="91"/>
      <c r="I29" s="79"/>
      <c r="J29" s="101"/>
      <c r="K29" s="80"/>
      <c r="L29" s="80"/>
    </row>
    <row r="30" spans="1:12" ht="15">
      <c r="A30" s="87"/>
      <c r="B30" s="88"/>
      <c r="C30" s="90"/>
      <c r="D30" s="90"/>
      <c r="E30" s="91"/>
      <c r="F30" s="88"/>
      <c r="G30" s="91"/>
      <c r="H30" s="91"/>
      <c r="I30" s="79"/>
      <c r="J30" s="101"/>
      <c r="K30" s="80"/>
      <c r="L30" s="80"/>
    </row>
    <row r="31" spans="1:12" ht="15">
      <c r="A31" s="914" t="s">
        <v>72</v>
      </c>
      <c r="B31" s="915"/>
      <c r="C31" s="915"/>
      <c r="D31" s="915"/>
      <c r="E31" s="915"/>
      <c r="F31" s="915"/>
      <c r="G31" s="915"/>
      <c r="H31" s="915"/>
      <c r="I31" s="915"/>
      <c r="J31" s="916"/>
      <c r="K31" s="80"/>
      <c r="L31" s="80"/>
    </row>
    <row r="32" spans="1:12" ht="15">
      <c r="A32" s="98"/>
      <c r="B32" s="76"/>
      <c r="C32" s="78"/>
      <c r="D32" s="78"/>
      <c r="E32" s="77"/>
      <c r="F32" s="76"/>
      <c r="G32" s="77"/>
      <c r="H32" s="77"/>
      <c r="I32" s="79"/>
      <c r="J32" s="79"/>
      <c r="K32" s="80"/>
      <c r="L32" s="80"/>
    </row>
    <row r="33" spans="1:12" ht="15">
      <c r="A33" s="87" t="s">
        <v>1111</v>
      </c>
      <c r="B33" s="88"/>
      <c r="C33" s="78"/>
      <c r="D33" s="78"/>
      <c r="E33" s="77"/>
      <c r="F33" s="88"/>
      <c r="G33" s="102"/>
      <c r="H33" s="77"/>
      <c r="I33" s="79"/>
      <c r="J33" s="79"/>
      <c r="K33" s="80"/>
      <c r="L33" s="80"/>
    </row>
    <row r="34" spans="1:12" ht="15">
      <c r="A34" s="87"/>
      <c r="B34" s="88">
        <f>B6</f>
        <v>17.23</v>
      </c>
      <c r="C34" s="78">
        <v>1</v>
      </c>
      <c r="D34" s="78">
        <v>2</v>
      </c>
      <c r="E34" s="77"/>
      <c r="F34" s="76">
        <f>PRODUCT(B34:E34)</f>
        <v>34.46</v>
      </c>
      <c r="G34" s="79">
        <f>F34</f>
        <v>34.46</v>
      </c>
      <c r="H34" s="77" t="s">
        <v>487</v>
      </c>
      <c r="I34" s="79">
        <f>G34*1.1</f>
        <v>37.906000000000006</v>
      </c>
      <c r="J34" s="103">
        <f>I34</f>
        <v>37.906000000000006</v>
      </c>
      <c r="K34" s="80"/>
      <c r="L34" s="80"/>
    </row>
    <row r="35" spans="1:12" ht="15">
      <c r="A35" s="87"/>
      <c r="B35" s="88"/>
      <c r="C35" s="78"/>
      <c r="D35" s="78"/>
      <c r="E35" s="77"/>
      <c r="F35" s="88"/>
      <c r="G35" s="102"/>
      <c r="H35" s="77"/>
      <c r="I35" s="79"/>
      <c r="J35" s="79"/>
      <c r="K35" s="80"/>
      <c r="L35" s="80"/>
    </row>
    <row r="36" spans="1:12" ht="15">
      <c r="A36" s="84"/>
      <c r="B36" s="76"/>
      <c r="C36" s="78"/>
      <c r="D36" s="78"/>
      <c r="E36" s="77"/>
      <c r="F36" s="88"/>
      <c r="G36" s="91"/>
      <c r="H36" s="91"/>
      <c r="I36" s="79"/>
      <c r="J36" s="101"/>
      <c r="K36" s="80"/>
      <c r="L36" s="80"/>
    </row>
    <row r="37" spans="1:12" ht="15">
      <c r="A37" s="84"/>
      <c r="B37" s="76"/>
      <c r="C37" s="78"/>
      <c r="D37" s="78"/>
      <c r="E37" s="77"/>
      <c r="F37" s="76"/>
      <c r="G37" s="77"/>
      <c r="H37" s="77"/>
      <c r="I37" s="79"/>
      <c r="J37" s="79"/>
      <c r="K37" s="80"/>
      <c r="L37" s="80"/>
    </row>
    <row r="38" spans="1:12" ht="15">
      <c r="A38" s="899"/>
      <c r="B38" s="900"/>
      <c r="C38" s="900"/>
      <c r="D38" s="900"/>
      <c r="E38" s="900"/>
      <c r="F38" s="900"/>
      <c r="G38" s="900"/>
      <c r="H38" s="900"/>
      <c r="I38" s="900"/>
      <c r="J38" s="901"/>
      <c r="L38" s="80"/>
    </row>
    <row r="39" spans="1:12" ht="15">
      <c r="A39" s="917" t="s">
        <v>73</v>
      </c>
      <c r="B39" s="918"/>
      <c r="C39" s="918"/>
      <c r="D39" s="918"/>
      <c r="E39" s="918"/>
      <c r="F39" s="918"/>
      <c r="G39" s="918"/>
      <c r="H39" s="918"/>
      <c r="I39" s="918"/>
      <c r="J39" s="919"/>
      <c r="L39" s="80"/>
    </row>
    <row r="40" spans="1:12" ht="15">
      <c r="A40" s="920" t="s">
        <v>74</v>
      </c>
      <c r="B40" s="921"/>
      <c r="C40" s="921"/>
      <c r="D40" s="921"/>
      <c r="E40" s="921"/>
      <c r="F40" s="922"/>
      <c r="G40" s="73"/>
      <c r="H40" s="74"/>
      <c r="I40" s="73"/>
      <c r="J40" s="73"/>
    </row>
    <row r="41" spans="1:12" ht="15">
      <c r="A41" s="75"/>
      <c r="B41" s="82"/>
      <c r="C41" s="99"/>
      <c r="D41" s="104"/>
      <c r="E41" s="105"/>
      <c r="F41" s="82"/>
      <c r="G41" s="106"/>
      <c r="H41" s="100"/>
      <c r="I41" s="79"/>
      <c r="J41" s="101"/>
      <c r="L41" s="107"/>
    </row>
    <row r="42" spans="1:12" s="71" customFormat="1" ht="30" customHeight="1">
      <c r="A42" s="87"/>
      <c r="B42" s="108"/>
      <c r="C42" s="109"/>
      <c r="D42" s="104"/>
      <c r="E42" s="105"/>
      <c r="F42" s="110"/>
      <c r="G42" s="111"/>
      <c r="H42" s="77"/>
      <c r="I42" s="112"/>
      <c r="J42" s="112"/>
    </row>
    <row r="43" spans="1:12" ht="15">
      <c r="A43" s="920" t="s">
        <v>75</v>
      </c>
      <c r="B43" s="921"/>
      <c r="C43" s="921"/>
      <c r="D43" s="921"/>
      <c r="E43" s="921"/>
      <c r="F43" s="922"/>
      <c r="G43" s="73"/>
      <c r="H43" s="74"/>
      <c r="I43" s="73"/>
      <c r="J43" s="73"/>
    </row>
    <row r="44" spans="1:12" ht="15">
      <c r="A44" s="917" t="s">
        <v>76</v>
      </c>
      <c r="B44" s="918"/>
      <c r="C44" s="918"/>
      <c r="D44" s="918"/>
      <c r="E44" s="918"/>
      <c r="F44" s="918"/>
      <c r="G44" s="918"/>
      <c r="H44" s="918"/>
      <c r="I44" s="918"/>
      <c r="J44" s="919"/>
      <c r="L44" s="80"/>
    </row>
    <row r="45" spans="1:12" ht="15">
      <c r="A45" s="98"/>
      <c r="B45" s="76"/>
      <c r="C45" s="78"/>
      <c r="D45" s="78"/>
      <c r="E45" s="77"/>
      <c r="F45" s="76"/>
      <c r="G45" s="77"/>
      <c r="H45" s="77"/>
      <c r="I45" s="79"/>
      <c r="J45" s="79"/>
      <c r="L45" s="80"/>
    </row>
    <row r="46" spans="1:12" ht="15">
      <c r="A46" s="87"/>
      <c r="B46" s="88"/>
      <c r="C46" s="78"/>
      <c r="D46" s="78"/>
      <c r="E46" s="77"/>
      <c r="F46" s="88"/>
      <c r="G46" s="102"/>
      <c r="H46" s="77"/>
      <c r="I46" s="79"/>
      <c r="J46" s="101"/>
      <c r="L46" s="80"/>
    </row>
    <row r="47" spans="1:12" ht="15">
      <c r="A47" s="87"/>
      <c r="B47" s="88"/>
      <c r="C47" s="78"/>
      <c r="D47" s="78"/>
      <c r="E47" s="77"/>
      <c r="F47" s="88"/>
      <c r="G47" s="102"/>
      <c r="H47" s="77"/>
      <c r="I47" s="79"/>
      <c r="J47" s="101"/>
      <c r="L47" s="80"/>
    </row>
    <row r="48" spans="1:12" ht="15">
      <c r="A48" s="87"/>
      <c r="B48" s="88"/>
      <c r="C48" s="78"/>
      <c r="D48" s="78"/>
      <c r="E48" s="77"/>
      <c r="F48" s="88"/>
      <c r="G48" s="102"/>
      <c r="H48" s="77"/>
      <c r="I48" s="79"/>
      <c r="J48" s="101"/>
      <c r="L48" s="80"/>
    </row>
    <row r="49" spans="1:12" ht="15">
      <c r="A49" s="87"/>
      <c r="B49" s="88"/>
      <c r="C49" s="78"/>
      <c r="D49" s="78"/>
      <c r="E49" s="77"/>
      <c r="F49" s="88"/>
      <c r="G49" s="102"/>
      <c r="H49" s="77"/>
      <c r="I49" s="79"/>
      <c r="J49" s="79"/>
      <c r="L49" s="80"/>
    </row>
    <row r="50" spans="1:12" ht="15">
      <c r="A50" s="87"/>
      <c r="B50" s="88"/>
      <c r="C50" s="78"/>
      <c r="D50" s="78"/>
      <c r="E50" s="77"/>
      <c r="F50" s="88"/>
      <c r="G50" s="102"/>
      <c r="H50" s="77"/>
      <c r="I50" s="79"/>
      <c r="J50" s="79"/>
      <c r="L50" s="80"/>
    </row>
    <row r="51" spans="1:12" ht="30">
      <c r="A51" s="114"/>
      <c r="B51" s="115" t="s">
        <v>78</v>
      </c>
      <c r="C51" s="115" t="s">
        <v>55</v>
      </c>
      <c r="D51" s="115" t="s">
        <v>1</v>
      </c>
      <c r="E51" s="116" t="s">
        <v>79</v>
      </c>
      <c r="F51" s="115" t="s">
        <v>80</v>
      </c>
      <c r="G51" s="115"/>
      <c r="H51" s="115"/>
      <c r="I51" s="115"/>
      <c r="J51" s="115"/>
      <c r="L51" s="107"/>
    </row>
    <row r="52" spans="1:12" ht="15">
      <c r="A52" s="920" t="s">
        <v>81</v>
      </c>
      <c r="B52" s="921"/>
      <c r="C52" s="921"/>
      <c r="D52" s="921"/>
      <c r="E52" s="921"/>
      <c r="F52" s="922"/>
      <c r="G52" s="73"/>
      <c r="H52" s="74"/>
      <c r="I52" s="73"/>
      <c r="J52" s="73"/>
    </row>
    <row r="53" spans="1:12" ht="15">
      <c r="A53" s="117"/>
      <c r="B53" s="99"/>
      <c r="C53" s="100"/>
      <c r="D53" s="99"/>
      <c r="E53" s="100"/>
      <c r="F53" s="82"/>
      <c r="G53" s="104"/>
      <c r="H53" s="100"/>
      <c r="I53" s="104"/>
      <c r="J53" s="93"/>
      <c r="L53" s="107"/>
    </row>
    <row r="54" spans="1:12" ht="15">
      <c r="A54" s="117"/>
      <c r="B54" s="99"/>
      <c r="C54" s="100"/>
      <c r="D54" s="99"/>
      <c r="E54" s="100"/>
      <c r="F54" s="82"/>
      <c r="G54" s="104"/>
      <c r="H54" s="100"/>
      <c r="I54" s="104"/>
      <c r="J54" s="93"/>
      <c r="L54" s="107"/>
    </row>
    <row r="55" spans="1:12" ht="15">
      <c r="A55" s="920" t="s">
        <v>82</v>
      </c>
      <c r="B55" s="921"/>
      <c r="C55" s="921"/>
      <c r="D55" s="921"/>
      <c r="E55" s="921"/>
      <c r="F55" s="922"/>
      <c r="G55" s="73"/>
      <c r="H55" s="74"/>
      <c r="I55" s="73"/>
      <c r="J55" s="73"/>
    </row>
    <row r="56" spans="1:12" ht="15">
      <c r="A56" s="75"/>
      <c r="B56" s="82"/>
      <c r="C56" s="100"/>
      <c r="D56" s="99"/>
      <c r="E56" s="100"/>
      <c r="F56" s="82"/>
      <c r="G56" s="92"/>
      <c r="H56" s="100"/>
      <c r="I56" s="92"/>
      <c r="J56" s="93"/>
      <c r="L56" s="80"/>
    </row>
    <row r="57" spans="1:12" ht="15">
      <c r="A57" s="75"/>
      <c r="B57" s="82"/>
      <c r="C57" s="100"/>
      <c r="D57" s="99"/>
      <c r="E57" s="100"/>
      <c r="F57" s="82"/>
      <c r="G57" s="92"/>
      <c r="H57" s="100"/>
      <c r="I57" s="92"/>
      <c r="J57" s="93"/>
      <c r="L57" s="80"/>
    </row>
    <row r="58" spans="1:12" ht="24.9" customHeight="1">
      <c r="A58" s="920" t="s">
        <v>83</v>
      </c>
      <c r="B58" s="921"/>
      <c r="C58" s="921"/>
      <c r="D58" s="921"/>
      <c r="E58" s="921"/>
      <c r="F58" s="922"/>
      <c r="G58" s="73"/>
      <c r="H58" s="74"/>
      <c r="I58" s="73"/>
      <c r="J58" s="73"/>
    </row>
    <row r="59" spans="1:12" ht="15">
      <c r="A59" s="75"/>
      <c r="B59" s="118"/>
      <c r="C59" s="104"/>
      <c r="D59" s="104"/>
      <c r="E59" s="118"/>
      <c r="F59" s="82"/>
      <c r="G59" s="100"/>
      <c r="H59" s="100"/>
      <c r="I59" s="92"/>
      <c r="J59" s="101"/>
    </row>
    <row r="60" spans="1:12" ht="15">
      <c r="A60" s="75"/>
      <c r="B60" s="118"/>
      <c r="C60" s="104"/>
      <c r="D60" s="104"/>
      <c r="E60" s="118"/>
      <c r="F60" s="82"/>
      <c r="G60" s="100"/>
      <c r="H60" s="100"/>
      <c r="I60" s="92"/>
      <c r="J60" s="101"/>
      <c r="L60" s="80"/>
    </row>
    <row r="61" spans="1:12" ht="15">
      <c r="A61" s="917" t="s">
        <v>84</v>
      </c>
      <c r="B61" s="918"/>
      <c r="C61" s="918"/>
      <c r="D61" s="918"/>
      <c r="E61" s="918"/>
      <c r="F61" s="918"/>
      <c r="G61" s="918"/>
      <c r="H61" s="918"/>
      <c r="I61" s="918"/>
      <c r="J61" s="919"/>
      <c r="L61" s="107"/>
    </row>
    <row r="62" spans="1:12" ht="24.9" customHeight="1">
      <c r="A62" s="920"/>
      <c r="B62" s="921"/>
      <c r="C62" s="921"/>
      <c r="D62" s="921"/>
      <c r="E62" s="921"/>
      <c r="F62" s="922"/>
      <c r="G62" s="73"/>
      <c r="H62" s="74"/>
      <c r="I62" s="73"/>
      <c r="J62" s="73"/>
    </row>
    <row r="63" spans="1:12" ht="15">
      <c r="A63" s="75"/>
      <c r="B63" s="118"/>
      <c r="C63" s="100"/>
      <c r="D63" s="99"/>
      <c r="E63" s="100"/>
      <c r="F63" s="82"/>
      <c r="G63" s="100"/>
      <c r="H63" s="100"/>
      <c r="I63" s="92"/>
      <c r="J63" s="79"/>
      <c r="L63" s="80"/>
    </row>
    <row r="64" spans="1:12" ht="15">
      <c r="A64" s="119"/>
      <c r="B64" s="120"/>
      <c r="C64" s="121"/>
      <c r="D64" s="122"/>
      <c r="E64" s="121"/>
      <c r="F64" s="123"/>
      <c r="G64" s="121"/>
      <c r="H64" s="121"/>
      <c r="I64" s="124"/>
      <c r="J64" s="124"/>
      <c r="L64" s="80"/>
    </row>
    <row r="65" spans="1:12" ht="15">
      <c r="A65" s="923" t="s">
        <v>85</v>
      </c>
      <c r="B65" s="924"/>
      <c r="C65" s="924"/>
      <c r="D65" s="924"/>
      <c r="E65" s="924"/>
      <c r="F65" s="924"/>
      <c r="G65" s="924"/>
      <c r="H65" s="924"/>
      <c r="I65" s="924"/>
      <c r="J65" s="925"/>
      <c r="L65" s="80"/>
    </row>
    <row r="66" spans="1:12" ht="15">
      <c r="A66" s="914" t="s">
        <v>86</v>
      </c>
      <c r="B66" s="915"/>
      <c r="C66" s="915"/>
      <c r="D66" s="915"/>
      <c r="E66" s="915"/>
      <c r="F66" s="915"/>
      <c r="G66" s="915"/>
      <c r="H66" s="915"/>
      <c r="I66" s="125"/>
      <c r="J66" s="255"/>
      <c r="L66" s="80"/>
    </row>
    <row r="67" spans="1:12" ht="15">
      <c r="A67" s="371" t="s">
        <v>87</v>
      </c>
      <c r="B67" s="82"/>
      <c r="C67" s="91"/>
      <c r="D67" s="78"/>
      <c r="E67" s="77"/>
      <c r="F67" s="76"/>
      <c r="G67" s="77"/>
      <c r="H67" s="77"/>
      <c r="I67" s="79"/>
      <c r="J67" s="101"/>
      <c r="L67" s="80"/>
    </row>
    <row r="68" spans="1:12" ht="15">
      <c r="A68" s="84"/>
      <c r="B68" s="82"/>
      <c r="C68" s="91"/>
      <c r="D68" s="78"/>
      <c r="E68" s="77"/>
      <c r="F68" s="76"/>
      <c r="G68" s="77"/>
      <c r="H68" s="77"/>
      <c r="I68" s="79"/>
      <c r="J68" s="79"/>
      <c r="L68" s="80"/>
    </row>
    <row r="69" spans="1:12" ht="15">
      <c r="A69" s="84"/>
      <c r="B69" s="82"/>
      <c r="C69" s="91"/>
      <c r="D69" s="78"/>
      <c r="E69" s="77"/>
      <c r="F69" s="76"/>
      <c r="G69" s="77"/>
      <c r="H69" s="77"/>
      <c r="I69" s="79"/>
      <c r="J69" s="79"/>
      <c r="L69" s="80"/>
    </row>
    <row r="70" spans="1:12" ht="15">
      <c r="A70" s="84"/>
      <c r="B70" s="82"/>
      <c r="C70" s="91"/>
      <c r="D70" s="78"/>
      <c r="E70" s="77"/>
      <c r="F70" s="76"/>
      <c r="G70" s="77"/>
      <c r="H70" s="77"/>
      <c r="I70" s="79"/>
      <c r="J70" s="79"/>
      <c r="L70" s="80"/>
    </row>
    <row r="71" spans="1:12" ht="15">
      <c r="A71" s="371"/>
      <c r="B71" s="82"/>
      <c r="C71" s="91"/>
      <c r="D71" s="78"/>
      <c r="E71" s="77"/>
      <c r="F71" s="76"/>
      <c r="G71" s="77"/>
      <c r="H71" s="77"/>
      <c r="I71" s="79"/>
      <c r="J71" s="101"/>
      <c r="L71" s="80"/>
    </row>
    <row r="72" spans="1:12" ht="15">
      <c r="A72" s="84"/>
      <c r="B72" s="82"/>
      <c r="C72" s="91"/>
      <c r="D72" s="99"/>
      <c r="E72" s="100"/>
      <c r="F72" s="82"/>
      <c r="G72" s="100"/>
      <c r="H72" s="100"/>
      <c r="I72" s="79"/>
      <c r="J72" s="79"/>
      <c r="L72" s="80"/>
    </row>
    <row r="73" spans="1:12" ht="15">
      <c r="A73" s="371" t="s">
        <v>88</v>
      </c>
      <c r="B73" s="88"/>
      <c r="C73" s="91"/>
      <c r="D73" s="90"/>
      <c r="E73" s="91"/>
      <c r="F73" s="82"/>
      <c r="G73" s="91"/>
      <c r="H73" s="91"/>
      <c r="I73" s="79"/>
      <c r="J73" s="79"/>
      <c r="L73" s="80"/>
    </row>
    <row r="74" spans="1:12" ht="15">
      <c r="A74" s="84"/>
      <c r="B74" s="88"/>
      <c r="C74" s="91"/>
      <c r="D74" s="90"/>
      <c r="E74" s="91"/>
      <c r="F74" s="88"/>
      <c r="G74" s="91"/>
      <c r="H74" s="129"/>
      <c r="I74" s="79"/>
      <c r="J74" s="79"/>
      <c r="L74" s="80"/>
    </row>
    <row r="75" spans="1:12" ht="15">
      <c r="A75" s="84" t="s">
        <v>89</v>
      </c>
      <c r="B75" s="88"/>
      <c r="C75" s="91"/>
      <c r="D75" s="90"/>
      <c r="E75" s="91"/>
      <c r="F75" s="88"/>
      <c r="G75" s="91"/>
      <c r="H75" s="129"/>
      <c r="I75" s="79"/>
      <c r="J75" s="79"/>
      <c r="L75" s="80"/>
    </row>
    <row r="76" spans="1:12" ht="15">
      <c r="A76" s="84"/>
      <c r="B76" s="88"/>
      <c r="C76" s="91"/>
      <c r="D76" s="90"/>
      <c r="E76" s="91"/>
      <c r="F76" s="88"/>
      <c r="G76" s="91"/>
      <c r="H76" s="77"/>
      <c r="I76" s="79"/>
      <c r="J76" s="79"/>
      <c r="L76" s="80"/>
    </row>
    <row r="77" spans="1:12" ht="15">
      <c r="A77" s="84"/>
      <c r="B77" s="88"/>
      <c r="C77" s="91"/>
      <c r="D77" s="90"/>
      <c r="E77" s="91"/>
      <c r="F77" s="88"/>
      <c r="G77" s="91"/>
      <c r="H77" s="77"/>
      <c r="I77" s="79"/>
      <c r="J77" s="79"/>
      <c r="L77" s="80"/>
    </row>
    <row r="78" spans="1:12" ht="15">
      <c r="A78" s="914" t="s">
        <v>90</v>
      </c>
      <c r="B78" s="915"/>
      <c r="C78" s="915"/>
      <c r="D78" s="915"/>
      <c r="E78" s="915"/>
      <c r="F78" s="915"/>
      <c r="G78" s="915"/>
      <c r="H78" s="915"/>
      <c r="I78" s="915"/>
      <c r="J78" s="916"/>
      <c r="L78" s="80"/>
    </row>
    <row r="79" spans="1:12" ht="15">
      <c r="A79" s="130"/>
      <c r="B79" s="131"/>
      <c r="C79" s="77"/>
      <c r="D79" s="78"/>
      <c r="E79" s="77"/>
      <c r="F79" s="76"/>
      <c r="G79" s="77"/>
      <c r="H79" s="77"/>
      <c r="I79" s="79"/>
      <c r="J79" s="79"/>
      <c r="L79" s="80"/>
    </row>
    <row r="80" spans="1:12" ht="13.5" customHeight="1">
      <c r="A80" s="372"/>
      <c r="B80" s="131"/>
      <c r="C80" s="77"/>
      <c r="D80" s="78"/>
      <c r="E80" s="77"/>
      <c r="F80" s="76"/>
      <c r="G80" s="77"/>
      <c r="H80" s="77"/>
      <c r="I80" s="79"/>
      <c r="J80" s="101"/>
      <c r="L80" s="80"/>
    </row>
    <row r="81" spans="1:12" ht="15">
      <c r="A81" s="130"/>
      <c r="B81" s="131"/>
      <c r="C81" s="77"/>
      <c r="D81" s="78"/>
      <c r="E81" s="77"/>
      <c r="F81" s="76"/>
      <c r="G81" s="77"/>
      <c r="H81" s="77"/>
      <c r="I81" s="79"/>
      <c r="J81" s="79"/>
      <c r="L81" s="80"/>
    </row>
    <row r="82" spans="1:12" ht="15" customHeight="1">
      <c r="A82" s="372"/>
      <c r="B82" s="131"/>
      <c r="C82" s="77"/>
      <c r="D82" s="78"/>
      <c r="E82" s="77"/>
      <c r="F82" s="76"/>
      <c r="G82" s="77"/>
      <c r="H82" s="77"/>
      <c r="I82" s="79"/>
      <c r="J82" s="79"/>
      <c r="L82" s="80"/>
    </row>
    <row r="83" spans="1:12" ht="15">
      <c r="A83" s="372"/>
      <c r="B83" s="118"/>
      <c r="C83" s="100"/>
      <c r="D83" s="99"/>
      <c r="E83" s="100"/>
      <c r="F83" s="76"/>
      <c r="G83" s="100"/>
      <c r="H83" s="77"/>
      <c r="I83" s="92"/>
      <c r="J83" s="79"/>
      <c r="L83" s="80"/>
    </row>
    <row r="84" spans="1:12" ht="15">
      <c r="A84" s="372"/>
      <c r="B84" s="118"/>
      <c r="C84" s="100"/>
      <c r="D84" s="99"/>
      <c r="E84" s="100"/>
      <c r="F84" s="76"/>
      <c r="G84" s="100"/>
      <c r="H84" s="77"/>
      <c r="I84" s="92"/>
      <c r="J84" s="79"/>
      <c r="L84" s="80"/>
    </row>
    <row r="85" spans="1:12" ht="15">
      <c r="A85" s="372"/>
      <c r="B85" s="89"/>
      <c r="C85" s="91"/>
      <c r="D85" s="90"/>
      <c r="E85" s="91"/>
      <c r="F85" s="76"/>
      <c r="G85" s="91"/>
      <c r="H85" s="77"/>
      <c r="I85" s="102"/>
      <c r="J85" s="79"/>
      <c r="L85" s="80"/>
    </row>
    <row r="86" spans="1:12" ht="15">
      <c r="A86" s="372"/>
      <c r="B86" s="89"/>
      <c r="C86" s="91"/>
      <c r="D86" s="90"/>
      <c r="E86" s="91"/>
      <c r="F86" s="88"/>
      <c r="G86" s="91"/>
      <c r="H86" s="91"/>
      <c r="I86" s="102"/>
      <c r="J86" s="134"/>
      <c r="L86" s="80"/>
    </row>
    <row r="87" spans="1:12" ht="15">
      <c r="A87" s="372"/>
      <c r="B87" s="89"/>
      <c r="C87" s="91"/>
      <c r="D87" s="90"/>
      <c r="E87" s="91"/>
      <c r="F87" s="88"/>
      <c r="G87" s="91"/>
      <c r="H87" s="91"/>
      <c r="I87" s="102"/>
      <c r="J87" s="134"/>
      <c r="L87" s="80"/>
    </row>
    <row r="88" spans="1:12" ht="15">
      <c r="A88" s="914" t="s">
        <v>91</v>
      </c>
      <c r="B88" s="915"/>
      <c r="C88" s="915"/>
      <c r="D88" s="915"/>
      <c r="E88" s="915"/>
      <c r="F88" s="915"/>
      <c r="G88" s="915"/>
      <c r="H88" s="915"/>
      <c r="I88" s="915"/>
      <c r="J88" s="916"/>
      <c r="L88" s="80"/>
    </row>
    <row r="89" spans="1:12" ht="15">
      <c r="A89" s="130"/>
      <c r="B89" s="131"/>
      <c r="C89" s="77"/>
      <c r="D89" s="78"/>
      <c r="E89" s="77"/>
      <c r="F89" s="76"/>
      <c r="G89" s="79"/>
      <c r="H89" s="77"/>
      <c r="I89" s="79"/>
      <c r="J89" s="79"/>
      <c r="L89" s="80"/>
    </row>
    <row r="90" spans="1:12" ht="15">
      <c r="A90" s="130"/>
      <c r="B90" s="131"/>
      <c r="C90" s="77"/>
      <c r="D90" s="78"/>
      <c r="E90" s="77"/>
      <c r="F90" s="76"/>
      <c r="G90" s="79"/>
      <c r="H90" s="77"/>
      <c r="I90" s="79"/>
      <c r="J90" s="79"/>
      <c r="L90" s="80"/>
    </row>
    <row r="91" spans="1:12" ht="15">
      <c r="A91" s="84"/>
      <c r="B91" s="118"/>
      <c r="C91" s="100"/>
      <c r="D91" s="99"/>
      <c r="E91" s="100"/>
      <c r="F91" s="82"/>
      <c r="G91" s="100"/>
      <c r="H91" s="100"/>
      <c r="I91" s="92"/>
      <c r="J91" s="93"/>
      <c r="L91" s="80"/>
    </row>
    <row r="92" spans="1:12" ht="15">
      <c r="A92" s="84"/>
      <c r="B92" s="118"/>
      <c r="C92" s="100"/>
      <c r="D92" s="99"/>
      <c r="E92" s="100"/>
      <c r="F92" s="82"/>
      <c r="G92" s="100"/>
      <c r="H92" s="100"/>
      <c r="I92" s="92"/>
      <c r="J92" s="93"/>
      <c r="L92" s="80"/>
    </row>
    <row r="93" spans="1:12" ht="15">
      <c r="A93" s="920" t="s">
        <v>759</v>
      </c>
      <c r="B93" s="921"/>
      <c r="C93" s="921"/>
      <c r="D93" s="921"/>
      <c r="E93" s="921"/>
      <c r="F93" s="922"/>
      <c r="G93" s="73"/>
      <c r="H93" s="74"/>
      <c r="I93" s="73"/>
      <c r="J93" s="73"/>
      <c r="L93" s="80"/>
    </row>
    <row r="94" spans="1:12" ht="15">
      <c r="A94" s="135"/>
      <c r="B94" s="89"/>
      <c r="C94" s="90"/>
      <c r="D94" s="136"/>
      <c r="E94" s="91"/>
      <c r="F94" s="82"/>
      <c r="G94" s="92"/>
      <c r="H94" s="100"/>
      <c r="I94" s="92"/>
      <c r="J94" s="373"/>
      <c r="L94" s="80"/>
    </row>
    <row r="95" spans="1:12" ht="15">
      <c r="A95" s="135" t="s">
        <v>1354</v>
      </c>
      <c r="B95" s="89">
        <v>30</v>
      </c>
      <c r="C95" s="90"/>
      <c r="D95" s="136"/>
      <c r="E95" s="91">
        <v>5</v>
      </c>
      <c r="F95" s="82">
        <f>PRODUCT(B95:E95)</f>
        <v>150</v>
      </c>
      <c r="G95" s="92">
        <f>F95</f>
        <v>150</v>
      </c>
      <c r="H95" s="100" t="s">
        <v>5</v>
      </c>
      <c r="I95" s="92"/>
      <c r="J95" s="373">
        <f>G95</f>
        <v>150</v>
      </c>
    </row>
    <row r="96" spans="1:12" ht="15">
      <c r="A96" s="135" t="s">
        <v>1355</v>
      </c>
      <c r="B96" s="89">
        <v>40</v>
      </c>
      <c r="C96" s="90"/>
      <c r="D96" s="136"/>
      <c r="E96" s="91">
        <v>6</v>
      </c>
      <c r="F96" s="82">
        <f>PRODUCT(B96:E96)</f>
        <v>240</v>
      </c>
      <c r="G96" s="92">
        <f>F96</f>
        <v>240</v>
      </c>
      <c r="H96" s="91" t="s">
        <v>5</v>
      </c>
      <c r="I96" s="102"/>
      <c r="J96" s="373">
        <f>G96</f>
        <v>240</v>
      </c>
    </row>
    <row r="97" spans="1:12" ht="15">
      <c r="A97" s="135"/>
      <c r="B97" s="89"/>
      <c r="C97" s="90"/>
      <c r="D97" s="136"/>
      <c r="E97" s="91"/>
      <c r="F97" s="88"/>
      <c r="G97" s="102"/>
      <c r="H97" s="91"/>
      <c r="I97" s="102"/>
      <c r="J97" s="138">
        <f>SUM(J95:J96)</f>
        <v>390</v>
      </c>
    </row>
    <row r="98" spans="1:12" ht="15">
      <c r="A98" s="87"/>
      <c r="B98" s="89"/>
      <c r="C98" s="90"/>
      <c r="D98" s="136"/>
      <c r="E98" s="91"/>
      <c r="F98" s="88"/>
      <c r="G98" s="102"/>
      <c r="H98" s="91"/>
      <c r="I98" s="102"/>
      <c r="J98" s="102"/>
    </row>
    <row r="99" spans="1:12" ht="15">
      <c r="A99" s="914"/>
      <c r="B99" s="915"/>
      <c r="C99" s="915"/>
      <c r="D99" s="915"/>
      <c r="E99" s="915"/>
      <c r="F99" s="915"/>
      <c r="G99" s="915"/>
      <c r="H99" s="915"/>
      <c r="I99" s="915"/>
      <c r="J99" s="916"/>
    </row>
    <row r="100" spans="1:12" ht="15">
      <c r="A100" s="250"/>
      <c r="B100" s="251"/>
      <c r="C100" s="251"/>
      <c r="D100" s="251"/>
      <c r="E100" s="251"/>
      <c r="F100" s="251"/>
      <c r="G100" s="251"/>
      <c r="H100" s="251"/>
      <c r="I100" s="251"/>
      <c r="J100" s="252"/>
    </row>
    <row r="101" spans="1:12" ht="15">
      <c r="A101" s="142"/>
      <c r="B101" s="143"/>
      <c r="C101" s="144"/>
      <c r="D101" s="145"/>
      <c r="E101" s="144"/>
      <c r="F101" s="424"/>
      <c r="G101" s="144"/>
      <c r="H101" s="144"/>
      <c r="I101" s="147"/>
      <c r="J101" s="95"/>
    </row>
    <row r="103" spans="1:12" ht="15">
      <c r="A103" s="914" t="s">
        <v>92</v>
      </c>
      <c r="B103" s="915"/>
      <c r="C103" s="915"/>
      <c r="D103" s="915"/>
      <c r="E103" s="915"/>
      <c r="F103" s="915"/>
      <c r="G103" s="915"/>
      <c r="H103" s="915"/>
      <c r="I103" s="915"/>
      <c r="J103" s="916"/>
    </row>
    <row r="104" spans="1:12" ht="15">
      <c r="A104" s="149"/>
      <c r="B104" s="423"/>
      <c r="C104" s="91"/>
      <c r="D104" s="423"/>
      <c r="E104" s="91"/>
      <c r="F104" s="423"/>
      <c r="G104" s="92"/>
      <c r="H104" s="100"/>
      <c r="I104" s="92"/>
      <c r="J104" s="92"/>
    </row>
    <row r="105" spans="1:12" ht="15">
      <c r="A105" s="87"/>
      <c r="B105" s="421"/>
      <c r="C105" s="91"/>
      <c r="D105" s="421"/>
      <c r="E105" s="91"/>
      <c r="F105" s="421"/>
      <c r="G105" s="102"/>
      <c r="H105" s="77"/>
      <c r="I105" s="79"/>
      <c r="J105" s="79"/>
    </row>
    <row r="106" spans="1:12" ht="15">
      <c r="A106" s="87"/>
      <c r="B106" s="421"/>
      <c r="C106" s="91"/>
      <c r="D106" s="421"/>
      <c r="E106" s="91"/>
      <c r="F106" s="421"/>
      <c r="G106" s="102"/>
      <c r="H106" s="77"/>
      <c r="I106" s="79"/>
      <c r="J106" s="79"/>
    </row>
    <row r="107" spans="1:12" ht="15">
      <c r="A107" s="87"/>
      <c r="B107" s="421"/>
      <c r="C107" s="91"/>
      <c r="D107" s="421"/>
      <c r="E107" s="91"/>
      <c r="F107" s="421"/>
      <c r="G107" s="102"/>
      <c r="H107" s="77"/>
      <c r="I107" s="79"/>
      <c r="J107" s="79"/>
    </row>
    <row r="108" spans="1:12" ht="15">
      <c r="A108" s="75"/>
      <c r="B108" s="421"/>
      <c r="C108" s="91"/>
      <c r="D108" s="421"/>
      <c r="E108" s="91"/>
      <c r="F108" s="421"/>
      <c r="G108" s="102"/>
      <c r="H108" s="91"/>
      <c r="I108" s="102"/>
      <c r="J108" s="134"/>
    </row>
    <row r="109" spans="1:12" ht="15">
      <c r="A109" s="75"/>
      <c r="B109" s="421"/>
      <c r="C109" s="91"/>
      <c r="D109" s="421"/>
      <c r="E109" s="91"/>
      <c r="F109" s="421"/>
      <c r="G109" s="102"/>
      <c r="H109" s="91"/>
      <c r="I109" s="102"/>
      <c r="J109" s="102"/>
    </row>
    <row r="110" spans="1:12" ht="15">
      <c r="A110" s="899" t="s">
        <v>93</v>
      </c>
      <c r="B110" s="900"/>
      <c r="C110" s="900"/>
      <c r="D110" s="900"/>
      <c r="E110" s="900"/>
      <c r="F110" s="900"/>
      <c r="G110" s="900"/>
      <c r="H110" s="900"/>
      <c r="I110" s="900"/>
      <c r="J110" s="901"/>
    </row>
    <row r="111" spans="1:12" ht="15">
      <c r="A111" s="84"/>
      <c r="B111" s="82"/>
      <c r="C111" s="91"/>
      <c r="D111" s="82"/>
      <c r="E111" s="91"/>
      <c r="F111" s="82"/>
      <c r="G111" s="92"/>
      <c r="H111" s="100"/>
      <c r="I111" s="92"/>
      <c r="J111" s="92"/>
    </row>
    <row r="112" spans="1:12" ht="15">
      <c r="A112" s="84"/>
      <c r="B112" s="88"/>
      <c r="C112" s="91"/>
      <c r="D112" s="88"/>
      <c r="E112" s="91"/>
      <c r="F112" s="88"/>
      <c r="G112" s="102"/>
      <c r="H112" s="91"/>
      <c r="I112" s="102"/>
      <c r="J112" s="150"/>
      <c r="L112" s="68" t="s">
        <v>94</v>
      </c>
    </row>
  </sheetData>
  <mergeCells count="29">
    <mergeCell ref="A88:J88"/>
    <mergeCell ref="A93:F93"/>
    <mergeCell ref="A99:J99"/>
    <mergeCell ref="A103:J103"/>
    <mergeCell ref="A110:J110"/>
    <mergeCell ref="A78:J78"/>
    <mergeCell ref="A39:J39"/>
    <mergeCell ref="A40:F40"/>
    <mergeCell ref="A43:F43"/>
    <mergeCell ref="A44:J44"/>
    <mergeCell ref="A52:F52"/>
    <mergeCell ref="A55:F55"/>
    <mergeCell ref="A58:F58"/>
    <mergeCell ref="A61:J61"/>
    <mergeCell ref="A62:F62"/>
    <mergeCell ref="A65:J65"/>
    <mergeCell ref="A66:H66"/>
    <mergeCell ref="A38:J38"/>
    <mergeCell ref="A1:J1"/>
    <mergeCell ref="A3:J3"/>
    <mergeCell ref="A4:F4"/>
    <mergeCell ref="A11:J11"/>
    <mergeCell ref="A12:F12"/>
    <mergeCell ref="A13:F13"/>
    <mergeCell ref="A14:F14"/>
    <mergeCell ref="A22:F22"/>
    <mergeCell ref="A23:F23"/>
    <mergeCell ref="A24:F24"/>
    <mergeCell ref="A31:J31"/>
  </mergeCells>
  <pageMargins left="0.7" right="0.7" top="0.75" bottom="0.75" header="0.3" footer="0.3"/>
  <pageSetup paperSize="9" scale="63" orientation="portrait" r:id="rId1"/>
  <rowBreaks count="1" manualBreakCount="1">
    <brk id="41" max="16383" man="1"/>
  </rowBreaks>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0657-FE8A-433E-8AB7-DACDA2AA8774}">
  <dimension ref="B3:W251"/>
  <sheetViews>
    <sheetView zoomScale="70" zoomScaleNormal="70" workbookViewId="0">
      <pane ySplit="1" topLeftCell="A2" activePane="bottomLeft" state="frozen"/>
      <selection activeCell="F8" sqref="F8"/>
      <selection pane="bottomLeft" activeCell="F8" sqref="F8"/>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95</v>
      </c>
      <c r="C3" s="151" t="s">
        <v>96</v>
      </c>
      <c r="D3" s="151" t="s">
        <v>97</v>
      </c>
      <c r="E3" s="151" t="s">
        <v>98</v>
      </c>
      <c r="F3" s="151" t="s">
        <v>99</v>
      </c>
      <c r="G3" s="151"/>
      <c r="H3" s="928" t="s">
        <v>100</v>
      </c>
      <c r="I3" s="928"/>
      <c r="J3" s="928"/>
      <c r="K3" s="151" t="s">
        <v>101</v>
      </c>
      <c r="L3" s="152" t="s">
        <v>102</v>
      </c>
      <c r="M3" s="153"/>
    </row>
    <row r="4" spans="2:23" ht="19.5" customHeight="1">
      <c r="B4" s="155"/>
      <c r="C4" s="155"/>
      <c r="D4" s="155"/>
      <c r="E4" s="155"/>
      <c r="F4" s="156" t="s">
        <v>98</v>
      </c>
      <c r="G4" s="156" t="s">
        <v>103</v>
      </c>
      <c r="H4" s="156" t="s">
        <v>104</v>
      </c>
      <c r="I4" s="156" t="s">
        <v>103</v>
      </c>
      <c r="J4" s="156" t="s">
        <v>105</v>
      </c>
      <c r="K4" s="156" t="s">
        <v>106</v>
      </c>
      <c r="L4" s="157" t="s">
        <v>107</v>
      </c>
      <c r="M4" s="157" t="s">
        <v>108</v>
      </c>
    </row>
    <row r="5" spans="2:23">
      <c r="B5" s="158"/>
      <c r="C5" s="158"/>
      <c r="D5" s="158"/>
      <c r="E5" s="158"/>
      <c r="F5" s="159"/>
      <c r="G5" s="159"/>
      <c r="H5" s="159"/>
      <c r="I5" s="159"/>
      <c r="J5" s="159"/>
      <c r="K5" s="160"/>
      <c r="L5" s="160"/>
      <c r="M5" s="160"/>
    </row>
    <row r="6" spans="2:23" ht="18">
      <c r="B6" s="160" t="s">
        <v>109</v>
      </c>
      <c r="C6" s="161">
        <v>0.3</v>
      </c>
      <c r="D6" s="161">
        <v>0.3</v>
      </c>
      <c r="E6" s="161">
        <v>0.1</v>
      </c>
      <c r="F6" s="161">
        <v>0.05</v>
      </c>
      <c r="G6" s="161">
        <v>10</v>
      </c>
      <c r="H6" s="161">
        <v>0.2</v>
      </c>
      <c r="I6" s="161">
        <v>10</v>
      </c>
      <c r="J6" s="161">
        <v>0.25</v>
      </c>
      <c r="K6" s="161">
        <v>3</v>
      </c>
      <c r="L6" s="160"/>
      <c r="M6" s="160"/>
      <c r="T6" s="929" t="s">
        <v>110</v>
      </c>
      <c r="U6" s="929"/>
    </row>
    <row r="7" spans="2:23">
      <c r="B7" s="160"/>
      <c r="C7" s="161"/>
      <c r="D7" s="161"/>
      <c r="E7" s="161"/>
      <c r="F7" s="161"/>
      <c r="G7" s="161"/>
      <c r="H7" s="160"/>
      <c r="I7" s="160"/>
      <c r="J7" s="160"/>
      <c r="K7" s="161"/>
      <c r="L7" s="160"/>
      <c r="M7" s="160"/>
      <c r="S7" s="162"/>
      <c r="V7" s="162"/>
      <c r="W7" s="930" t="s">
        <v>6</v>
      </c>
    </row>
    <row r="8" spans="2:23">
      <c r="B8" s="160"/>
      <c r="C8" s="161"/>
      <c r="D8" s="161"/>
      <c r="E8" s="161"/>
      <c r="F8" s="161"/>
      <c r="G8" s="161"/>
      <c r="H8" s="160"/>
      <c r="I8" s="160"/>
      <c r="J8" s="160"/>
      <c r="K8" s="161"/>
      <c r="L8" s="160"/>
      <c r="M8" s="160"/>
      <c r="S8" s="162"/>
      <c r="V8" s="162"/>
      <c r="W8" s="930"/>
    </row>
    <row r="9" spans="2:23">
      <c r="B9" s="160" t="s">
        <v>111</v>
      </c>
      <c r="C9" s="161">
        <v>0.45</v>
      </c>
      <c r="D9" s="161">
        <v>0.45</v>
      </c>
      <c r="E9" s="161">
        <v>0.1</v>
      </c>
      <c r="F9" s="161">
        <v>0.05</v>
      </c>
      <c r="G9" s="161">
        <v>10</v>
      </c>
      <c r="H9" s="161">
        <v>0.2</v>
      </c>
      <c r="I9" s="161">
        <v>10</v>
      </c>
      <c r="J9" s="161">
        <v>0.25</v>
      </c>
      <c r="K9" s="161">
        <v>3</v>
      </c>
      <c r="L9" s="160"/>
      <c r="M9" s="160"/>
      <c r="S9" s="162"/>
      <c r="V9" s="162"/>
      <c r="W9" s="930"/>
    </row>
    <row r="10" spans="2:23">
      <c r="B10" s="160"/>
      <c r="C10" s="161"/>
      <c r="D10" s="161"/>
      <c r="E10" s="161"/>
      <c r="F10" s="161"/>
      <c r="G10" s="161"/>
      <c r="H10" s="161"/>
      <c r="I10" s="161"/>
      <c r="J10" s="161"/>
      <c r="K10" s="161"/>
      <c r="L10" s="160"/>
      <c r="M10" s="160"/>
      <c r="S10" s="162"/>
      <c r="V10" s="162"/>
      <c r="W10" s="930"/>
    </row>
    <row r="11" spans="2:23">
      <c r="B11" s="160"/>
      <c r="C11" s="161"/>
      <c r="D11" s="161"/>
      <c r="E11" s="161"/>
      <c r="F11" s="161"/>
      <c r="G11" s="161"/>
      <c r="H11" s="160"/>
      <c r="I11" s="160"/>
      <c r="J11" s="160"/>
      <c r="K11" s="161"/>
      <c r="L11" s="160"/>
      <c r="M11" s="160"/>
      <c r="S11" s="162"/>
      <c r="V11" s="162"/>
      <c r="W11" s="930"/>
    </row>
    <row r="12" spans="2:23">
      <c r="B12" s="160" t="s">
        <v>112</v>
      </c>
      <c r="C12" s="161">
        <v>0.6</v>
      </c>
      <c r="D12" s="161">
        <v>0.6</v>
      </c>
      <c r="E12" s="161">
        <v>0.1</v>
      </c>
      <c r="F12" s="161">
        <v>0.05</v>
      </c>
      <c r="G12" s="161">
        <v>10</v>
      </c>
      <c r="H12" s="160">
        <v>0.2</v>
      </c>
      <c r="I12" s="160">
        <v>10</v>
      </c>
      <c r="J12" s="160">
        <v>0.25</v>
      </c>
      <c r="K12" s="161">
        <v>3</v>
      </c>
      <c r="L12" s="160"/>
      <c r="M12" s="160"/>
      <c r="S12" s="162"/>
      <c r="V12" s="162"/>
      <c r="W12" s="930"/>
    </row>
    <row r="13" spans="2:23">
      <c r="B13" s="160"/>
      <c r="C13" s="161"/>
      <c r="D13" s="161"/>
      <c r="E13" s="161"/>
      <c r="F13" s="161"/>
      <c r="G13" s="161"/>
      <c r="H13" s="160"/>
      <c r="I13" s="160"/>
      <c r="J13" s="160"/>
      <c r="K13" s="161"/>
      <c r="L13" s="160"/>
      <c r="M13" s="160"/>
      <c r="S13" s="162"/>
      <c r="V13" s="162"/>
      <c r="W13" s="930"/>
    </row>
    <row r="14" spans="2:23">
      <c r="B14" s="160"/>
      <c r="C14" s="161"/>
      <c r="D14" s="161"/>
      <c r="E14" s="161"/>
      <c r="F14" s="161"/>
      <c r="G14" s="161"/>
      <c r="H14" s="160"/>
      <c r="I14" s="160"/>
      <c r="J14" s="160"/>
      <c r="K14" s="161"/>
      <c r="L14" s="160"/>
      <c r="M14" s="160"/>
      <c r="S14" s="162"/>
      <c r="V14" s="162"/>
      <c r="W14" s="930"/>
    </row>
    <row r="15" spans="2:23">
      <c r="B15" s="160" t="s">
        <v>113</v>
      </c>
      <c r="C15" s="161">
        <v>0.75</v>
      </c>
      <c r="D15" s="161">
        <v>0.75</v>
      </c>
      <c r="E15" s="163">
        <v>0.125</v>
      </c>
      <c r="F15" s="161">
        <v>0.05</v>
      </c>
      <c r="G15" s="161">
        <v>10</v>
      </c>
      <c r="H15" s="160">
        <v>0.2</v>
      </c>
      <c r="I15" s="160">
        <v>10</v>
      </c>
      <c r="J15" s="160">
        <v>0.25</v>
      </c>
      <c r="K15" s="161">
        <v>3</v>
      </c>
      <c r="L15" s="160"/>
      <c r="M15" s="160"/>
      <c r="S15" s="162"/>
      <c r="V15" s="162"/>
      <c r="W15" s="930"/>
    </row>
    <row r="16" spans="2:23">
      <c r="B16" s="160"/>
      <c r="C16" s="161"/>
      <c r="D16" s="161"/>
      <c r="E16" s="161"/>
      <c r="F16" s="161"/>
      <c r="G16" s="161"/>
      <c r="H16" s="160"/>
      <c r="I16" s="160"/>
      <c r="J16" s="160"/>
      <c r="K16" s="161"/>
      <c r="L16" s="160"/>
      <c r="M16" s="160"/>
      <c r="S16" s="162"/>
      <c r="V16" s="162"/>
      <c r="W16" s="930"/>
    </row>
    <row r="17" spans="2:23">
      <c r="B17" s="160"/>
      <c r="C17" s="161"/>
      <c r="D17" s="161"/>
      <c r="E17" s="161"/>
      <c r="F17" s="161"/>
      <c r="G17" s="161"/>
      <c r="H17" s="160"/>
      <c r="I17" s="160"/>
      <c r="J17" s="160"/>
      <c r="K17" s="161"/>
      <c r="L17" s="160"/>
      <c r="M17" s="160"/>
      <c r="S17" s="162"/>
      <c r="V17" s="162"/>
      <c r="W17" s="930"/>
    </row>
    <row r="18" spans="2:23">
      <c r="B18" s="164" t="s">
        <v>114</v>
      </c>
      <c r="C18" s="161">
        <v>0.9</v>
      </c>
      <c r="D18" s="161">
        <v>0.9</v>
      </c>
      <c r="E18" s="163">
        <v>0.15</v>
      </c>
      <c r="F18" s="161">
        <v>0.05</v>
      </c>
      <c r="G18" s="161">
        <v>10</v>
      </c>
      <c r="H18" s="160">
        <v>0.17499999999999999</v>
      </c>
      <c r="I18" s="160">
        <v>10</v>
      </c>
      <c r="J18" s="160">
        <v>0.25</v>
      </c>
      <c r="K18" s="161">
        <v>3</v>
      </c>
      <c r="L18" s="160"/>
      <c r="M18" s="160"/>
      <c r="S18" s="162"/>
      <c r="T18" s="162"/>
      <c r="U18" s="162"/>
      <c r="V18" s="162"/>
      <c r="W18" s="930" t="s">
        <v>115</v>
      </c>
    </row>
    <row r="19" spans="2:23">
      <c r="B19" s="160"/>
      <c r="C19" s="161"/>
      <c r="D19" s="161"/>
      <c r="E19" s="161"/>
      <c r="F19" s="161"/>
      <c r="G19" s="161"/>
      <c r="H19" s="160"/>
      <c r="I19" s="160"/>
      <c r="J19" s="160"/>
      <c r="K19" s="161"/>
      <c r="L19" s="160"/>
      <c r="M19" s="160"/>
      <c r="S19" s="162"/>
      <c r="T19" s="162"/>
      <c r="U19" s="162"/>
      <c r="V19" s="162"/>
      <c r="W19" s="930"/>
    </row>
    <row r="20" spans="2:23">
      <c r="B20" s="160"/>
      <c r="C20" s="161"/>
      <c r="D20" s="161"/>
      <c r="E20" s="161"/>
      <c r="F20" s="161"/>
      <c r="G20" s="161"/>
      <c r="H20" s="160"/>
      <c r="I20" s="160"/>
      <c r="J20" s="160"/>
      <c r="K20" s="161"/>
      <c r="L20" s="160"/>
      <c r="M20" s="160"/>
      <c r="S20" s="162"/>
      <c r="T20" s="162"/>
      <c r="U20" s="162"/>
      <c r="V20" s="162"/>
      <c r="W20" s="930"/>
    </row>
    <row r="21" spans="2:23">
      <c r="B21" s="160" t="s">
        <v>116</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117</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118</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119</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120</v>
      </c>
      <c r="C30" s="161">
        <v>0.3</v>
      </c>
      <c r="D30" s="161">
        <v>0.3</v>
      </c>
      <c r="E30" s="161">
        <v>0.1</v>
      </c>
      <c r="F30" s="161">
        <v>0.05</v>
      </c>
      <c r="G30" s="161">
        <v>10</v>
      </c>
      <c r="H30" s="160">
        <v>0.25</v>
      </c>
      <c r="I30" s="160">
        <v>10</v>
      </c>
      <c r="J30" s="160">
        <v>0.25</v>
      </c>
      <c r="K30" s="161">
        <v>0</v>
      </c>
      <c r="L30" s="160"/>
      <c r="M30" s="160"/>
    </row>
    <row r="31" spans="2:23">
      <c r="B31" s="166" t="s">
        <v>121</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122</v>
      </c>
      <c r="C33" s="161">
        <v>0.45</v>
      </c>
      <c r="D33" s="161">
        <v>0.45</v>
      </c>
      <c r="E33" s="161">
        <v>0.1</v>
      </c>
      <c r="F33" s="161">
        <v>0.05</v>
      </c>
      <c r="G33" s="161">
        <v>10</v>
      </c>
      <c r="H33" s="160">
        <v>0.25</v>
      </c>
      <c r="I33" s="160">
        <v>10</v>
      </c>
      <c r="J33" s="160">
        <v>0.25</v>
      </c>
      <c r="K33" s="161">
        <v>0</v>
      </c>
      <c r="L33" s="160"/>
      <c r="M33" s="160"/>
    </row>
    <row r="34" spans="2:13">
      <c r="B34" s="166" t="s">
        <v>121</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123</v>
      </c>
      <c r="L35" s="160"/>
      <c r="M35" s="160"/>
    </row>
    <row r="36" spans="2:13">
      <c r="B36" s="168" t="s">
        <v>124</v>
      </c>
      <c r="C36" s="161">
        <v>1</v>
      </c>
      <c r="D36" s="161">
        <v>0.15</v>
      </c>
      <c r="E36" s="161">
        <v>0.1</v>
      </c>
      <c r="F36" s="161">
        <v>0.05</v>
      </c>
      <c r="G36" s="161">
        <v>10</v>
      </c>
      <c r="H36" s="160">
        <v>0.25</v>
      </c>
      <c r="I36" s="160">
        <v>10</v>
      </c>
      <c r="J36" s="160">
        <v>0.25</v>
      </c>
      <c r="K36" s="161">
        <v>0</v>
      </c>
      <c r="L36" s="160"/>
      <c r="M36" s="160"/>
    </row>
    <row r="37" spans="2:13">
      <c r="B37" s="166" t="s">
        <v>121</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125</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126</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127</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128</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129</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130</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131</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132</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133</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134</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135</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136</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137</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138</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139</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140</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141</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142</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143</v>
      </c>
      <c r="L103" s="931" t="s">
        <v>144</v>
      </c>
      <c r="M103" s="932"/>
      <c r="N103" s="932"/>
      <c r="O103" s="932"/>
      <c r="P103" s="932"/>
      <c r="Q103" s="932"/>
      <c r="R103" s="932"/>
      <c r="S103" s="933"/>
    </row>
    <row r="104" spans="2:21">
      <c r="B104" s="178" t="s">
        <v>145</v>
      </c>
      <c r="K104" s="179">
        <v>1</v>
      </c>
      <c r="L104" s="926" t="s">
        <v>7</v>
      </c>
      <c r="M104" s="934"/>
      <c r="N104" s="927"/>
      <c r="O104" s="926" t="s">
        <v>6</v>
      </c>
      <c r="P104" s="934"/>
      <c r="Q104" s="927"/>
      <c r="R104" s="926" t="s">
        <v>146</v>
      </c>
      <c r="S104" s="927"/>
    </row>
    <row r="105" spans="2:21">
      <c r="D105" s="180" t="s">
        <v>147</v>
      </c>
      <c r="E105" s="181" t="s">
        <v>1</v>
      </c>
      <c r="G105" s="182" t="s">
        <v>148</v>
      </c>
      <c r="H105" s="182" t="s">
        <v>149</v>
      </c>
      <c r="I105" s="182" t="s">
        <v>150</v>
      </c>
      <c r="J105" s="182" t="s">
        <v>151</v>
      </c>
      <c r="K105" s="182" t="s">
        <v>152</v>
      </c>
      <c r="L105" s="926" t="s">
        <v>153</v>
      </c>
      <c r="M105" s="927"/>
      <c r="N105" s="183" t="s">
        <v>1</v>
      </c>
      <c r="O105" s="926" t="s">
        <v>153</v>
      </c>
      <c r="P105" s="927"/>
      <c r="Q105" s="183" t="s">
        <v>1</v>
      </c>
      <c r="R105" s="183" t="s">
        <v>1</v>
      </c>
      <c r="S105" s="183" t="s">
        <v>80</v>
      </c>
    </row>
    <row r="106" spans="2:21">
      <c r="E106" s="396"/>
      <c r="G106" s="396"/>
      <c r="H106" s="396"/>
      <c r="I106" s="396"/>
      <c r="J106" s="396"/>
      <c r="K106" s="396"/>
      <c r="L106" s="266"/>
      <c r="M106" s="267"/>
      <c r="N106" s="267"/>
      <c r="O106" s="266"/>
      <c r="P106" s="267"/>
      <c r="Q106" s="183"/>
      <c r="R106" s="183"/>
      <c r="S106" s="183"/>
    </row>
    <row r="107" spans="2:21" ht="29.25" customHeight="1">
      <c r="B107" s="154" t="s">
        <v>154</v>
      </c>
      <c r="C107" s="178" t="s">
        <v>155</v>
      </c>
      <c r="E107" s="184">
        <v>108.37</v>
      </c>
      <c r="G107" s="185">
        <f>+E107*(C6+E6*2+1.5)</f>
        <v>216.74</v>
      </c>
      <c r="H107" s="185">
        <f>+E107*(C6+E6*2)*(D6+E6+F6)</f>
        <v>24.38325</v>
      </c>
      <c r="I107" s="186">
        <f>+(C6+E6*2)*E107*F6</f>
        <v>2.7092500000000004</v>
      </c>
      <c r="J107" s="186">
        <f>+E107*((C6+E6*2)*E6+(D6*E6*2))</f>
        <v>11.9207</v>
      </c>
      <c r="K107" s="186">
        <f>+(D6+$K$104*(D6+E6))*E107*2</f>
        <v>151.71799999999999</v>
      </c>
      <c r="L107" s="187">
        <f>+(E107)/H6+ IF(E107&gt;0,1,0)</f>
        <v>542.85</v>
      </c>
      <c r="M107" s="188">
        <f>+ROUNDUP(L107,0)</f>
        <v>543</v>
      </c>
      <c r="N107" s="189">
        <f>+(D6+E6-0.08)*2+(C6+E6*2-0.08)</f>
        <v>1.06</v>
      </c>
      <c r="O107" s="187">
        <f>+N107/J6+1</f>
        <v>5.24</v>
      </c>
      <c r="P107" s="188">
        <f>+ROUNDUP(O107,0)</f>
        <v>6</v>
      </c>
      <c r="Q107" s="188">
        <f>+E107+E107/6*50*(G6/1000)</f>
        <v>117.40083333333334</v>
      </c>
      <c r="R107" s="190">
        <f>+N107*M107+P107*Q107</f>
        <v>1279.9850000000001</v>
      </c>
      <c r="S107" s="186">
        <f>((I6*I6)/162)*R107</f>
        <v>790.1141975308642</v>
      </c>
      <c r="T107" s="154" t="s">
        <v>156</v>
      </c>
    </row>
    <row r="108" spans="2:21" ht="20.25" customHeight="1">
      <c r="C108" s="154" t="s">
        <v>101</v>
      </c>
      <c r="D108" s="191">
        <f>ROUNDUP(+E107/K6,0)</f>
        <v>37</v>
      </c>
      <c r="E108" s="184"/>
      <c r="G108" s="192"/>
      <c r="H108" s="192"/>
      <c r="I108" s="191"/>
      <c r="J108" s="191">
        <f>0.5*(0.075+0.05)*0.075*C6*D108</f>
        <v>5.2031250000000001E-2</v>
      </c>
      <c r="K108" s="191">
        <f>+(0.075+0.08)*C6*D108</f>
        <v>1.7204999999999999</v>
      </c>
      <c r="L108" s="193">
        <f>+D108</f>
        <v>37</v>
      </c>
      <c r="M108" s="188">
        <f>+ROUNDUP(L108,0)</f>
        <v>37</v>
      </c>
      <c r="N108" s="194">
        <f>+(C6-0.08)+((0.075+0.05-0.04)*2)</f>
        <v>0.38999999999999996</v>
      </c>
      <c r="O108" s="193"/>
      <c r="P108" s="195"/>
      <c r="Q108" s="195"/>
      <c r="R108" s="190">
        <f>+N108*M108+P108*Q108</f>
        <v>14.429999999999998</v>
      </c>
      <c r="S108" s="186">
        <f>((I6*I6)/162)*R108</f>
        <v>8.9074074074074048</v>
      </c>
      <c r="T108" s="154" t="s">
        <v>156</v>
      </c>
      <c r="U108" s="191">
        <f>S107+S108</f>
        <v>799.02160493827159</v>
      </c>
    </row>
    <row r="109" spans="2:21">
      <c r="E109" s="184"/>
    </row>
    <row r="110" spans="2:21">
      <c r="B110" s="154" t="s">
        <v>154</v>
      </c>
      <c r="C110" s="178" t="s">
        <v>157</v>
      </c>
      <c r="E110" s="184">
        <v>130.11000000000001</v>
      </c>
      <c r="G110" s="185">
        <f>+E110*(C9+E9*2+3)</f>
        <v>474.90150000000006</v>
      </c>
      <c r="H110" s="185">
        <f>+E110*(C9+E9*2)*(D9+E9+F9)</f>
        <v>50.742900000000013</v>
      </c>
      <c r="I110" s="186">
        <f>+(C9+E9*2)*E110*F9</f>
        <v>4.2285750000000011</v>
      </c>
      <c r="J110" s="186">
        <f>+E110*((C9+E9*2)*E9+(D9*E9*2))</f>
        <v>20.167050000000007</v>
      </c>
      <c r="K110" s="186">
        <f>+(D9+$K$104*(D9+E9))*E110*2</f>
        <v>260.22000000000003</v>
      </c>
      <c r="L110" s="187">
        <f>+(E110)/H9+ IF(E110&gt;0,1,0)</f>
        <v>651.55000000000007</v>
      </c>
      <c r="M110" s="188">
        <f>+ROUNDUP(L110,0)</f>
        <v>652</v>
      </c>
      <c r="N110" s="189">
        <f>+(D9+E9-0.08)*2+(C9+E9*2-0.08)</f>
        <v>1.5100000000000002</v>
      </c>
      <c r="O110" s="187">
        <f>+N110/J9+1</f>
        <v>7.0400000000000009</v>
      </c>
      <c r="P110" s="188">
        <f>+ROUNDUP(O110,0)</f>
        <v>8</v>
      </c>
      <c r="Q110" s="188">
        <f>+E110+E110/6*50*(G9/1000)</f>
        <v>140.95250000000001</v>
      </c>
      <c r="R110" s="190">
        <f>+N110*M110+P110*Q110</f>
        <v>2112.1400000000003</v>
      </c>
      <c r="S110" s="186">
        <f>((I9*I9)/162)*R110</f>
        <v>1303.7901234567903</v>
      </c>
      <c r="T110" s="154" t="s">
        <v>156</v>
      </c>
    </row>
    <row r="111" spans="2:21">
      <c r="C111" s="154" t="s">
        <v>101</v>
      </c>
      <c r="D111" s="191">
        <f>ROUNDUP(+E110/K9,0)</f>
        <v>44</v>
      </c>
      <c r="E111" s="184"/>
      <c r="G111" s="192"/>
      <c r="H111" s="192"/>
      <c r="I111" s="191"/>
      <c r="J111" s="191">
        <f>0.5*(0.075+0.05)*0.075*C9*D111</f>
        <v>9.2812500000000006E-2</v>
      </c>
      <c r="K111" s="191">
        <f>+(0.075+0.08)*C9*D111</f>
        <v>3.0690000000000004</v>
      </c>
      <c r="L111" s="193">
        <f>+D111</f>
        <v>44</v>
      </c>
      <c r="M111" s="188">
        <f>+ROUNDUP(L111,0)</f>
        <v>44</v>
      </c>
      <c r="N111" s="194">
        <f>+(C9-0.08)+((0.075+0.05-0.04)*2)</f>
        <v>0.54</v>
      </c>
      <c r="O111" s="193"/>
      <c r="P111" s="195"/>
      <c r="Q111" s="195"/>
      <c r="R111" s="190">
        <f>+N111*M111+P111*Q111</f>
        <v>23.76</v>
      </c>
      <c r="S111" s="186">
        <f>((I9*I9)/162)*R111</f>
        <v>14.666666666666666</v>
      </c>
      <c r="T111" s="154" t="s">
        <v>156</v>
      </c>
      <c r="U111" s="191">
        <f>S110+S111</f>
        <v>1318.456790123457</v>
      </c>
    </row>
    <row r="112" spans="2:21">
      <c r="E112" s="184"/>
    </row>
    <row r="113" spans="2:21">
      <c r="B113" s="154" t="s">
        <v>154</v>
      </c>
      <c r="C113" s="178" t="s">
        <v>158</v>
      </c>
      <c r="E113" s="184">
        <v>96.48</v>
      </c>
      <c r="G113" s="185">
        <f>+E113*(C12+E12*2+3)</f>
        <v>366.62400000000002</v>
      </c>
      <c r="H113" s="185">
        <f>+E113*(C12+E12*2)*(D12+E12+F12)</f>
        <v>57.888000000000005</v>
      </c>
      <c r="I113" s="186">
        <f>+(C12+E12*2)*E113*F12</f>
        <v>3.8592000000000009</v>
      </c>
      <c r="J113" s="186">
        <f>+E113*((C12+E12*2)*E12+(D12*E12*2))</f>
        <v>19.296000000000003</v>
      </c>
      <c r="K113" s="186">
        <f>+(D12+$K$104*(D12+E12))*E113*2</f>
        <v>250.84799999999998</v>
      </c>
      <c r="L113" s="187">
        <f>+(E113)/H12+ IF(E113&gt;0,1,0)</f>
        <v>483.4</v>
      </c>
      <c r="M113" s="188">
        <f>+ROUNDUP(L113,0)</f>
        <v>484</v>
      </c>
      <c r="N113" s="189">
        <f>+(D12+E12-0.08)*2+(C12+E12*2-0.08)</f>
        <v>1.96</v>
      </c>
      <c r="O113" s="187">
        <f>+N113/J12+1</f>
        <v>8.84</v>
      </c>
      <c r="P113" s="188">
        <f>+ROUNDUP(O113,0)</f>
        <v>9</v>
      </c>
      <c r="Q113" s="188">
        <f>+E113+E113/6*50*(G12/1000)</f>
        <v>104.52000000000001</v>
      </c>
      <c r="R113" s="190">
        <f>+N113*M113+P113*Q113</f>
        <v>1889.3200000000002</v>
      </c>
      <c r="S113" s="186">
        <f>((I12*I12)/162)*R113</f>
        <v>1166.2469135802469</v>
      </c>
      <c r="T113" s="154" t="s">
        <v>156</v>
      </c>
    </row>
    <row r="114" spans="2:21">
      <c r="C114" s="154" t="s">
        <v>101</v>
      </c>
      <c r="D114" s="191">
        <f>ROUNDUP(+E113/K12,0)</f>
        <v>33</v>
      </c>
      <c r="E114" s="184"/>
      <c r="G114" s="192"/>
      <c r="H114" s="192"/>
      <c r="I114" s="191"/>
      <c r="J114" s="191">
        <f>0.5*(0.075+0.05)*0.075*C12*D114</f>
        <v>9.2812499999999992E-2</v>
      </c>
      <c r="K114" s="191">
        <f>+(0.075+0.08)*C12*D114</f>
        <v>3.069</v>
      </c>
      <c r="L114" s="193">
        <f>+D114</f>
        <v>33</v>
      </c>
      <c r="M114" s="188">
        <f>+ROUNDUP(L114,0)</f>
        <v>33</v>
      </c>
      <c r="N114" s="194">
        <f>+(C12-0.08)+((0.075+0.05-0.04)*2)</f>
        <v>0.69</v>
      </c>
      <c r="O114" s="193"/>
      <c r="P114" s="195"/>
      <c r="Q114" s="195"/>
      <c r="R114" s="190">
        <f>+N114*M114+P114*Q114</f>
        <v>22.77</v>
      </c>
      <c r="S114" s="186">
        <f>((I12*I12)/162)*R114</f>
        <v>14.055555555555555</v>
      </c>
      <c r="T114" s="154" t="s">
        <v>156</v>
      </c>
      <c r="U114" s="191">
        <f>S113+S114</f>
        <v>1180.3024691358025</v>
      </c>
    </row>
    <row r="115" spans="2:21">
      <c r="E115" s="184"/>
    </row>
    <row r="116" spans="2:21" hidden="1">
      <c r="B116" s="154" t="s">
        <v>154</v>
      </c>
      <c r="C116" s="178" t="s">
        <v>159</v>
      </c>
      <c r="E116" s="184"/>
      <c r="G116" s="185">
        <f>+E116*(C15+E15*2+1.5)</f>
        <v>0</v>
      </c>
      <c r="H116" s="185">
        <f>+E116*(C15+E15*2)*(D15+E15+F15)</f>
        <v>0</v>
      </c>
      <c r="I116" s="186">
        <f>+(C15+E15*2)*E116*F15</f>
        <v>0</v>
      </c>
      <c r="J116" s="186">
        <f>+E116*((C15+E15*2)*E15+(D15*E15*2))</f>
        <v>0</v>
      </c>
      <c r="K116" s="186">
        <f>+(D15+$K$104*(D15+E15))*E116*2</f>
        <v>0</v>
      </c>
      <c r="L116" s="187">
        <f>+(E116)/H15+ IF(E116&gt;0,1,0)</f>
        <v>0</v>
      </c>
      <c r="M116" s="188">
        <f>+ROUNDUP(L116,0)</f>
        <v>0</v>
      </c>
      <c r="N116" s="189">
        <f>+(D15+E15-0.08)*2+(C15+E15*2-0.08)</f>
        <v>2.5100000000000002</v>
      </c>
      <c r="O116" s="187">
        <f>+N116/J15+1</f>
        <v>11.040000000000001</v>
      </c>
      <c r="P116" s="188">
        <f>+ROUNDUP(O116,0)</f>
        <v>12</v>
      </c>
      <c r="Q116" s="188">
        <f>+E116+E116/6*50*(G15/1000)</f>
        <v>0</v>
      </c>
      <c r="R116" s="190">
        <f>+N116*M116+P116*Q116</f>
        <v>0</v>
      </c>
      <c r="S116" s="186">
        <f>((I15*I15)/162)*R116</f>
        <v>0</v>
      </c>
      <c r="T116" s="154" t="s">
        <v>156</v>
      </c>
    </row>
    <row r="117" spans="2:21" hidden="1">
      <c r="C117" s="154" t="s">
        <v>101</v>
      </c>
      <c r="D117" s="191">
        <f>ROUNDUP(+E116/K15,0)</f>
        <v>0</v>
      </c>
      <c r="E117" s="184"/>
      <c r="G117" s="192"/>
      <c r="H117" s="192"/>
      <c r="I117" s="191"/>
      <c r="J117" s="191">
        <f>0.5*(0.075+0.05)*0.075*C15*D117</f>
        <v>0</v>
      </c>
      <c r="K117" s="191">
        <f>+(0.075+0.08)*C15*D117</f>
        <v>0</v>
      </c>
      <c r="L117" s="193">
        <f>+D117</f>
        <v>0</v>
      </c>
      <c r="M117" s="188">
        <f>+ROUNDUP(L117,0)</f>
        <v>0</v>
      </c>
      <c r="N117" s="194">
        <f>+(C15-0.08)+((0.075+0.05-0.04)*2)</f>
        <v>0.84000000000000008</v>
      </c>
      <c r="O117" s="193"/>
      <c r="P117" s="195"/>
      <c r="Q117" s="195"/>
      <c r="R117" s="190">
        <f>+N117*M117+P117*Q117</f>
        <v>0</v>
      </c>
      <c r="S117" s="186">
        <f>((I15*I15)/162)*R117</f>
        <v>0</v>
      </c>
      <c r="T117" s="154" t="s">
        <v>156</v>
      </c>
      <c r="U117" s="191">
        <f>S116+S117</f>
        <v>0</v>
      </c>
    </row>
    <row r="118" spans="2:21" hidden="1">
      <c r="B118" s="154" t="s">
        <v>154</v>
      </c>
      <c r="C118" s="178" t="s">
        <v>160</v>
      </c>
      <c r="E118" s="184"/>
      <c r="G118" s="196">
        <f>+E118*(C15+E15*2+1.5)</f>
        <v>0</v>
      </c>
      <c r="H118" s="196">
        <f>+E118*(C15+E15*2)*(D15+E15+F15)</f>
        <v>0</v>
      </c>
      <c r="I118" s="197">
        <f>+(C15+E15*2)*E118*F15</f>
        <v>0</v>
      </c>
      <c r="J118" s="197">
        <f>+E118*((C15+E15*2)*E15+(D15*E15*2))</f>
        <v>0</v>
      </c>
      <c r="K118" s="197">
        <f>+(D15+$K$104*(D15+E15))*E118*2</f>
        <v>0</v>
      </c>
      <c r="L118" s="187">
        <f>+(E118)/H15+ IF(E118&gt;0,1,0)</f>
        <v>0</v>
      </c>
      <c r="M118" s="198">
        <f>+ROUNDUP(L118,0)</f>
        <v>0</v>
      </c>
      <c r="N118" s="189">
        <f>+(D15+E15-0.08)*2+(C15+E15*2-0.08)</f>
        <v>2.5100000000000002</v>
      </c>
      <c r="O118" s="187">
        <f>+N118/J15+1</f>
        <v>11.040000000000001</v>
      </c>
      <c r="P118" s="198">
        <f>+ROUNDUP(O118,0)</f>
        <v>12</v>
      </c>
      <c r="Q118" s="188">
        <f>+E118+E118/6*50*(G15/1000)</f>
        <v>0</v>
      </c>
      <c r="R118" s="190">
        <f>+N118*M118+P118*Q118</f>
        <v>0</v>
      </c>
      <c r="S118" s="197">
        <f>((I15*I15)/162)*R118</f>
        <v>0</v>
      </c>
      <c r="T118" s="154" t="s">
        <v>156</v>
      </c>
    </row>
    <row r="119" spans="2:21" hidden="1">
      <c r="C119" s="154" t="s">
        <v>101</v>
      </c>
      <c r="D119" s="191">
        <f>ROUNDUP(+E118/K15,0)</f>
        <v>0</v>
      </c>
      <c r="E119" s="184"/>
      <c r="G119" s="199"/>
      <c r="H119" s="199"/>
      <c r="I119" s="200"/>
      <c r="J119" s="200">
        <f>0.5*(0.075+0.05)*0.075*C15*D119</f>
        <v>0</v>
      </c>
      <c r="K119" s="200">
        <f>+(0.075+0.08)*C15*D119</f>
        <v>0</v>
      </c>
      <c r="L119" s="193">
        <f>+D119</f>
        <v>0</v>
      </c>
      <c r="M119" s="198">
        <f>+ROUNDUP(L119,0)</f>
        <v>0</v>
      </c>
      <c r="N119" s="194">
        <f>+(C15-0.08)+((0.075+0.05-0.04)*2)</f>
        <v>0.84000000000000008</v>
      </c>
      <c r="O119" s="193"/>
      <c r="P119" s="201"/>
      <c r="Q119" s="195"/>
      <c r="R119" s="190">
        <f>+N119*M119+P119*Q119</f>
        <v>0</v>
      </c>
      <c r="S119" s="197">
        <f>((I15*I15)/162)*R119</f>
        <v>0</v>
      </c>
      <c r="T119" s="154" t="s">
        <v>156</v>
      </c>
    </row>
    <row r="120" spans="2:21" hidden="1">
      <c r="B120" s="202" t="s">
        <v>161</v>
      </c>
      <c r="D120" s="191"/>
      <c r="E120" s="184"/>
      <c r="G120" s="192"/>
      <c r="H120" s="192"/>
      <c r="I120" s="191"/>
      <c r="J120" s="191"/>
      <c r="K120" s="191"/>
      <c r="L120" s="193"/>
      <c r="M120" s="195"/>
      <c r="N120" s="194"/>
      <c r="O120" s="193"/>
      <c r="P120" s="195"/>
      <c r="Q120" s="195"/>
      <c r="R120" s="203"/>
      <c r="S120" s="191"/>
    </row>
    <row r="121" spans="2:21" hidden="1">
      <c r="C121" s="202" t="s">
        <v>162</v>
      </c>
      <c r="D121" s="191"/>
      <c r="E121" s="184"/>
      <c r="G121" s="192"/>
      <c r="H121" s="192"/>
      <c r="I121" s="191"/>
      <c r="J121" s="191"/>
      <c r="K121" s="191"/>
      <c r="L121" s="193"/>
      <c r="M121" s="195"/>
      <c r="N121" s="194"/>
      <c r="O121" s="193"/>
      <c r="P121" s="195"/>
      <c r="Q121" s="195"/>
      <c r="R121" s="203"/>
      <c r="S121" s="191"/>
    </row>
    <row r="122" spans="2:21" hidden="1">
      <c r="C122" s="202" t="s">
        <v>163</v>
      </c>
      <c r="D122" s="191"/>
      <c r="E122" s="184"/>
      <c r="G122" s="192"/>
      <c r="H122" s="192"/>
      <c r="I122" s="191"/>
      <c r="J122" s="191"/>
      <c r="K122" s="191"/>
      <c r="L122" s="193"/>
      <c r="M122" s="195"/>
      <c r="N122" s="194"/>
      <c r="O122" s="193"/>
      <c r="P122" s="195"/>
      <c r="Q122" s="195"/>
      <c r="R122" s="203"/>
      <c r="S122" s="191"/>
    </row>
    <row r="123" spans="2:21" hidden="1"/>
    <row r="124" spans="2:21" hidden="1">
      <c r="B124" s="154" t="s">
        <v>154</v>
      </c>
      <c r="C124" s="178" t="s">
        <v>164</v>
      </c>
      <c r="E124" s="184"/>
      <c r="G124" s="196">
        <f>+E124*(C18+E18*2+1.5)</f>
        <v>0</v>
      </c>
      <c r="H124" s="196">
        <f>+E124*(C18+E18*2)*(D18+E18+F18)</f>
        <v>0</v>
      </c>
      <c r="I124" s="197">
        <f>+(C18+E18*2)*E124*F18</f>
        <v>0</v>
      </c>
      <c r="J124" s="197">
        <f>+E124*((C18+E18*2)*E18+(D18*E18*2))</f>
        <v>0</v>
      </c>
      <c r="K124" s="197">
        <f>+(D18+$K$104*(D18+E18))*E124*2</f>
        <v>0</v>
      </c>
      <c r="L124" s="187">
        <f>+(E124)/H18+ IF(E124&gt;0,1,0)</f>
        <v>0</v>
      </c>
      <c r="M124" s="198">
        <f>+ROUNDUP(L124,0)</f>
        <v>0</v>
      </c>
      <c r="N124" s="189">
        <f>+(D18+E18-0.08)*2+(C18+E18*2-0.08)</f>
        <v>3.06</v>
      </c>
      <c r="O124" s="187">
        <f>+N124/J18+1</f>
        <v>13.24</v>
      </c>
      <c r="P124" s="198">
        <f>+ROUNDUP(O124,0)</f>
        <v>14</v>
      </c>
      <c r="Q124" s="188">
        <f>+E124+E124/6*50*(G18/1000)</f>
        <v>0</v>
      </c>
      <c r="R124" s="190">
        <f>+N124*M124+P124*Q124</f>
        <v>0</v>
      </c>
      <c r="S124" s="197">
        <f>((I18*I18)/162)*R124</f>
        <v>0</v>
      </c>
      <c r="T124" s="154" t="s">
        <v>156</v>
      </c>
    </row>
    <row r="125" spans="2:21" hidden="1">
      <c r="C125" s="154" t="s">
        <v>101</v>
      </c>
      <c r="D125" s="191">
        <f>ROUNDUP(+E124/K18,0)</f>
        <v>0</v>
      </c>
      <c r="E125" s="184"/>
      <c r="G125" s="199"/>
      <c r="H125" s="199"/>
      <c r="I125" s="200"/>
      <c r="J125" s="200">
        <f>0.5*(0.075+0.05)*0.075*C18*D125</f>
        <v>0</v>
      </c>
      <c r="K125" s="200">
        <f>+(0.075+0.08)*C18*D125</f>
        <v>0</v>
      </c>
      <c r="L125" s="193">
        <f>+D125</f>
        <v>0</v>
      </c>
      <c r="M125" s="198">
        <f>+ROUNDUP(L125,0)</f>
        <v>0</v>
      </c>
      <c r="N125" s="194">
        <f>+(C18-0.08)+((0.075+0.05-0.04)*2)</f>
        <v>0.99</v>
      </c>
      <c r="O125" s="193"/>
      <c r="P125" s="201"/>
      <c r="Q125" s="195"/>
      <c r="R125" s="190">
        <f>+N125*M125+P125*Q125</f>
        <v>0</v>
      </c>
      <c r="S125" s="197">
        <f>((I18*I18)/162)*R125</f>
        <v>0</v>
      </c>
      <c r="T125" s="154" t="s">
        <v>156</v>
      </c>
    </row>
    <row r="126" spans="2:21" hidden="1"/>
    <row r="127" spans="2:21" hidden="1">
      <c r="B127" s="154" t="s">
        <v>154</v>
      </c>
      <c r="C127" s="178" t="s">
        <v>165</v>
      </c>
      <c r="E127" s="184"/>
      <c r="G127" s="185">
        <f>+E127*(C21+E21*2+3)</f>
        <v>0</v>
      </c>
      <c r="H127" s="185">
        <f>+E127*(C21+E21*2)*(D21+E21+F21)</f>
        <v>0</v>
      </c>
      <c r="I127" s="186">
        <f>+(C21+E21*2)*E127*F21</f>
        <v>0</v>
      </c>
      <c r="J127" s="186">
        <f>+E127*((C21+E21*2)*E21+(D21*E21*2))</f>
        <v>0</v>
      </c>
      <c r="K127" s="186">
        <f>+(D21+$K$104*(D21+E21))*E127*2</f>
        <v>0</v>
      </c>
      <c r="L127" s="187">
        <f>+(E127)/H21+ IF(E127&gt;0,1,0)</f>
        <v>0</v>
      </c>
      <c r="M127" s="188">
        <f>+ROUNDUP(L127,0)</f>
        <v>0</v>
      </c>
      <c r="N127" s="189">
        <f>+(D21+E21-0.08)*2+(C21+E21*2-0.08)</f>
        <v>3.3599999999999994</v>
      </c>
      <c r="O127" s="187">
        <f>+N127/J21+1</f>
        <v>14.439999999999998</v>
      </c>
      <c r="P127" s="188">
        <f>+ROUNDUP(O127,0)</f>
        <v>15</v>
      </c>
      <c r="Q127" s="188">
        <f>+E127+E127/6*50*(G21/1000)</f>
        <v>0</v>
      </c>
      <c r="R127" s="190">
        <f>+N127*M127+P127*Q127</f>
        <v>0</v>
      </c>
      <c r="S127" s="186">
        <f>((I21*I21)/162)*R127</f>
        <v>0</v>
      </c>
      <c r="T127" s="154" t="s">
        <v>156</v>
      </c>
    </row>
    <row r="128" spans="2:21" hidden="1">
      <c r="C128" s="154" t="s">
        <v>101</v>
      </c>
      <c r="D128" s="191">
        <f>ROUNDUP(+E127/K21,0)</f>
        <v>0</v>
      </c>
      <c r="E128" s="184"/>
      <c r="G128" s="192"/>
      <c r="H128" s="192"/>
      <c r="I128" s="191"/>
      <c r="J128" s="191">
        <f>0.5*(0.075+0.05)*0.075*C21*D128</f>
        <v>0</v>
      </c>
      <c r="K128" s="191">
        <f>+(0.075+0.08)*C21*D128</f>
        <v>0</v>
      </c>
      <c r="L128" s="193">
        <f>+D128</f>
        <v>0</v>
      </c>
      <c r="M128" s="188">
        <f>+ROUNDUP(L128,0)</f>
        <v>0</v>
      </c>
      <c r="N128" s="194">
        <f>+(C21-0.08)+((0.075+0.05-0.04)*2)</f>
        <v>1.0900000000000001</v>
      </c>
      <c r="O128" s="193"/>
      <c r="P128" s="195"/>
      <c r="Q128" s="195"/>
      <c r="R128" s="190">
        <f>+N128*M128+P128*Q128</f>
        <v>0</v>
      </c>
      <c r="S128" s="186">
        <f>((I21*I21)/162)*R128</f>
        <v>0</v>
      </c>
      <c r="T128" s="154" t="s">
        <v>156</v>
      </c>
    </row>
    <row r="129" spans="2:20" hidden="1"/>
    <row r="130" spans="2:20" hidden="1">
      <c r="B130" s="154" t="s">
        <v>154</v>
      </c>
      <c r="C130" s="178" t="s">
        <v>166</v>
      </c>
      <c r="E130" s="184"/>
      <c r="G130" s="196">
        <f>+E130*(C24+E24*2+1.5)</f>
        <v>0</v>
      </c>
      <c r="H130" s="196">
        <f>+E130*(C24+E24*2)*(((D24+E24+F24)*2+0.1)/2)</f>
        <v>0</v>
      </c>
      <c r="I130" s="197">
        <f>+(C24+E24*2)*E130*F24</f>
        <v>0</v>
      </c>
      <c r="J130" s="197">
        <f>+E130*((C24+E24*2)*E24+(D24*E24)+((D24+0.1)*E24))</f>
        <v>0</v>
      </c>
      <c r="K130" s="197">
        <f>+((D24*2)+$K$104*((D24+E24)+(D24+E24+0.1)))*E130</f>
        <v>0</v>
      </c>
      <c r="L130" s="187">
        <f>+(E130)/H24+ IF(E130&gt;0,1,0)</f>
        <v>0</v>
      </c>
      <c r="M130" s="198">
        <f>+ROUNDUP(L130,0)</f>
        <v>0</v>
      </c>
      <c r="N130" s="189">
        <f>+(D24+E24-0.08)+(D24+E24+0.1-0.08)+(C24+E24*2-0.08)</f>
        <v>1.1599999999999999</v>
      </c>
      <c r="O130" s="187">
        <f>+N130/J24+1</f>
        <v>5.64</v>
      </c>
      <c r="P130" s="198">
        <f>+ROUNDUP(O130,0)</f>
        <v>6</v>
      </c>
      <c r="Q130" s="188">
        <f>+E130+E130/6*50*(G24/1000)</f>
        <v>0</v>
      </c>
      <c r="R130" s="190">
        <f>+N130*M130+P130*Q130</f>
        <v>0</v>
      </c>
      <c r="S130" s="197">
        <f>((I24*I24)/162)*R130</f>
        <v>0</v>
      </c>
      <c r="T130" s="154" t="s">
        <v>156</v>
      </c>
    </row>
    <row r="131" spans="2:20" hidden="1">
      <c r="C131" s="154" t="s">
        <v>101</v>
      </c>
      <c r="D131" s="191">
        <f>ROUNDUP(+E130/K24,0)</f>
        <v>0</v>
      </c>
      <c r="E131" s="184"/>
      <c r="G131" s="199"/>
      <c r="H131" s="199"/>
      <c r="I131" s="200"/>
      <c r="J131" s="200">
        <f>0.5*(0.075+0.05)*0.075*C24*D131</f>
        <v>0</v>
      </c>
      <c r="K131" s="200">
        <f>+(0.075+0.08)*C24*D131</f>
        <v>0</v>
      </c>
      <c r="L131" s="193">
        <f>+D131</f>
        <v>0</v>
      </c>
      <c r="M131" s="198">
        <f>+ROUNDUP(L131,0)</f>
        <v>0</v>
      </c>
      <c r="N131" s="194">
        <f>+(C24-0.08)+((0.075+0.05-0.04)*2)</f>
        <v>0.38999999999999996</v>
      </c>
      <c r="O131" s="193"/>
      <c r="P131" s="201"/>
      <c r="Q131" s="195"/>
      <c r="R131" s="190">
        <f>+N131*M131+P131*Q131</f>
        <v>0</v>
      </c>
      <c r="S131" s="197">
        <f>((I24*I24)/162)*R131</f>
        <v>0</v>
      </c>
      <c r="T131" s="154" t="s">
        <v>156</v>
      </c>
    </row>
    <row r="132" spans="2:20" hidden="1"/>
    <row r="133" spans="2:20" hidden="1">
      <c r="B133" s="154" t="s">
        <v>154</v>
      </c>
      <c r="C133" s="178" t="s">
        <v>167</v>
      </c>
      <c r="E133" s="184"/>
      <c r="G133" s="185">
        <f>+E133*(C27+E27*2+1.5)</f>
        <v>0</v>
      </c>
      <c r="H133" s="185">
        <f>+E133*(C27+E27*2)*(((D27+E27+F27)*2+0.1)/2)</f>
        <v>0</v>
      </c>
      <c r="I133" s="186">
        <f>+(C27+E27*2)*E133*F27</f>
        <v>0</v>
      </c>
      <c r="J133" s="186">
        <f>+E133*((C27+E27*2)*E27+(D27*E27)+((D27+0.1)*E27))</f>
        <v>0</v>
      </c>
      <c r="K133" s="186">
        <f>+((D27*2)+$K$104*((D27+E27)+(D27+E27+0.1)))*E133</f>
        <v>0</v>
      </c>
      <c r="L133" s="187">
        <f>+(E133)/H27+ IF(E133&gt;0,1,0)</f>
        <v>0</v>
      </c>
      <c r="M133" s="188">
        <f>+ROUNDUP(L133,0)</f>
        <v>0</v>
      </c>
      <c r="N133" s="189">
        <f>+(D27+E27-0.08)+(D27+E27+0.1-0.08)+(C27+E27*2-0.08)</f>
        <v>2.06</v>
      </c>
      <c r="O133" s="187">
        <f>+N133/J27+1</f>
        <v>9.24</v>
      </c>
      <c r="P133" s="188">
        <f>+ROUNDUP(O133,0)</f>
        <v>10</v>
      </c>
      <c r="Q133" s="188">
        <f>+E133+E133/6*50*(G27/1000)</f>
        <v>0</v>
      </c>
      <c r="R133" s="190">
        <f>+N133*M133+P133*Q133</f>
        <v>0</v>
      </c>
      <c r="S133" s="186">
        <f>((I27*I27)/162)*R133</f>
        <v>0</v>
      </c>
      <c r="T133" s="154" t="s">
        <v>156</v>
      </c>
    </row>
    <row r="134" spans="2:20" hidden="1">
      <c r="C134" s="154" t="s">
        <v>101</v>
      </c>
      <c r="D134" s="191">
        <f>ROUNDUP(+E133/K27,0)</f>
        <v>0</v>
      </c>
      <c r="E134" s="184"/>
      <c r="G134" s="192"/>
      <c r="H134" s="192"/>
      <c r="I134" s="191"/>
      <c r="J134" s="191">
        <f>0.5*(0.075+0.05)*0.075*C27*D134</f>
        <v>0</v>
      </c>
      <c r="K134" s="191">
        <f>+(0.075+0.08)*C27*D134</f>
        <v>0</v>
      </c>
      <c r="L134" s="193">
        <f>+D134</f>
        <v>0</v>
      </c>
      <c r="M134" s="188">
        <f>+ROUNDUP(L134,0)</f>
        <v>0</v>
      </c>
      <c r="N134" s="194">
        <f>+(C27-0.08)+((0.075+0.05-0.04)*2)</f>
        <v>0.69</v>
      </c>
      <c r="O134" s="193"/>
      <c r="P134" s="195"/>
      <c r="Q134" s="195"/>
      <c r="R134" s="190">
        <f>+N134*M134+P134*Q134</f>
        <v>0</v>
      </c>
      <c r="S134" s="186">
        <f>((I27*I27)/162)*R134</f>
        <v>0</v>
      </c>
      <c r="T134" s="154" t="s">
        <v>156</v>
      </c>
    </row>
    <row r="135" spans="2:20" hidden="1"/>
    <row r="136" spans="2:20" hidden="1">
      <c r="B136" s="154" t="s">
        <v>154</v>
      </c>
      <c r="C136" s="178" t="s">
        <v>168</v>
      </c>
      <c r="E136" s="184"/>
      <c r="G136" s="185">
        <f>+E136*(C30+E30*2+0.5)</f>
        <v>0</v>
      </c>
      <c r="H136" s="185">
        <f>+E136*(C30+E30*2)*(((D30+E30+F30)*2+0.1)/2)</f>
        <v>0</v>
      </c>
      <c r="I136" s="186">
        <f>+(C30+E30*2)*E136*F30</f>
        <v>0</v>
      </c>
      <c r="J136" s="186">
        <f>+E136*((C30+E30*2)*E30+(D30*E30)+((D30+0.1)*E30))</f>
        <v>0</v>
      </c>
      <c r="K136" s="186">
        <f>+((D30*2)+$K$104*((D30+E30)+(D30+E30+0.1)))*E136</f>
        <v>0</v>
      </c>
      <c r="L136" s="187">
        <f>+(E136)/H30+ IF(E136&gt;0,1,0)</f>
        <v>0</v>
      </c>
      <c r="M136" s="188">
        <f>+ROUNDUP(L136,0)</f>
        <v>0</v>
      </c>
      <c r="N136" s="189">
        <f>+(D30+E30-0.08)+(D30+E30+0.1-0.08)+(C30+E30*2-0.08)</f>
        <v>1.1599999999999999</v>
      </c>
      <c r="O136" s="187">
        <f>+N136/J30+1</f>
        <v>5.64</v>
      </c>
      <c r="P136" s="188">
        <f>+ROUNDUP(O136,0)</f>
        <v>6</v>
      </c>
      <c r="Q136" s="188">
        <f>+E136+E136/6*50*(G30/1000)</f>
        <v>0</v>
      </c>
      <c r="R136" s="190">
        <f>+N136*M136+P136*Q136</f>
        <v>0</v>
      </c>
      <c r="S136" s="186">
        <f>((I30*I30)/162)*R136</f>
        <v>0</v>
      </c>
      <c r="T136" s="154" t="s">
        <v>156</v>
      </c>
    </row>
    <row r="137" spans="2:20" hidden="1">
      <c r="C137" s="154" t="s">
        <v>121</v>
      </c>
      <c r="D137" s="191"/>
      <c r="E137" s="184"/>
      <c r="G137" s="185">
        <f>+E137*(C31+0.5)</f>
        <v>0</v>
      </c>
      <c r="H137" s="192">
        <f>+E137*C31*E31</f>
        <v>0</v>
      </c>
      <c r="I137" s="191"/>
      <c r="J137" s="191">
        <f>+E137*C31*E31</f>
        <v>0</v>
      </c>
      <c r="K137" s="191">
        <f>+E137*E31</f>
        <v>0</v>
      </c>
      <c r="L137" s="187">
        <f>+(E137)/H31+ IF(E137&gt;0,1,0)</f>
        <v>0</v>
      </c>
      <c r="M137" s="188">
        <f>+ROUNDUP(L137,0)</f>
        <v>0</v>
      </c>
      <c r="N137" s="189">
        <f>+C31-0.04</f>
        <v>1.46</v>
      </c>
      <c r="O137" s="187">
        <f>+N137/J31+1</f>
        <v>10.733333333333334</v>
      </c>
      <c r="P137" s="188">
        <f>+ROUNDUP(O137,0)</f>
        <v>11</v>
      </c>
      <c r="Q137" s="188">
        <f>+E137+E137/6*50*(G31/1000)</f>
        <v>0</v>
      </c>
      <c r="R137" s="190">
        <f>+N137*M137+P137*Q137</f>
        <v>0</v>
      </c>
      <c r="S137" s="186">
        <f>((I31*I31)/162)*R137</f>
        <v>0</v>
      </c>
      <c r="T137" s="154" t="s">
        <v>156</v>
      </c>
    </row>
    <row r="138" spans="2:20" hidden="1">
      <c r="N138" s="189"/>
    </row>
    <row r="139" spans="2:20" hidden="1">
      <c r="B139" s="154" t="s">
        <v>154</v>
      </c>
      <c r="C139" s="178" t="s">
        <v>169</v>
      </c>
      <c r="E139" s="184"/>
      <c r="G139" s="196">
        <f>+E139*(C33+E33*2+0.5)</f>
        <v>0</v>
      </c>
      <c r="H139" s="196">
        <f>+E139*(C33+E33*2)*(((D33+E33+F33)*2+0.1)/2)</f>
        <v>0</v>
      </c>
      <c r="I139" s="197">
        <f>+(C33+E33*2)*E139*F33</f>
        <v>0</v>
      </c>
      <c r="J139" s="197">
        <f>+E139*((C33+E33*2)*E33+(D33*E33)+((D33+0.1)*E33))</f>
        <v>0</v>
      </c>
      <c r="K139" s="197">
        <f>+((D33*2)+$K$104*((D33+E33)+(D33+E33+0.1)))*E139</f>
        <v>0</v>
      </c>
      <c r="L139" s="187">
        <f>+(E139)/H33+ IF(E139&gt;0,1,0)</f>
        <v>0</v>
      </c>
      <c r="M139" s="198">
        <f>+ROUNDUP(L139,0)</f>
        <v>0</v>
      </c>
      <c r="N139" s="189">
        <f>+(D33+E33-0.08)+(D33+E33+0.1-0.08)+(C33+E33*2-0.08)</f>
        <v>1.61</v>
      </c>
      <c r="O139" s="187">
        <f>+N139/J33+1</f>
        <v>7.44</v>
      </c>
      <c r="P139" s="198">
        <f>+ROUNDUP(O139,0)</f>
        <v>8</v>
      </c>
      <c r="Q139" s="188">
        <f>+E139+E139/6*50*(G33/1000)</f>
        <v>0</v>
      </c>
      <c r="R139" s="190">
        <f>+N139*M139+P139*Q139</f>
        <v>0</v>
      </c>
      <c r="S139" s="197">
        <f>((I33*I33)/162)*R139</f>
        <v>0</v>
      </c>
      <c r="T139" s="154" t="s">
        <v>156</v>
      </c>
    </row>
    <row r="140" spans="2:20" hidden="1">
      <c r="C140" s="154" t="s">
        <v>121</v>
      </c>
      <c r="D140" s="191"/>
      <c r="E140" s="184"/>
      <c r="G140" s="196">
        <f>+E140*(C34+0.5)</f>
        <v>0</v>
      </c>
      <c r="H140" s="199">
        <f>+E140*C34*E34</f>
        <v>0</v>
      </c>
      <c r="I140" s="200"/>
      <c r="J140" s="200">
        <f>+E140*C34*E34</f>
        <v>0</v>
      </c>
      <c r="K140" s="200">
        <f>+E140*E34</f>
        <v>0</v>
      </c>
      <c r="L140" s="187">
        <f>+(E140)/H34+ IF(E140&gt;0,1,0)</f>
        <v>0</v>
      </c>
      <c r="M140" s="198">
        <f>+ROUNDUP(L140,0)</f>
        <v>0</v>
      </c>
      <c r="N140" s="189">
        <f>+C34-0.04</f>
        <v>1.46</v>
      </c>
      <c r="O140" s="187">
        <f>+N140/J34+1</f>
        <v>10.733333333333334</v>
      </c>
      <c r="P140" s="198">
        <f>+ROUNDUP(O140,0)</f>
        <v>11</v>
      </c>
      <c r="Q140" s="188">
        <f>+E140+E140/6*50*(G34/1000)</f>
        <v>0</v>
      </c>
      <c r="R140" s="190">
        <f>+N140*M140+P140*Q140</f>
        <v>0</v>
      </c>
      <c r="S140" s="197">
        <f>((I34*I34)/162)*R140</f>
        <v>0</v>
      </c>
      <c r="T140" s="154" t="s">
        <v>156</v>
      </c>
    </row>
    <row r="141" spans="2:20" hidden="1">
      <c r="N141" s="189"/>
    </row>
    <row r="142" spans="2:20" hidden="1">
      <c r="B142" s="154" t="s">
        <v>154</v>
      </c>
      <c r="C142" s="178" t="s">
        <v>170</v>
      </c>
      <c r="E142" s="184"/>
      <c r="G142" s="196">
        <f>+E142*(C36+E36*2+0.5)</f>
        <v>0</v>
      </c>
      <c r="H142" s="196">
        <f>+E142*(C36+E36*2)*(((D36+E36+F36)*2+0.1)/2)</f>
        <v>0</v>
      </c>
      <c r="I142" s="197">
        <f>+(C36+E36*2)*E142*F36</f>
        <v>0</v>
      </c>
      <c r="J142" s="197">
        <f>+E142*((C36+E36*2)*E36+(D36*E36)+((D36+0.1)*E36))</f>
        <v>0</v>
      </c>
      <c r="K142" s="197">
        <f>+((D36*2)+$K$104*((D36+E36)+(D36+E36+0.1)))*E142</f>
        <v>0</v>
      </c>
      <c r="L142" s="187">
        <f>+(E142)/H36+ IF(E142&gt;0,1,0)</f>
        <v>0</v>
      </c>
      <c r="M142" s="198">
        <f>+ROUNDUP(L142,0)</f>
        <v>0</v>
      </c>
      <c r="N142" s="189">
        <f>+(D36+E36-0.08)+(D36+E36+0.1-0.08)+(C36+E36*2-0.08)</f>
        <v>1.5599999999999998</v>
      </c>
      <c r="O142" s="187">
        <f>+N142/J36+1</f>
        <v>7.2399999999999993</v>
      </c>
      <c r="P142" s="198">
        <f>+ROUNDUP(O142,0)</f>
        <v>8</v>
      </c>
      <c r="Q142" s="188">
        <f>+E142+E142/6*50*(G36/1000)</f>
        <v>0</v>
      </c>
      <c r="R142" s="190">
        <f>+N142*M142+P142*Q142</f>
        <v>0</v>
      </c>
      <c r="S142" s="197">
        <f>((I36*I36)/162)*R142</f>
        <v>0</v>
      </c>
      <c r="T142" s="154" t="s">
        <v>156</v>
      </c>
    </row>
    <row r="143" spans="2:20" hidden="1">
      <c r="C143" s="154" t="s">
        <v>121</v>
      </c>
      <c r="D143" s="191"/>
      <c r="E143" s="184"/>
      <c r="G143" s="196">
        <f>+E143*(C37+0.5)</f>
        <v>0</v>
      </c>
      <c r="H143" s="199">
        <f>+E143*C37*E37</f>
        <v>0</v>
      </c>
      <c r="I143" s="200"/>
      <c r="J143" s="200">
        <f>+E143*C37*E37</f>
        <v>0</v>
      </c>
      <c r="K143" s="200">
        <f>+E143*E37</f>
        <v>0</v>
      </c>
      <c r="L143" s="187">
        <f>+(E143)/H37+ IF(E143&gt;0,1,0)</f>
        <v>0</v>
      </c>
      <c r="M143" s="198">
        <f>+ROUNDUP(L143,0)</f>
        <v>0</v>
      </c>
      <c r="N143" s="189">
        <f>+C37-0.04</f>
        <v>1.46</v>
      </c>
      <c r="O143" s="187">
        <f>+N143/J37+1</f>
        <v>10.733333333333334</v>
      </c>
      <c r="P143" s="198">
        <f>+ROUNDUP(O143,0)</f>
        <v>11</v>
      </c>
      <c r="Q143" s="188">
        <f>+E143+E143/6*50*(G37/1000)</f>
        <v>0</v>
      </c>
      <c r="R143" s="190">
        <f>+N143*M143+P143*Q143</f>
        <v>0</v>
      </c>
      <c r="S143" s="197">
        <f>((I37*I37)/162)*R143</f>
        <v>0</v>
      </c>
      <c r="T143" s="154" t="s">
        <v>156</v>
      </c>
    </row>
    <row r="144" spans="2:20" hidden="1">
      <c r="N144" s="189"/>
    </row>
    <row r="145" spans="2:20" hidden="1">
      <c r="B145" s="376" t="s">
        <v>154</v>
      </c>
      <c r="C145" s="377" t="s">
        <v>171</v>
      </c>
      <c r="E145" s="184"/>
      <c r="G145" s="185">
        <f>+E145*(C39+E39)</f>
        <v>0</v>
      </c>
      <c r="H145" s="185">
        <f>+E145*(C39+E39)*E39</f>
        <v>0</v>
      </c>
      <c r="I145" s="186">
        <f>+E145*(C39+E39)*F39</f>
        <v>0</v>
      </c>
      <c r="J145" s="186">
        <f>+E145*((C39+E39)*E39+(E39*D39))</f>
        <v>0</v>
      </c>
      <c r="K145" s="186">
        <f>+E145*(E39*2+D39*2)</f>
        <v>0</v>
      </c>
      <c r="L145" s="187">
        <f>+(E145)/H39+ IF(E145&gt;0,1,0)</f>
        <v>0</v>
      </c>
      <c r="M145" s="188">
        <f>+ROUNDUP(L145,0)</f>
        <v>0</v>
      </c>
      <c r="N145" s="189">
        <f>+(C39+E39-0.08)+(D39+E39-0.08)</f>
        <v>1.24</v>
      </c>
      <c r="O145" s="187">
        <f>+N145/J39+1</f>
        <v>5.96</v>
      </c>
      <c r="P145" s="188">
        <f>+ROUNDUP(O145,0)</f>
        <v>6</v>
      </c>
      <c r="Q145" s="188">
        <f>+E145+E145/6*50*(G39/1000)</f>
        <v>0</v>
      </c>
      <c r="R145" s="190">
        <f>+N145*M145+P145*Q145</f>
        <v>0</v>
      </c>
      <c r="S145" s="186">
        <f>((I39*I39)/162)*R145</f>
        <v>0</v>
      </c>
      <c r="T145" s="154" t="s">
        <v>156</v>
      </c>
    </row>
    <row r="146" spans="2:20" hidden="1">
      <c r="N146" s="189"/>
    </row>
    <row r="147" spans="2:20" hidden="1">
      <c r="B147" s="154" t="s">
        <v>154</v>
      </c>
      <c r="C147" s="178" t="s">
        <v>172</v>
      </c>
      <c r="E147" s="184"/>
      <c r="G147" s="196">
        <f>+E147*(C41+E41)</f>
        <v>0</v>
      </c>
      <c r="H147" s="196">
        <f>+E147*(C41+E41)*E41</f>
        <v>0</v>
      </c>
      <c r="I147" s="197">
        <f>+E147*(C41+E41)*F41</f>
        <v>0</v>
      </c>
      <c r="J147" s="197">
        <f>+E147*((C41+E41)*E41+(E41*D41))</f>
        <v>0</v>
      </c>
      <c r="K147" s="197">
        <f>+E147*(E41*2+D41*2)</f>
        <v>0</v>
      </c>
      <c r="L147" s="187">
        <f>+(E147)/H41+ IF(E147&gt;0,1,0)</f>
        <v>0</v>
      </c>
      <c r="M147" s="198">
        <f>+ROUNDUP(L147,0)</f>
        <v>0</v>
      </c>
      <c r="N147" s="189">
        <f>+(C41+E41-0.08)+(D41+E41-0.08)</f>
        <v>1.34</v>
      </c>
      <c r="O147" s="187">
        <f>+N147/J41+1</f>
        <v>6.36</v>
      </c>
      <c r="P147" s="198">
        <f>+ROUNDUP(O147,0)</f>
        <v>7</v>
      </c>
      <c r="Q147" s="188">
        <f>+E147+E147/6*50*(G41/1000)</f>
        <v>0</v>
      </c>
      <c r="R147" s="190">
        <f>+N147*M147+P147*Q147</f>
        <v>0</v>
      </c>
      <c r="S147" s="197">
        <f>((I41*I41)/162)*R147</f>
        <v>0</v>
      </c>
      <c r="T147" s="154" t="s">
        <v>156</v>
      </c>
    </row>
    <row r="148" spans="2:20" hidden="1">
      <c r="N148" s="189"/>
    </row>
    <row r="149" spans="2:20" hidden="1">
      <c r="B149" s="154" t="s">
        <v>154</v>
      </c>
      <c r="C149" s="178" t="s">
        <v>173</v>
      </c>
      <c r="E149" s="184"/>
      <c r="G149" s="196">
        <f>+E149*(C43+E43*2+1.5)</f>
        <v>0</v>
      </c>
      <c r="H149" s="196">
        <f>+E149*(C43+E43*2)*(((D43+E43+F43)*2+0.6)/2)</f>
        <v>0</v>
      </c>
      <c r="I149" s="197">
        <f>+(C43+E43*2)*E149*F43</f>
        <v>0</v>
      </c>
      <c r="J149" s="197">
        <f>+E149*((C43+E43*2)*E43+(D43*E43)+((D43+0.6)*E43))</f>
        <v>0</v>
      </c>
      <c r="K149" s="197">
        <f>+((D43*2)+$K$104*((D43+E43)+(D43+E43+0.6)))*E149</f>
        <v>0</v>
      </c>
      <c r="L149" s="187">
        <f>+(E149)/H43+ IF(E149&gt;0,1,0)</f>
        <v>0</v>
      </c>
      <c r="M149" s="198">
        <f>+ROUNDUP(L149,0)</f>
        <v>0</v>
      </c>
      <c r="N149" s="189">
        <f>+(E43+D43+E43+C43+2*E43+E43+D43+0.6+E43-9*0.04)+(E43+D43+2*E43-5*0.04)+(E43+0.6+D43+2*E43-5*0.04)+(C43+4*E43-6*0.04)</f>
        <v>6.2</v>
      </c>
      <c r="O149" s="187">
        <f>2*(D43/J43+1)+2*((D43+0.6)/J43+1)+((C43+2*E43)/J43+1)</f>
        <v>23</v>
      </c>
      <c r="P149" s="198">
        <f>+ROUNDUP(O149,0)</f>
        <v>23</v>
      </c>
      <c r="Q149" s="188">
        <f>+E149+E149/6*50*(G43/1000)</f>
        <v>0</v>
      </c>
      <c r="R149" s="190">
        <f>+N149*M149+P149*Q149</f>
        <v>0</v>
      </c>
      <c r="S149" s="197">
        <f>((I43*I43)/162)*R149</f>
        <v>0</v>
      </c>
      <c r="T149" s="154" t="s">
        <v>156</v>
      </c>
    </row>
    <row r="150" spans="2:20" hidden="1"/>
    <row r="151" spans="2:20" hidden="1">
      <c r="B151" s="154" t="s">
        <v>154</v>
      </c>
      <c r="C151" s="178" t="s">
        <v>174</v>
      </c>
      <c r="E151" s="184"/>
      <c r="G151" s="196">
        <f>+E151*(C45+E45*2+1.5)</f>
        <v>0</v>
      </c>
      <c r="H151" s="196">
        <f>+E151*(C45+E45*2)*(((D45+E45+F45)*2+0.6)/2)</f>
        <v>0</v>
      </c>
      <c r="I151" s="197">
        <f>+(C45+E45*2)*E151*F45</f>
        <v>0</v>
      </c>
      <c r="J151" s="197">
        <f>+E151*((C45+E45*2)*E45+(D45*E45)+((D45+0.6)*E45))</f>
        <v>0</v>
      </c>
      <c r="K151" s="197">
        <f>+((D45*2)+$K$104*((D45+E45)+(D45+E45+0.6)))*E151</f>
        <v>0</v>
      </c>
      <c r="L151" s="187">
        <f>+(E151)/H45+ IF(E151&gt;0,1,0)</f>
        <v>0</v>
      </c>
      <c r="M151" s="198">
        <f>+ROUNDUP(L151,0)</f>
        <v>0</v>
      </c>
      <c r="N151" s="189">
        <f>+(E45+D45+E45+C45+2*E45+E45+D45+0.6+E45-9*0.04)+(E45+D45+2*E45-5*0.04)+(E45+0.6+D45+2*E45-5*0.04)+(C45+4*E45-6*0.04)</f>
        <v>7.4000000000000012</v>
      </c>
      <c r="O151" s="187">
        <f>2*(D45/J45+1)+2*((D45+0.6)/J45+1)+((C45+2*E45)/J45+1)</f>
        <v>27</v>
      </c>
      <c r="P151" s="198">
        <f>+ROUNDUP(O151,0)</f>
        <v>27</v>
      </c>
      <c r="Q151" s="188">
        <f>+E151+E151/6*50*(G45/1000)</f>
        <v>0</v>
      </c>
      <c r="R151" s="190">
        <f>+N151*M151+P151*Q151</f>
        <v>0</v>
      </c>
      <c r="S151" s="197">
        <f>((I45*I45)/162)*R151</f>
        <v>0</v>
      </c>
      <c r="T151" s="154" t="s">
        <v>156</v>
      </c>
    </row>
    <row r="152" spans="2:20" hidden="1"/>
    <row r="153" spans="2:20" hidden="1">
      <c r="B153" s="154" t="s">
        <v>154</v>
      </c>
      <c r="C153" s="178" t="s">
        <v>175</v>
      </c>
      <c r="E153" s="184"/>
      <c r="G153" s="196">
        <f>+E153*(C47+E47*2+1.5)</f>
        <v>0</v>
      </c>
      <c r="H153" s="196">
        <f>+E153*(C47+E47*2)*(D47+F47+F47)</f>
        <v>0</v>
      </c>
      <c r="I153" s="197">
        <f>+(C47+E47*2)*E153*F47</f>
        <v>0</v>
      </c>
      <c r="J153" s="197">
        <f>+E153*((C47+E47*2)*E47+(D47*E47*2))</f>
        <v>0</v>
      </c>
      <c r="K153" s="197">
        <f>+(D47+$K$104*(D47+E47))*E153*2</f>
        <v>0</v>
      </c>
      <c r="L153" s="187">
        <f>+(E153)/H47+ IF(E153&gt;0,1,0)</f>
        <v>0</v>
      </c>
      <c r="M153" s="198">
        <f>+ROUNDUP(L153,0)</f>
        <v>0</v>
      </c>
      <c r="N153" s="189">
        <f>+(D47+E47-0.08)*2+(C47+E47*2-0.08)</f>
        <v>2.36</v>
      </c>
      <c r="O153" s="187">
        <f>+N153/J47+1</f>
        <v>10.44</v>
      </c>
      <c r="P153" s="198">
        <f>+ROUNDUP(O153,0)</f>
        <v>11</v>
      </c>
      <c r="Q153" s="188">
        <f>+E153+E153/6*50*(G47/1000)</f>
        <v>0</v>
      </c>
      <c r="R153" s="190">
        <f>+N153*M153+P153*Q153</f>
        <v>0</v>
      </c>
      <c r="S153" s="197">
        <f>((I47*I47)/162)*R153</f>
        <v>0</v>
      </c>
      <c r="T153" s="154" t="s">
        <v>156</v>
      </c>
    </row>
    <row r="154" spans="2:20" hidden="1">
      <c r="C154" s="154" t="s">
        <v>101</v>
      </c>
      <c r="D154" s="191">
        <f>ROUNDUP(+E153/K47,0)</f>
        <v>0</v>
      </c>
      <c r="E154" s="184"/>
      <c r="G154" s="199"/>
      <c r="H154" s="199"/>
      <c r="I154" s="200"/>
      <c r="J154" s="200">
        <f>0.5*(0.075+0.05)*0.075*C47*D154</f>
        <v>0</v>
      </c>
      <c r="K154" s="200">
        <f>+(0.075+0.08)*C47*D154</f>
        <v>0</v>
      </c>
      <c r="L154" s="193">
        <f>+D154</f>
        <v>0</v>
      </c>
      <c r="M154" s="198">
        <f>+ROUNDUP(L154,0)</f>
        <v>0</v>
      </c>
      <c r="N154" s="194">
        <f>+(C47-0.08)+((0.075+0.05-2*0.04)*2)</f>
        <v>1.01</v>
      </c>
      <c r="O154" s="193"/>
      <c r="P154" s="201"/>
      <c r="Q154" s="195"/>
      <c r="R154" s="190">
        <f>+N154*M154+P154*Q154</f>
        <v>0</v>
      </c>
      <c r="S154" s="197">
        <f>((I47*I47)/162)*R154</f>
        <v>0</v>
      </c>
      <c r="T154" s="154" t="s">
        <v>156</v>
      </c>
    </row>
    <row r="155" spans="2:20" hidden="1">
      <c r="E155" s="184"/>
      <c r="M155" s="204"/>
    </row>
    <row r="156" spans="2:20" hidden="1">
      <c r="B156" s="154" t="s">
        <v>154</v>
      </c>
      <c r="C156" s="178" t="s">
        <v>176</v>
      </c>
      <c r="E156" s="184"/>
      <c r="G156" s="196">
        <f>+E156*(C50+E50*2+1.5)</f>
        <v>0</v>
      </c>
      <c r="H156" s="196">
        <f>+E156*(C50+E50*2)*(D50+F50+F50)</f>
        <v>0</v>
      </c>
      <c r="I156" s="197">
        <f>+(C50+E50*2)*E156*F50</f>
        <v>0</v>
      </c>
      <c r="J156" s="197">
        <f>+E156*((C50+E50*2)*E50+(D50*E50*2))</f>
        <v>0</v>
      </c>
      <c r="K156" s="197">
        <f>+(D50+$K$104*(D50+E50))*E156*2</f>
        <v>0</v>
      </c>
      <c r="L156" s="187">
        <f>+(E156)/H50+ IF(E156&gt;0,1,0)</f>
        <v>0</v>
      </c>
      <c r="M156" s="198">
        <f>+ROUNDUP(L156,0)</f>
        <v>0</v>
      </c>
      <c r="N156" s="189">
        <f>+(D50+E50-0.08)*2+(C50+E50*2-0.08)</f>
        <v>2.8600000000000003</v>
      </c>
      <c r="O156" s="187">
        <f>+N156/J50+1</f>
        <v>12.440000000000001</v>
      </c>
      <c r="P156" s="198">
        <f>+ROUNDUP(O156,0)</f>
        <v>13</v>
      </c>
      <c r="Q156" s="188">
        <f>+E156+E156/6*50*(G50/1000)</f>
        <v>0</v>
      </c>
      <c r="R156" s="190">
        <f>+N156*M156+P156*Q156</f>
        <v>0</v>
      </c>
      <c r="S156" s="197">
        <f>((I50*I50)/162)*R156</f>
        <v>0</v>
      </c>
      <c r="T156" s="154" t="s">
        <v>156</v>
      </c>
    </row>
    <row r="157" spans="2:20" hidden="1">
      <c r="C157" s="154" t="s">
        <v>101</v>
      </c>
      <c r="D157" s="191">
        <f>ROUNDUP(+E156/K50,0)</f>
        <v>0</v>
      </c>
      <c r="E157" s="184"/>
      <c r="G157" s="199"/>
      <c r="H157" s="199"/>
      <c r="I157" s="200"/>
      <c r="J157" s="200">
        <f>0.5*(0.075+0.05)*0.075*C50*D157</f>
        <v>0</v>
      </c>
      <c r="K157" s="200">
        <f>+(0.075+0.08)*C50*D157</f>
        <v>0</v>
      </c>
      <c r="L157" s="193">
        <f>+D157</f>
        <v>0</v>
      </c>
      <c r="M157" s="198">
        <f>+ROUNDUP(L157,0)</f>
        <v>0</v>
      </c>
      <c r="N157" s="194">
        <f>+(C50-0.08)+((0.075+0.05-2*0.04)*2)</f>
        <v>1.01</v>
      </c>
      <c r="O157" s="193"/>
      <c r="P157" s="201"/>
      <c r="Q157" s="195"/>
      <c r="R157" s="190">
        <f>+N157*M157+P157*Q157</f>
        <v>0</v>
      </c>
      <c r="S157" s="197">
        <f>((I50*I50)/162)*R157</f>
        <v>0</v>
      </c>
      <c r="T157" s="154" t="s">
        <v>156</v>
      </c>
    </row>
    <row r="158" spans="2:20" hidden="1"/>
    <row r="159" spans="2:20" hidden="1">
      <c r="B159" s="154" t="s">
        <v>154</v>
      </c>
      <c r="C159" s="178" t="s">
        <v>177</v>
      </c>
      <c r="E159" s="184"/>
      <c r="G159" s="196">
        <f>+E159*(C53+E53*2+1.5)</f>
        <v>0</v>
      </c>
      <c r="H159" s="196">
        <f>+E159*(C53+E53*2)*(D53+F53+F53)</f>
        <v>0</v>
      </c>
      <c r="I159" s="197">
        <f>+(C53+E53*2)*E159*F53</f>
        <v>0</v>
      </c>
      <c r="J159" s="197">
        <f>+E159*((C53+E53*2)*E53+(D53*E53*2))</f>
        <v>0</v>
      </c>
      <c r="K159" s="197">
        <f>+(D53+$K$104*(D53+E53))*E159*2</f>
        <v>0</v>
      </c>
      <c r="L159" s="187">
        <f>+(E159)/H53+ IF(E159&gt;0,1,0)</f>
        <v>0</v>
      </c>
      <c r="M159" s="198">
        <f>+ROUNDUP(L159,0)</f>
        <v>0</v>
      </c>
      <c r="N159" s="189">
        <f>+(E53+D53+E53+C53+2*E53+D53+2*E53-0.04*10)+(E53+D53+2*E53-5*0.04)*2+(C53+4*E53-6*0.04)</f>
        <v>6.96</v>
      </c>
      <c r="O159" s="187">
        <f>(2*(D53+E53)+(C53+2*E53)-6*0.04)/J53*2</f>
        <v>26.08</v>
      </c>
      <c r="P159" s="198">
        <f>+ROUNDUP(O159,0)</f>
        <v>27</v>
      </c>
      <c r="Q159" s="188">
        <f>+E159+E159/6*50*(G53/1000)</f>
        <v>0</v>
      </c>
      <c r="R159" s="190">
        <f>+N159*M159+P159*Q159</f>
        <v>0</v>
      </c>
      <c r="S159" s="197">
        <f>((I53*I53)/162)*R159</f>
        <v>0</v>
      </c>
      <c r="T159" s="154" t="s">
        <v>156</v>
      </c>
    </row>
    <row r="160" spans="2:20" hidden="1">
      <c r="C160" s="154" t="s">
        <v>101</v>
      </c>
      <c r="D160" s="191">
        <f>ROUNDUP(+E159/K53,0)</f>
        <v>0</v>
      </c>
      <c r="E160" s="184"/>
      <c r="G160" s="199"/>
      <c r="H160" s="199"/>
      <c r="I160" s="200"/>
      <c r="J160" s="200">
        <f>0.5*(0.075+0.05)*0.075*C53*D160</f>
        <v>0</v>
      </c>
      <c r="K160" s="200">
        <f>+(0.075+0.08)*C53*D160</f>
        <v>0</v>
      </c>
      <c r="L160" s="193">
        <f>+D160</f>
        <v>0</v>
      </c>
      <c r="M160" s="198">
        <f>+ROUNDUP(L160,0)</f>
        <v>0</v>
      </c>
      <c r="N160" s="194">
        <f>+(C53-0.08)+((0.075+0.05-2*0.04)*2)</f>
        <v>1.01</v>
      </c>
      <c r="O160" s="193"/>
      <c r="P160" s="201"/>
      <c r="Q160" s="195"/>
      <c r="R160" s="190">
        <f>+N160*M160+P160*Q160</f>
        <v>0</v>
      </c>
      <c r="S160" s="197">
        <f>((I53*I53)/162)*R160</f>
        <v>0</v>
      </c>
      <c r="T160" s="154" t="s">
        <v>156</v>
      </c>
    </row>
    <row r="161" spans="2:20" hidden="1"/>
    <row r="162" spans="2:20" hidden="1">
      <c r="B162" s="154" t="s">
        <v>154</v>
      </c>
      <c r="C162" s="178" t="s">
        <v>178</v>
      </c>
      <c r="E162" s="184"/>
      <c r="G162" s="196">
        <f>+E162*(C56+E56*2+1.5)</f>
        <v>0</v>
      </c>
      <c r="H162" s="196">
        <f>+E162*(C56+E56*2)*(D56+F56+F56)</f>
        <v>0</v>
      </c>
      <c r="I162" s="197">
        <f>+(C56+E56*2)*E162*F56</f>
        <v>0</v>
      </c>
      <c r="J162" s="197">
        <f>+E162*((C56+E56*2)*E56+(D56*E56*2))</f>
        <v>0</v>
      </c>
      <c r="K162" s="197">
        <f>+(D56+$K$104*(D56+E56))*E162*2</f>
        <v>0</v>
      </c>
      <c r="L162" s="187">
        <f>+(E162)/H56+ IF(E162&gt;0,1,0)</f>
        <v>0</v>
      </c>
      <c r="M162" s="198">
        <f>+ROUNDUP(L162,0)</f>
        <v>0</v>
      </c>
      <c r="N162" s="189">
        <f>+(E56+D56+E56+C56+2*E56+D56+2*E56-0.04*10)+(E56+D56+2*E56-5*0.04)*2+(C56+4*E56-6*0.04)</f>
        <v>6.96</v>
      </c>
      <c r="O162" s="187">
        <f>(2*(D56+E56)+(C56+2*E56)-6*0.04)/J56*2</f>
        <v>26.08</v>
      </c>
      <c r="P162" s="198">
        <f>+ROUNDUP(O162,0)</f>
        <v>27</v>
      </c>
      <c r="Q162" s="188">
        <f>+E162+E162/6*50*(G56/1000)</f>
        <v>0</v>
      </c>
      <c r="R162" s="190">
        <f>+N162*M162+P162*Q162</f>
        <v>0</v>
      </c>
      <c r="S162" s="197">
        <f>((I56*I56)/162)*R162</f>
        <v>0</v>
      </c>
      <c r="T162" s="154" t="s">
        <v>156</v>
      </c>
    </row>
    <row r="163" spans="2:20" hidden="1">
      <c r="C163" s="154" t="s">
        <v>101</v>
      </c>
      <c r="D163" s="191">
        <f>ROUNDUP(+E162/K56,0)</f>
        <v>0</v>
      </c>
      <c r="E163" s="184"/>
      <c r="G163" s="199"/>
      <c r="H163" s="199"/>
      <c r="I163" s="200"/>
      <c r="J163" s="200">
        <f>0.5*(0.075+0.05)*0.075*C56*D163</f>
        <v>0</v>
      </c>
      <c r="K163" s="200">
        <f>+(0.075+0.08)*C56*D163</f>
        <v>0</v>
      </c>
      <c r="L163" s="193">
        <f>+D163</f>
        <v>0</v>
      </c>
      <c r="M163" s="198">
        <f>+ROUNDUP(L163,0)</f>
        <v>0</v>
      </c>
      <c r="N163" s="194">
        <f>+(C56-0.08)+((0.075+0.05-2*0.04)*2)</f>
        <v>1.01</v>
      </c>
      <c r="O163" s="193"/>
      <c r="P163" s="201"/>
      <c r="Q163" s="195"/>
      <c r="R163" s="190">
        <f>+N163*M163+P163*Q163</f>
        <v>0</v>
      </c>
      <c r="S163" s="197">
        <f>((I56*I56)/162)*R163</f>
        <v>0</v>
      </c>
      <c r="T163" s="154" t="s">
        <v>156</v>
      </c>
    </row>
    <row r="164" spans="2:20" hidden="1"/>
    <row r="165" spans="2:20" hidden="1">
      <c r="B165" s="205" t="s">
        <v>179</v>
      </c>
      <c r="C165" s="178" t="s">
        <v>180</v>
      </c>
      <c r="E165" s="184"/>
      <c r="G165" s="196">
        <f>+E165*(C59+E59*2+1)</f>
        <v>0</v>
      </c>
      <c r="H165" s="196">
        <f>(+E165*(C59+E59*2)*(D59+F59+F59))*50%</f>
        <v>0</v>
      </c>
      <c r="I165" s="197">
        <f>+(C59+E59*2)*E165*F59</f>
        <v>0</v>
      </c>
      <c r="J165" s="197">
        <f>+E165*((C59+E59*2+0.06)*E59+(D59*E59*2))</f>
        <v>0</v>
      </c>
      <c r="K165" s="197">
        <f>+(D59+(D59+E59))*E165*2</f>
        <v>0</v>
      </c>
      <c r="L165" s="187">
        <f>+(E165)/H59+ IF(E165&gt;0,1,0)</f>
        <v>0</v>
      </c>
      <c r="M165" s="198">
        <f>+ROUNDUP(L165,0)</f>
        <v>0</v>
      </c>
      <c r="N165" s="189">
        <f>+(D59+E59-0.08)*2+(C59+E59*2-0.08)</f>
        <v>1.5100000000000002</v>
      </c>
      <c r="O165" s="187">
        <f>+N165/J59+1</f>
        <v>7.0400000000000009</v>
      </c>
      <c r="P165" s="198">
        <f>+ROUNDUP(O165,0)</f>
        <v>8</v>
      </c>
      <c r="Q165" s="188">
        <f>+E165+E165/6*50*(G59/1000)</f>
        <v>0</v>
      </c>
      <c r="R165" s="190">
        <f>+N165*M165+P165*Q165</f>
        <v>0</v>
      </c>
      <c r="S165" s="197">
        <f>((I59*I59)/162)*R165</f>
        <v>0</v>
      </c>
      <c r="T165" s="154" t="s">
        <v>156</v>
      </c>
    </row>
    <row r="166" spans="2:20" hidden="1">
      <c r="C166" s="154" t="s">
        <v>181</v>
      </c>
      <c r="D166" s="191">
        <f>ROUNDUP(+(E165/SQRT(L59^2+M59^2)),0)</f>
        <v>0</v>
      </c>
      <c r="E166" s="184"/>
      <c r="G166" s="199"/>
      <c r="H166" s="199"/>
      <c r="I166" s="200"/>
      <c r="J166" s="200">
        <f>0.5*(0.075+0.05)*0.075*C59*D166</f>
        <v>0</v>
      </c>
      <c r="K166" s="200">
        <f>+M59*C59*D166</f>
        <v>0</v>
      </c>
      <c r="L166" s="193"/>
      <c r="M166" s="198">
        <f>+ROUNDUP(L166,0)</f>
        <v>0</v>
      </c>
      <c r="N166" s="194"/>
      <c r="O166" s="193"/>
      <c r="P166" s="201"/>
      <c r="Q166" s="195"/>
      <c r="R166" s="190">
        <f>+N166*M166+P166*Q166</f>
        <v>0</v>
      </c>
      <c r="S166" s="197">
        <f>((I59*I59)/162)*R166</f>
        <v>0</v>
      </c>
    </row>
    <row r="167" spans="2:20" hidden="1">
      <c r="C167" s="154" t="s">
        <v>182</v>
      </c>
      <c r="D167" s="154">
        <f>ROUNDUP(+E165/1,0)</f>
        <v>0</v>
      </c>
    </row>
    <row r="168" spans="2:20" hidden="1"/>
    <row r="169" spans="2:20" hidden="1">
      <c r="B169" s="205" t="s">
        <v>179</v>
      </c>
      <c r="C169" s="178" t="s">
        <v>183</v>
      </c>
      <c r="E169" s="184"/>
      <c r="G169" s="185">
        <f>+E169*(C63+E63*2+1)</f>
        <v>0</v>
      </c>
      <c r="H169" s="185">
        <f>(+E169*(C63+E63*2)*(D63+F63+F63))*50%</f>
        <v>0</v>
      </c>
      <c r="I169" s="186">
        <f>+(C63+E63*2)*E169*F63</f>
        <v>0</v>
      </c>
      <c r="J169" s="186">
        <f>+E169*((C63+E63*2+0.06)*E63+(D63*E63*2))</f>
        <v>0</v>
      </c>
      <c r="K169" s="186">
        <f>+(D63+(D63+E63))*E169*2</f>
        <v>0</v>
      </c>
      <c r="L169" s="187">
        <f>+(E169)/H63+ IF(E169&gt;0,1,0)</f>
        <v>0</v>
      </c>
      <c r="M169" s="188">
        <f>+ROUNDUP(L169,0)</f>
        <v>0</v>
      </c>
      <c r="N169" s="189">
        <f>+(D63+E63-0.08)*2+(C63+E63*2-0.08)</f>
        <v>1.81</v>
      </c>
      <c r="O169" s="187">
        <f>+N169/J63+1</f>
        <v>8.24</v>
      </c>
      <c r="P169" s="188">
        <f>+ROUNDUP(O169,0)</f>
        <v>9</v>
      </c>
      <c r="Q169" s="188">
        <f>+E169+E169/6*50*(G63/1000)</f>
        <v>0</v>
      </c>
      <c r="R169" s="190">
        <f>+N169*M169+P169*Q169</f>
        <v>0</v>
      </c>
      <c r="S169" s="186">
        <f>((I63*I63)/162)*R169</f>
        <v>0</v>
      </c>
      <c r="T169" s="154" t="s">
        <v>156</v>
      </c>
    </row>
    <row r="170" spans="2:20" hidden="1">
      <c r="C170" s="154" t="s">
        <v>181</v>
      </c>
      <c r="D170" s="191">
        <f>ROUNDUP(+(E169/SQRT(L63^2+M63^2)),0)</f>
        <v>0</v>
      </c>
      <c r="E170" s="184"/>
      <c r="G170" s="192"/>
      <c r="H170" s="192"/>
      <c r="I170" s="191"/>
      <c r="J170" s="191">
        <f>0.5*(0.075+0.05)*0.075*C63*D170</f>
        <v>0</v>
      </c>
      <c r="K170" s="191">
        <f>+M63*C63*D170</f>
        <v>0</v>
      </c>
      <c r="L170" s="193"/>
      <c r="M170" s="188">
        <f>+ROUNDUP(L170,0)</f>
        <v>0</v>
      </c>
      <c r="N170" s="194"/>
      <c r="O170" s="193"/>
      <c r="P170" s="195"/>
      <c r="Q170" s="195"/>
      <c r="R170" s="190">
        <f>+N170*M170+P170*Q170</f>
        <v>0</v>
      </c>
      <c r="S170" s="186">
        <f>((I63*I63)/162)*R170</f>
        <v>0</v>
      </c>
    </row>
    <row r="171" spans="2:20" hidden="1">
      <c r="C171" s="154" t="s">
        <v>182</v>
      </c>
      <c r="D171" s="154">
        <f>ROUNDUP(+E169/1,0)</f>
        <v>0</v>
      </c>
    </row>
    <row r="172" spans="2:20" hidden="1">
      <c r="K172" s="186"/>
    </row>
    <row r="173" spans="2:20">
      <c r="B173" s="205" t="s">
        <v>179</v>
      </c>
      <c r="C173" s="178" t="s">
        <v>184</v>
      </c>
      <c r="E173" s="184">
        <v>113.38</v>
      </c>
      <c r="G173" s="185">
        <f>+E173*(C67+E67*2+1)</f>
        <v>204.084</v>
      </c>
      <c r="H173" s="185">
        <f>(+E173*(C67+E67*2)*(D67+F67+F67))*50%</f>
        <v>31.746400000000005</v>
      </c>
      <c r="I173" s="186">
        <f>+(C67+E67*2)*E173*F67</f>
        <v>4.5352000000000006</v>
      </c>
      <c r="J173" s="186">
        <f>+E173*((C67+E67*2+0.06)*E67+(D67*E67*2))</f>
        <v>23.356280000000002</v>
      </c>
      <c r="K173" s="186">
        <f>+(D67+(D67+E67))*E173*2</f>
        <v>294.78799999999995</v>
      </c>
      <c r="L173" s="187">
        <f>+(E173)/H67+ IF(E173&gt;0,1,0)</f>
        <v>454.52</v>
      </c>
      <c r="M173" s="188">
        <f>+ROUNDUP(L173,0)</f>
        <v>455</v>
      </c>
      <c r="N173" s="189">
        <f>+(D67+E67-0.08)*2+(C67+E67*2-0.08)</f>
        <v>1.96</v>
      </c>
      <c r="O173" s="187">
        <f>+N173/J67+1</f>
        <v>8.84</v>
      </c>
      <c r="P173" s="188">
        <f>+ROUNDUP(O173,0)</f>
        <v>9</v>
      </c>
      <c r="Q173" s="188">
        <f>+E173+E173/6*50*(G67/1000)</f>
        <v>122.82833333333333</v>
      </c>
      <c r="R173" s="190">
        <f>+N173*M173+P173*Q173</f>
        <v>1997.2549999999999</v>
      </c>
      <c r="S173" s="186">
        <f>((I67*I67)/162)*R173</f>
        <v>1232.8734567901233</v>
      </c>
      <c r="T173" s="154" t="s">
        <v>156</v>
      </c>
    </row>
    <row r="174" spans="2:20">
      <c r="C174" s="154" t="s">
        <v>181</v>
      </c>
      <c r="D174" s="191">
        <f>ROUNDUP(+(E173/SQRT(L67^2+M67^2)),0)</f>
        <v>292</v>
      </c>
      <c r="E174" s="184"/>
      <c r="G174" s="192"/>
      <c r="H174" s="192"/>
      <c r="I174" s="191"/>
      <c r="J174" s="191">
        <f>0.5*(0.075+0.05)*0.075*C67*D174</f>
        <v>0.82124999999999992</v>
      </c>
      <c r="K174" s="191">
        <f>+M67*C67*D174</f>
        <v>48.18</v>
      </c>
      <c r="L174" s="193"/>
      <c r="M174" s="188">
        <f>+ROUNDUP(L174,0)</f>
        <v>0</v>
      </c>
      <c r="N174" s="194"/>
      <c r="O174" s="193"/>
      <c r="P174" s="195"/>
      <c r="Q174" s="195"/>
      <c r="R174" s="190">
        <f>+N174*M174+P174*Q174</f>
        <v>0</v>
      </c>
      <c r="S174" s="186">
        <f>((I67*I67)/162)*R174</f>
        <v>0</v>
      </c>
    </row>
    <row r="175" spans="2:20">
      <c r="C175" s="154" t="s">
        <v>182</v>
      </c>
      <c r="D175" s="154">
        <f>ROUNDUP(+E173/1,0)</f>
        <v>114</v>
      </c>
    </row>
    <row r="177" spans="2:20" hidden="1">
      <c r="B177" s="205" t="s">
        <v>179</v>
      </c>
      <c r="C177" s="178" t="s">
        <v>185</v>
      </c>
      <c r="E177" s="184">
        <v>8.6</v>
      </c>
      <c r="G177" s="196">
        <f>+E177*(C71+E71*2+1)</f>
        <v>17.2</v>
      </c>
      <c r="H177" s="196">
        <f>(+E177*(C71+E71*2)*(D71+F71+F71))*50%</f>
        <v>3.8700000000000006</v>
      </c>
      <c r="I177" s="197">
        <f>+(C71+E71*2)*E177*F71</f>
        <v>0.43</v>
      </c>
      <c r="J177" s="197">
        <f>+E177*((C71+E71*2+0.06)*E71+(D71*E71*2))</f>
        <v>2.2875999999999999</v>
      </c>
      <c r="K177" s="197">
        <f>+(D71+(D71+E71))*E177*2</f>
        <v>29.240000000000002</v>
      </c>
      <c r="L177" s="187">
        <f>+(E177)/H71+ IF(E177&gt;0,1,0)</f>
        <v>35.4</v>
      </c>
      <c r="M177" s="198">
        <f>+ROUNDUP(L177,0)</f>
        <v>36</v>
      </c>
      <c r="N177" s="189">
        <f>+(D71+E71-0.08)*2+(C71+E71*2-0.08)</f>
        <v>2.56</v>
      </c>
      <c r="O177" s="187">
        <f>+N177/J71+1</f>
        <v>11.24</v>
      </c>
      <c r="P177" s="198">
        <f>+ROUNDUP(O177,0)</f>
        <v>12</v>
      </c>
      <c r="Q177" s="188">
        <f>+E177+E177/6*50*(G71/1000)</f>
        <v>9.3166666666666664</v>
      </c>
      <c r="R177" s="190">
        <f>+N177*M177+P177*Q177</f>
        <v>203.95999999999998</v>
      </c>
      <c r="S177" s="197">
        <f>((I71*I71)/162)*R177</f>
        <v>125.90123456790121</v>
      </c>
      <c r="T177" s="154" t="s">
        <v>156</v>
      </c>
    </row>
    <row r="178" spans="2:20" hidden="1">
      <c r="C178" s="154" t="s">
        <v>181</v>
      </c>
      <c r="D178" s="191">
        <f>ROUNDUP(+(E177/SQRT(L71^2+M71^2)),0)</f>
        <v>23</v>
      </c>
      <c r="E178" s="184"/>
      <c r="G178" s="199"/>
      <c r="H178" s="199"/>
      <c r="I178" s="200"/>
      <c r="J178" s="200">
        <f>0.5*(0.075+0.05)*0.075*C71*D178</f>
        <v>8.6249999999999993E-2</v>
      </c>
      <c r="K178" s="200">
        <f>+M71*C71*D178</f>
        <v>5.0600000000000005</v>
      </c>
      <c r="L178" s="193"/>
      <c r="M178" s="198">
        <f>+ROUNDUP(L178,0)</f>
        <v>0</v>
      </c>
      <c r="N178" s="194"/>
      <c r="O178" s="193"/>
      <c r="P178" s="201"/>
      <c r="Q178" s="195"/>
      <c r="R178" s="190">
        <f>+N178*M178+P178*Q178</f>
        <v>0</v>
      </c>
      <c r="S178" s="197">
        <f>((I71*I71)/162)*R178</f>
        <v>0</v>
      </c>
    </row>
    <row r="179" spans="2:20" hidden="1">
      <c r="C179" s="154" t="s">
        <v>182</v>
      </c>
      <c r="D179" s="154">
        <f>ROUNDUP(+E177/1,0)</f>
        <v>9</v>
      </c>
      <c r="H179" s="191"/>
    </row>
    <row r="180" spans="2:20" hidden="1"/>
    <row r="181" spans="2:20" hidden="1">
      <c r="B181" s="207" t="s">
        <v>179</v>
      </c>
      <c r="C181" s="178" t="s">
        <v>186</v>
      </c>
      <c r="E181" s="184">
        <v>13.83</v>
      </c>
      <c r="G181" s="196">
        <f>+E181*(C75+E75*2+1)</f>
        <v>31.1175</v>
      </c>
      <c r="H181" s="196">
        <f>(+E181*(C75+E75*2)*(D75+F75+F75))*50%</f>
        <v>9.5081250000000015</v>
      </c>
      <c r="I181" s="197">
        <f>+(C75+E75*2)*E181*F75</f>
        <v>0.86437500000000012</v>
      </c>
      <c r="J181" s="197">
        <f>+E181*((C75+E75*2+0.06)*E75+(D75*E75*2))</f>
        <v>5.7221625000000005</v>
      </c>
      <c r="K181" s="197">
        <f>+(D75+(D75+E75))*E181*2</f>
        <v>58.777500000000003</v>
      </c>
      <c r="L181" s="187">
        <f>+(E181)/H75+ IF(E181&gt;0,1,0)</f>
        <v>56.32</v>
      </c>
      <c r="M181" s="198">
        <f>+ROUNDUP(L181,0)</f>
        <v>57</v>
      </c>
      <c r="N181" s="189">
        <f>+(D75+E75-0.08)*2+(C75+E75*2-0.08)</f>
        <v>3.26</v>
      </c>
      <c r="O181" s="187">
        <f>+N181/J75+1</f>
        <v>14.04</v>
      </c>
      <c r="P181" s="198">
        <f>+ROUNDUP(O181,0)</f>
        <v>15</v>
      </c>
      <c r="Q181" s="188">
        <f>+E181+E181/6*50*(G75/1000)</f>
        <v>14.9825</v>
      </c>
      <c r="R181" s="190">
        <f>+N181*M181+P181*Q181</f>
        <v>410.5575</v>
      </c>
      <c r="S181" s="197">
        <f>((I75*I75)/162)*R181</f>
        <v>253.43055555555554</v>
      </c>
      <c r="T181" s="154" t="s">
        <v>156</v>
      </c>
    </row>
    <row r="182" spans="2:20" hidden="1">
      <c r="C182" s="154" t="s">
        <v>181</v>
      </c>
      <c r="D182" s="191">
        <f>ROUNDUP(+(E181/SQRT(L75^2+M75^2)),0)</f>
        <v>36</v>
      </c>
      <c r="E182" s="184"/>
      <c r="G182" s="199"/>
      <c r="H182" s="199"/>
      <c r="I182" s="200"/>
      <c r="J182" s="200">
        <f>0.5*(0.075+0.05)*0.075*C75*D182</f>
        <v>0.16874999999999998</v>
      </c>
      <c r="K182" s="200">
        <f>+M75*C75*D182</f>
        <v>9.9</v>
      </c>
      <c r="L182" s="193"/>
      <c r="M182" s="198">
        <f>+ROUNDUP(L182,0)</f>
        <v>0</v>
      </c>
      <c r="N182" s="194"/>
      <c r="O182" s="193"/>
      <c r="P182" s="201"/>
      <c r="Q182" s="195"/>
      <c r="R182" s="190">
        <f>+N182*M182+P182*Q182</f>
        <v>0</v>
      </c>
      <c r="S182" s="197">
        <f>((I75*I75)/162)*R182</f>
        <v>0</v>
      </c>
    </row>
    <row r="183" spans="2:20" hidden="1">
      <c r="C183" s="154" t="s">
        <v>182</v>
      </c>
      <c r="D183" s="154">
        <f>ROUNDUP(+E181/1,0)</f>
        <v>14</v>
      </c>
    </row>
    <row r="184" spans="2:20" hidden="1"/>
    <row r="185" spans="2:20" hidden="1">
      <c r="B185" s="205" t="s">
        <v>187</v>
      </c>
      <c r="C185" s="178" t="s">
        <v>180</v>
      </c>
      <c r="E185" s="184">
        <v>100</v>
      </c>
      <c r="G185" s="196">
        <f>+E185*(C79+E79*2+1)</f>
        <v>165</v>
      </c>
      <c r="H185" s="196">
        <f>0.5*L79*M79*D186</f>
        <v>20.25</v>
      </c>
      <c r="I185" s="197">
        <f>+(L79*(C79+2*E79)*D186*E79)</f>
        <v>5.8500000000000014</v>
      </c>
      <c r="J185" s="197">
        <f>+D186*(L79+M79)*E79*(C79+2*E79)+D186*((L79+M79)*E79*D79)*2</f>
        <v>20.925000000000001</v>
      </c>
      <c r="K185" s="197">
        <f>+(D79+(D79+E79))*E185*2</f>
        <v>200</v>
      </c>
      <c r="L185" s="187">
        <f>+(D186*(L79+M79))/H79+ IF(E185&gt;0,1,0)</f>
        <v>541</v>
      </c>
      <c r="M185" s="198">
        <f>+ROUNDUP(L185,0)</f>
        <v>541</v>
      </c>
      <c r="N185" s="189">
        <f>+(D79+E79-0.08)*2+(C79+E79*2-0.08)</f>
        <v>1.5100000000000002</v>
      </c>
      <c r="O185" s="187">
        <f>+N185/J79+1</f>
        <v>7.0400000000000009</v>
      </c>
      <c r="P185" s="198">
        <f>+ROUNDUP(O185,0)</f>
        <v>8</v>
      </c>
      <c r="Q185" s="188">
        <f>+(L79+M79-2*0.04)*D186+(((L79+M79-2*0.04)*D186)/6*50*(I79/1000))</f>
        <v>137.58333333333334</v>
      </c>
      <c r="R185" s="190">
        <f>+N185*M185+P185*Q185</f>
        <v>1917.5766666666668</v>
      </c>
      <c r="S185" s="197">
        <f>((I79*I79)/162)*R185</f>
        <v>1183.6893004115227</v>
      </c>
      <c r="T185" s="154" t="s">
        <v>156</v>
      </c>
    </row>
    <row r="186" spans="2:20" hidden="1">
      <c r="C186" s="154" t="s">
        <v>181</v>
      </c>
      <c r="D186" s="191">
        <f>ROUNDUP(+(E185/SQRT(L79^2+M79^2)),0)</f>
        <v>100</v>
      </c>
      <c r="E186" s="184"/>
      <c r="G186" s="199"/>
      <c r="H186" s="199"/>
      <c r="I186" s="200"/>
      <c r="J186" s="200"/>
      <c r="K186" s="200"/>
      <c r="L186" s="193"/>
      <c r="M186" s="198"/>
      <c r="N186" s="194"/>
      <c r="O186" s="193"/>
      <c r="P186" s="201"/>
      <c r="Q186" s="195"/>
      <c r="R186" s="190"/>
      <c r="S186" s="197"/>
    </row>
    <row r="187" spans="2:20" hidden="1">
      <c r="C187" s="154" t="s">
        <v>182</v>
      </c>
      <c r="D187" s="154">
        <f>ROUNDUP(+E185/1,0)</f>
        <v>100</v>
      </c>
    </row>
    <row r="188" spans="2:20" hidden="1"/>
    <row r="189" spans="2:20" hidden="1">
      <c r="B189" s="205" t="s">
        <v>187</v>
      </c>
      <c r="C189" s="178" t="s">
        <v>183</v>
      </c>
      <c r="E189" s="184">
        <v>28.19</v>
      </c>
      <c r="G189" s="196">
        <f>+E189*(C83+E83*2+1)</f>
        <v>46.513500000000001</v>
      </c>
      <c r="H189" s="196">
        <f>0.5*L83*M83*D190</f>
        <v>5.8725000000000005</v>
      </c>
      <c r="I189" s="197">
        <f>+(L83*(C83+2*E83)*D190*E83)</f>
        <v>1.6965000000000003</v>
      </c>
      <c r="J189" s="197">
        <f>+D190*(L83+M83)*E83*(C83+2*E83)+D190*((L83+M83)*E83*D83)*2</f>
        <v>7.2427500000000009</v>
      </c>
      <c r="K189" s="197">
        <f>+(D83+(D83+E83))*E189*2</f>
        <v>73.293999999999997</v>
      </c>
      <c r="L189" s="187">
        <f>+(D190*(L83+M83))/H83+ IF(E189&gt;0,1,0)</f>
        <v>157.60000000000002</v>
      </c>
      <c r="M189" s="198">
        <f>+ROUNDUP(L189,0)</f>
        <v>158</v>
      </c>
      <c r="N189" s="189">
        <f>+(D83+E83-0.08)*2+(C83+E83*2-0.08)</f>
        <v>1.81</v>
      </c>
      <c r="O189" s="187">
        <f>+N189/J83+1</f>
        <v>8.24</v>
      </c>
      <c r="P189" s="198">
        <f>+ROUNDUP(O189,0)</f>
        <v>9</v>
      </c>
      <c r="Q189" s="188">
        <f>+(L83+M83-2*0.04)*D190+(((L83+M83-2*0.04)*D190)/6*50*(I83/1000))</f>
        <v>39.899166666666666</v>
      </c>
      <c r="R189" s="190">
        <f>+N189*M189+P189*Q189</f>
        <v>645.07249999999999</v>
      </c>
      <c r="S189" s="197">
        <f>((I83*I83)/162)*R189</f>
        <v>398.1929012345679</v>
      </c>
      <c r="T189" s="154" t="s">
        <v>156</v>
      </c>
    </row>
    <row r="190" spans="2:20" hidden="1">
      <c r="C190" s="154" t="s">
        <v>181</v>
      </c>
      <c r="D190" s="191">
        <f>ROUNDUP(+(E189/SQRT(L83^2+M83^2)),0)</f>
        <v>29</v>
      </c>
      <c r="E190" s="184"/>
      <c r="G190" s="199"/>
      <c r="H190" s="199"/>
      <c r="I190" s="200"/>
      <c r="J190" s="200"/>
      <c r="K190" s="200"/>
      <c r="L190" s="193"/>
      <c r="M190" s="198"/>
      <c r="N190" s="194"/>
      <c r="O190" s="193"/>
      <c r="P190" s="201"/>
      <c r="Q190" s="195"/>
      <c r="R190" s="190"/>
      <c r="S190" s="197"/>
    </row>
    <row r="191" spans="2:20" hidden="1">
      <c r="C191" s="154" t="s">
        <v>182</v>
      </c>
      <c r="D191" s="154">
        <f>ROUNDUP(+E189/1,0)</f>
        <v>29</v>
      </c>
    </row>
    <row r="192" spans="2:20" hidden="1"/>
    <row r="193" spans="2:20" hidden="1">
      <c r="B193" s="205" t="s">
        <v>187</v>
      </c>
      <c r="C193" s="178" t="s">
        <v>184</v>
      </c>
      <c r="E193" s="184">
        <v>100</v>
      </c>
      <c r="G193" s="196">
        <f>+E193*(C87+E87*2+1)</f>
        <v>180</v>
      </c>
      <c r="H193" s="196">
        <f>0.5*L87*M87*D194</f>
        <v>20.25</v>
      </c>
      <c r="I193" s="197">
        <f>+(L87*(C87+2*E87)*D194*E87)</f>
        <v>7.200000000000002</v>
      </c>
      <c r="J193" s="197">
        <f>+D194*(L87+M87)*E87*(C87+2*E87)+D194*((L87+M87)*E87*D87)*2</f>
        <v>27</v>
      </c>
      <c r="K193" s="197">
        <f>+(D87+(D87+E87))*E193*2</f>
        <v>259.99999999999994</v>
      </c>
      <c r="L193" s="187">
        <f>+(D194*(L87+M87))/H87+ IF(E193&gt;0,1,0)</f>
        <v>541</v>
      </c>
      <c r="M193" s="198">
        <f>+ROUNDUP(L193,0)</f>
        <v>541</v>
      </c>
      <c r="N193" s="189">
        <f>+(D87+E87-0.08)*2+(C87+E87*2-0.08)</f>
        <v>1.96</v>
      </c>
      <c r="O193" s="187">
        <f>+N193/J87+1</f>
        <v>8.84</v>
      </c>
      <c r="P193" s="198">
        <f>+ROUNDUP(O193,0)</f>
        <v>9</v>
      </c>
      <c r="Q193" s="188">
        <f>+(L87+M87-2*0.04)*D194+(((L87+M87-2*0.04)*D194)/6*50*(I87/1000))</f>
        <v>137.58333333333334</v>
      </c>
      <c r="R193" s="190">
        <f>+N193*M193+P193*Q193</f>
        <v>2298.6099999999997</v>
      </c>
      <c r="S193" s="197">
        <f>((I87*I87)/162)*R193</f>
        <v>1418.8950617283947</v>
      </c>
      <c r="T193" s="154" t="s">
        <v>156</v>
      </c>
    </row>
    <row r="194" spans="2:20" hidden="1">
      <c r="C194" s="154" t="s">
        <v>181</v>
      </c>
      <c r="D194" s="191">
        <f>ROUNDUP(+(E193/SQRT(L87^2+M87^2)),0)</f>
        <v>100</v>
      </c>
      <c r="E194" s="184"/>
      <c r="G194" s="199"/>
      <c r="H194" s="199"/>
      <c r="I194" s="200"/>
      <c r="J194" s="200"/>
      <c r="K194" s="200"/>
      <c r="L194" s="193"/>
      <c r="M194" s="198"/>
      <c r="N194" s="194"/>
      <c r="O194" s="193"/>
      <c r="P194" s="201"/>
      <c r="Q194" s="195"/>
      <c r="R194" s="190"/>
      <c r="S194" s="197"/>
    </row>
    <row r="195" spans="2:20" hidden="1">
      <c r="C195" s="154" t="s">
        <v>182</v>
      </c>
      <c r="D195" s="154">
        <f>ROUNDUP(+E193/1,0)</f>
        <v>100</v>
      </c>
    </row>
    <row r="196" spans="2:20" hidden="1"/>
    <row r="197" spans="2:20" hidden="1">
      <c r="B197" s="205" t="s">
        <v>187</v>
      </c>
      <c r="C197" s="178" t="s">
        <v>185</v>
      </c>
      <c r="E197" s="184">
        <v>100</v>
      </c>
      <c r="G197" s="196">
        <f>+E197*(C91+E91*2+1)</f>
        <v>200</v>
      </c>
      <c r="H197" s="196">
        <f>0.5*L91*M91*D198</f>
        <v>20.25</v>
      </c>
      <c r="I197" s="197">
        <f>+(L91*(C91+2*E91)*D198*E91)</f>
        <v>9</v>
      </c>
      <c r="J197" s="197">
        <f>+D198*(L91+M91)*E91*(C91+2*E91)+D198*((L91+M91)*E91*D91)*2</f>
        <v>35.1</v>
      </c>
      <c r="K197" s="197">
        <f>+(D91+(D91+E91))*E197*2</f>
        <v>340.00000000000006</v>
      </c>
      <c r="L197" s="187">
        <f>+(D198*(L91+M91))/H91+ IF(E197&gt;0,1,0)</f>
        <v>541</v>
      </c>
      <c r="M197" s="198">
        <f>+ROUNDUP(L197,0)</f>
        <v>541</v>
      </c>
      <c r="N197" s="189">
        <f>+(D91+E91-0.08)*2+(C91+E91*2-0.08)</f>
        <v>2.56</v>
      </c>
      <c r="O197" s="187">
        <f>+N197/J91+1</f>
        <v>11.24</v>
      </c>
      <c r="P197" s="198">
        <f>+ROUNDUP(O197,0)</f>
        <v>12</v>
      </c>
      <c r="Q197" s="188">
        <f>+(L91+M91-2*0.04)*D198+(((L91+M91-2*0.04)*D198)/6*50*(I91/1000))</f>
        <v>137.58333333333334</v>
      </c>
      <c r="R197" s="190">
        <f>+N197*M197+P197*Q197</f>
        <v>3035.96</v>
      </c>
      <c r="S197" s="197">
        <f>((I91*I91)/162)*R197</f>
        <v>1874.0493827160492</v>
      </c>
      <c r="T197" s="154" t="s">
        <v>156</v>
      </c>
    </row>
    <row r="198" spans="2:20" hidden="1">
      <c r="C198" s="154" t="s">
        <v>181</v>
      </c>
      <c r="D198" s="191">
        <f>ROUNDUP(+(E197/SQRT(L91^2+M91^2)),0)</f>
        <v>100</v>
      </c>
      <c r="E198" s="184"/>
      <c r="G198" s="199"/>
      <c r="H198" s="199"/>
      <c r="I198" s="200"/>
      <c r="J198" s="200"/>
      <c r="K198" s="200"/>
      <c r="L198" s="193"/>
      <c r="M198" s="198"/>
      <c r="N198" s="194"/>
      <c r="O198" s="193"/>
      <c r="P198" s="201"/>
      <c r="Q198" s="195"/>
      <c r="R198" s="190"/>
      <c r="S198" s="197"/>
    </row>
    <row r="199" spans="2:20" hidden="1">
      <c r="C199" s="154" t="s">
        <v>182</v>
      </c>
      <c r="D199" s="154">
        <f>ROUNDUP(+E197/1,0)</f>
        <v>100</v>
      </c>
    </row>
    <row r="200" spans="2:20" hidden="1"/>
    <row r="201" spans="2:20" hidden="1">
      <c r="B201" s="205" t="s">
        <v>187</v>
      </c>
      <c r="C201" s="178" t="s">
        <v>188</v>
      </c>
      <c r="E201" s="184">
        <f>(22.38+21.09+22.47+16.84)*1.06418</f>
        <v>88.092820399999994</v>
      </c>
      <c r="G201" s="196">
        <f>+E201*(C95+E95*2+1)</f>
        <v>198.20884589999997</v>
      </c>
      <c r="H201" s="196">
        <f>0.5*L95*M95*D202</f>
        <v>17.82</v>
      </c>
      <c r="I201" s="197">
        <f>+(L95*(C95+2*E95)*D202*E95)</f>
        <v>12.375</v>
      </c>
      <c r="J201" s="197">
        <f>+D202*(L95+M95)*E95*(C95+2*E95)+D202*((L95+M95)*E95*D95)*2</f>
        <v>40.837500000000006</v>
      </c>
      <c r="K201" s="197">
        <f>+(D95+(D95+E95))*E201*2</f>
        <v>286.30166629999997</v>
      </c>
      <c r="L201" s="187">
        <f>+(D202*(L95+M95))/H95+ IF(E201&gt;0,1,0)</f>
        <v>476.20000000000005</v>
      </c>
      <c r="M201" s="198">
        <f>+ROUNDUP(L201,0)</f>
        <v>477</v>
      </c>
      <c r="N201" s="189">
        <f>+(D95+E95-0.08)*2+(C95+E95*2-0.08)</f>
        <v>2.76</v>
      </c>
      <c r="O201" s="187">
        <f>+N201/J95+1</f>
        <v>12.04</v>
      </c>
      <c r="P201" s="198">
        <f>+ROUNDUP(O201,0)</f>
        <v>13</v>
      </c>
      <c r="Q201" s="188">
        <f>+(L95+M95-2*0.04)*D202+(((L95+M95-2*0.04)*D202)/6*50*(I95/1000))</f>
        <v>121.07333333333334</v>
      </c>
      <c r="R201" s="190">
        <f>+N201*M201+P201*Q201</f>
        <v>2890.4733333333334</v>
      </c>
      <c r="S201" s="197">
        <f>((I95*I95)/162)*R201</f>
        <v>1784.2427983539094</v>
      </c>
      <c r="T201" s="154" t="s">
        <v>156</v>
      </c>
    </row>
    <row r="202" spans="2:20" hidden="1">
      <c r="C202" s="154" t="s">
        <v>181</v>
      </c>
      <c r="D202" s="191">
        <f>ROUNDUP(+(E201/SQRT(L95^2+M95^2)),0)</f>
        <v>88</v>
      </c>
      <c r="E202" s="184"/>
      <c r="G202" s="199"/>
      <c r="H202" s="199"/>
      <c r="I202" s="200"/>
      <c r="J202" s="200">
        <f>0.5*(0.075+0.05)*0.075*C95*D202</f>
        <v>0.41249999999999998</v>
      </c>
      <c r="K202" s="200">
        <f>D202*C95*M95</f>
        <v>39.6</v>
      </c>
      <c r="L202" s="193"/>
      <c r="M202" s="198"/>
      <c r="N202" s="194"/>
      <c r="O202" s="193"/>
      <c r="P202" s="201"/>
      <c r="Q202" s="195"/>
      <c r="R202" s="190"/>
      <c r="S202" s="197"/>
    </row>
    <row r="203" spans="2:20" hidden="1">
      <c r="C203" s="154" t="s">
        <v>182</v>
      </c>
      <c r="D203" s="154">
        <f>ROUNDUP(+E201/1,0)</f>
        <v>89</v>
      </c>
    </row>
    <row r="204" spans="2:20" hidden="1">
      <c r="G204" s="206" t="s">
        <v>189</v>
      </c>
      <c r="H204" s="206" t="s">
        <v>190</v>
      </c>
      <c r="I204" s="206" t="s">
        <v>52</v>
      </c>
    </row>
    <row r="205" spans="2:20" hidden="1"/>
    <row r="206" spans="2:20" hidden="1">
      <c r="B206" s="202"/>
      <c r="E206" s="202"/>
    </row>
    <row r="207" spans="2:20" hidden="1"/>
    <row r="208" spans="2:20" hidden="1">
      <c r="E208" s="202"/>
    </row>
    <row r="209" spans="5:5" hidden="1"/>
    <row r="210" spans="5:5" hidden="1">
      <c r="E210" s="202"/>
    </row>
    <row r="211" spans="5:5" hidden="1"/>
    <row r="212" spans="5:5" hidden="1">
      <c r="E212" s="202"/>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4" spans="5:5" hidden="1"/>
    <row r="225" spans="2:7" hidden="1"/>
    <row r="226" spans="2:7" hidden="1"/>
    <row r="227" spans="2:7" hidden="1">
      <c r="B227" s="202" t="s">
        <v>158</v>
      </c>
    </row>
    <row r="228" spans="2:7" ht="28.8" hidden="1">
      <c r="B228" s="207" t="s">
        <v>191</v>
      </c>
      <c r="C228" s="208"/>
    </row>
    <row r="229" spans="2:7" hidden="1"/>
    <row r="230" spans="2:7" hidden="1">
      <c r="B230" s="154" t="s">
        <v>192</v>
      </c>
      <c r="C230" s="191"/>
    </row>
    <row r="231" spans="2:7" hidden="1">
      <c r="B231" s="154" t="s">
        <v>193</v>
      </c>
      <c r="C231" s="154">
        <v>0.5</v>
      </c>
    </row>
    <row r="232" spans="2:7" hidden="1">
      <c r="C232" s="191"/>
    </row>
    <row r="233" spans="2:7" hidden="1">
      <c r="B233" s="154" t="s">
        <v>194</v>
      </c>
      <c r="C233" s="154">
        <f>ROUNDUP(C228/C231,0)</f>
        <v>0</v>
      </c>
    </row>
    <row r="234" spans="2:7" hidden="1"/>
    <row r="235" spans="2:7" hidden="1"/>
    <row r="236" spans="2:7" hidden="1">
      <c r="B236" s="154" t="s">
        <v>195</v>
      </c>
      <c r="C236" s="154">
        <f>C233*0.16*0.5</f>
        <v>0</v>
      </c>
      <c r="E236" s="202" t="s">
        <v>196</v>
      </c>
    </row>
    <row r="237" spans="2:7" hidden="1">
      <c r="B237" s="154" t="s">
        <v>82</v>
      </c>
      <c r="C237" s="154">
        <f>((0.16*2)+(0.15*0.5*2))*C233</f>
        <v>0</v>
      </c>
    </row>
    <row r="238" spans="2:7" hidden="1"/>
    <row r="239" spans="2:7" hidden="1">
      <c r="B239" s="154" t="s">
        <v>197</v>
      </c>
      <c r="C239" s="193">
        <v>2.12</v>
      </c>
      <c r="D239" s="209">
        <f>ROUNDUP(0.5/0.125,0)+1</f>
        <v>5</v>
      </c>
      <c r="E239" s="154">
        <f>C233</f>
        <v>0</v>
      </c>
      <c r="F239" s="154">
        <v>1.1000000000000001</v>
      </c>
      <c r="G239" s="154">
        <f>PRODUCT(C239:F239)</f>
        <v>0</v>
      </c>
    </row>
    <row r="240" spans="2:7" hidden="1">
      <c r="C240" s="154">
        <v>0.5</v>
      </c>
      <c r="D240" s="209">
        <f>ROUNDUP(C239/0.2+1,0)</f>
        <v>12</v>
      </c>
      <c r="E240" s="154">
        <f>C233</f>
        <v>0</v>
      </c>
      <c r="F240" s="154">
        <v>1.1000000000000001</v>
      </c>
      <c r="G240" s="154">
        <f>PRODUCT(C240:F240)</f>
        <v>0</v>
      </c>
    </row>
    <row r="241" spans="2:10" hidden="1"/>
    <row r="242" spans="2:10" hidden="1">
      <c r="G242" s="154">
        <f>SUM(G239:G241)</f>
        <v>0</v>
      </c>
      <c r="H242" s="154">
        <f>ROUND(100/162,3)</f>
        <v>0.61699999999999999</v>
      </c>
      <c r="J242" s="193">
        <f>ROUNDUP(PRODUCT(G242:H242),0)</f>
        <v>0</v>
      </c>
    </row>
    <row r="243" spans="2:10" hidden="1"/>
    <row r="244" spans="2:10" hidden="1"/>
    <row r="245" spans="2:10" hidden="1"/>
    <row r="246" spans="2:10" hidden="1"/>
    <row r="249" spans="2:10">
      <c r="B249" s="202"/>
    </row>
    <row r="250" spans="2:10">
      <c r="C250" s="202"/>
      <c r="D250" s="202"/>
      <c r="F250" s="202"/>
    </row>
    <row r="251" spans="2:10">
      <c r="B251" s="202"/>
      <c r="C251" s="191"/>
      <c r="D251" s="191"/>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683C0-21DC-4399-92F8-2BAC4D5CC8AD}">
  <sheetPr>
    <tabColor rgb="FF00B050"/>
  </sheetPr>
  <dimension ref="A1:L111"/>
  <sheetViews>
    <sheetView view="pageBreakPreview" zoomScale="90" zoomScaleNormal="100" zoomScaleSheetLayoutView="90" workbookViewId="0">
      <pane ySplit="2" topLeftCell="A6" activePane="bottomLeft" state="frozen"/>
      <selection activeCell="I8" sqref="I8"/>
      <selection pane="bottomLeft" activeCell="I8" sqref="I8"/>
    </sheetView>
  </sheetViews>
  <sheetFormatPr defaultColWidth="9.109375" defaultRowHeight="13.2"/>
  <cols>
    <col min="1" max="1" width="26.5546875" style="68" customWidth="1"/>
    <col min="2" max="5" width="10.6640625" style="68" customWidth="1"/>
    <col min="6" max="7" width="12.6640625" style="68" customWidth="1"/>
    <col min="8" max="8" width="5.5546875" style="68" customWidth="1"/>
    <col min="9" max="10" width="12.6640625" style="68" customWidth="1"/>
    <col min="11" max="11" width="10.33203125" style="68" bestFit="1" customWidth="1"/>
    <col min="12" max="12" width="10" style="68" bestFit="1" customWidth="1"/>
    <col min="13" max="15" width="9.109375" style="68"/>
    <col min="16" max="16" width="11.109375" style="68" bestFit="1" customWidth="1"/>
    <col min="17" max="16384" width="9.109375" style="68"/>
  </cols>
  <sheetData>
    <row r="1" spans="1:12" ht="20.100000000000001" customHeight="1">
      <c r="A1" s="902" t="s">
        <v>217</v>
      </c>
      <c r="B1" s="903"/>
      <c r="C1" s="903"/>
      <c r="D1" s="903"/>
      <c r="E1" s="903"/>
      <c r="F1" s="903"/>
      <c r="G1" s="903"/>
      <c r="H1" s="903"/>
      <c r="I1" s="903"/>
      <c r="J1" s="904"/>
    </row>
    <row r="2" spans="1:12" s="71" customFormat="1" ht="30" customHeight="1">
      <c r="A2" s="69"/>
      <c r="B2" s="70" t="s">
        <v>53</v>
      </c>
      <c r="C2" s="70" t="s">
        <v>54</v>
      </c>
      <c r="D2" s="70" t="s">
        <v>6</v>
      </c>
      <c r="E2" s="70" t="s">
        <v>55</v>
      </c>
      <c r="F2" s="70" t="s">
        <v>56</v>
      </c>
      <c r="G2" s="70" t="s">
        <v>57</v>
      </c>
      <c r="H2" s="70" t="s">
        <v>58</v>
      </c>
      <c r="I2" s="70" t="s">
        <v>59</v>
      </c>
      <c r="J2" s="70" t="s">
        <v>60</v>
      </c>
      <c r="L2" s="72"/>
    </row>
    <row r="3" spans="1:12" ht="24.9" customHeight="1">
      <c r="A3" s="905" t="s">
        <v>61</v>
      </c>
      <c r="B3" s="906"/>
      <c r="C3" s="906"/>
      <c r="D3" s="906"/>
      <c r="E3" s="906"/>
      <c r="F3" s="906"/>
      <c r="G3" s="906"/>
      <c r="H3" s="906"/>
      <c r="I3" s="906"/>
      <c r="J3" s="907"/>
    </row>
    <row r="4" spans="1:12" ht="15">
      <c r="A4" s="908" t="s">
        <v>62</v>
      </c>
      <c r="B4" s="909"/>
      <c r="C4" s="909"/>
      <c r="D4" s="909"/>
      <c r="E4" s="909"/>
      <c r="F4" s="910"/>
      <c r="G4" s="73"/>
      <c r="H4" s="74"/>
      <c r="I4" s="73"/>
      <c r="J4" s="73"/>
    </row>
    <row r="5" spans="1:12" ht="15">
      <c r="A5" s="75" t="s">
        <v>199</v>
      </c>
      <c r="B5" s="76"/>
      <c r="C5" s="77"/>
      <c r="D5" s="78"/>
      <c r="E5" s="77"/>
      <c r="F5" s="76"/>
      <c r="G5" s="77"/>
      <c r="H5" s="77"/>
      <c r="I5" s="77"/>
      <c r="J5" s="79"/>
      <c r="L5" s="80"/>
    </row>
    <row r="6" spans="1:12" ht="15">
      <c r="A6" s="87"/>
      <c r="B6" s="88"/>
      <c r="C6" s="82"/>
      <c r="D6" s="78"/>
      <c r="E6" s="77"/>
      <c r="F6" s="76"/>
      <c r="G6" s="77"/>
      <c r="H6" s="77"/>
      <c r="I6" s="79"/>
      <c r="J6" s="83"/>
      <c r="L6" s="80"/>
    </row>
    <row r="7" spans="1:12" ht="15">
      <c r="A7" s="87" t="s">
        <v>213</v>
      </c>
      <c r="B7" s="88">
        <f>B26</f>
        <v>83.03</v>
      </c>
      <c r="C7" s="76">
        <f>2+2.88</f>
        <v>4.88</v>
      </c>
      <c r="D7" s="78"/>
      <c r="E7" s="77"/>
      <c r="F7" s="88">
        <f>PRODUCT(B7:E7)</f>
        <v>405.18639999999999</v>
      </c>
      <c r="G7" s="102">
        <f>F7</f>
        <v>405.18639999999999</v>
      </c>
      <c r="H7" s="77"/>
      <c r="I7" s="79">
        <f>G7*1.1</f>
        <v>445.70504000000005</v>
      </c>
      <c r="J7" s="83">
        <f>I7</f>
        <v>445.70504000000005</v>
      </c>
      <c r="L7" s="80"/>
    </row>
    <row r="8" spans="1:12" ht="15">
      <c r="A8" s="87"/>
      <c r="B8" s="88"/>
      <c r="C8" s="76"/>
      <c r="D8" s="78"/>
      <c r="E8" s="77"/>
      <c r="F8" s="76"/>
      <c r="G8" s="77"/>
      <c r="H8" s="77"/>
      <c r="I8" s="79"/>
      <c r="J8" s="83"/>
      <c r="L8" s="80"/>
    </row>
    <row r="9" spans="1:12" ht="15">
      <c r="A9" s="84"/>
      <c r="B9" s="76"/>
      <c r="C9" s="76"/>
      <c r="D9" s="78"/>
      <c r="E9" s="77"/>
      <c r="F9" s="76"/>
      <c r="G9" s="77"/>
      <c r="H9" s="77"/>
      <c r="I9" s="79"/>
      <c r="J9" s="85">
        <f>SUM(J6:J8)</f>
        <v>445.70504000000005</v>
      </c>
      <c r="L9" s="80"/>
    </row>
    <row r="10" spans="1:12" ht="15">
      <c r="A10" s="87"/>
      <c r="B10" s="88"/>
      <c r="C10" s="89"/>
      <c r="D10" s="90"/>
      <c r="E10" s="91"/>
      <c r="F10" s="88"/>
      <c r="G10" s="91"/>
      <c r="H10" s="91"/>
      <c r="I10" s="92"/>
      <c r="J10" s="93"/>
    </row>
    <row r="11" spans="1:12" ht="15">
      <c r="A11" s="905" t="s">
        <v>64</v>
      </c>
      <c r="B11" s="906"/>
      <c r="C11" s="906"/>
      <c r="D11" s="906"/>
      <c r="E11" s="906"/>
      <c r="F11" s="906"/>
      <c r="G11" s="906"/>
      <c r="H11" s="906"/>
      <c r="I11" s="906"/>
      <c r="J11" s="907"/>
    </row>
    <row r="12" spans="1:12" ht="15">
      <c r="A12" s="911" t="s">
        <v>65</v>
      </c>
      <c r="B12" s="912"/>
      <c r="C12" s="912"/>
      <c r="D12" s="912"/>
      <c r="E12" s="912"/>
      <c r="F12" s="913"/>
      <c r="G12" s="73"/>
      <c r="H12" s="74"/>
      <c r="I12" s="74"/>
      <c r="J12" s="73"/>
      <c r="K12" s="94"/>
    </row>
    <row r="13" spans="1:12" ht="15">
      <c r="A13" s="911" t="s">
        <v>66</v>
      </c>
      <c r="B13" s="912"/>
      <c r="C13" s="912"/>
      <c r="D13" s="912"/>
      <c r="E13" s="912"/>
      <c r="F13" s="913"/>
      <c r="G13" s="73"/>
      <c r="H13" s="74"/>
      <c r="I13" s="73"/>
      <c r="J13" s="73"/>
      <c r="L13" s="80"/>
    </row>
    <row r="14" spans="1:12" ht="15">
      <c r="A14" s="911" t="s">
        <v>67</v>
      </c>
      <c r="B14" s="912"/>
      <c r="C14" s="912"/>
      <c r="D14" s="912"/>
      <c r="E14" s="912"/>
      <c r="F14" s="913"/>
      <c r="G14" s="95"/>
      <c r="H14" s="96"/>
      <c r="I14" s="95"/>
      <c r="J14" s="95"/>
      <c r="L14" s="80"/>
    </row>
    <row r="15" spans="1:12" ht="15">
      <c r="A15" s="84" t="s">
        <v>68</v>
      </c>
      <c r="B15" s="76"/>
      <c r="C15" s="76"/>
      <c r="D15" s="78"/>
      <c r="E15" s="77"/>
      <c r="F15" s="76"/>
      <c r="G15" s="77"/>
      <c r="H15" s="77"/>
      <c r="I15" s="79"/>
      <c r="J15" s="216"/>
      <c r="L15" s="80"/>
    </row>
    <row r="16" spans="1:12" ht="15">
      <c r="A16" s="87"/>
      <c r="B16" s="88"/>
      <c r="C16" s="76"/>
      <c r="D16" s="78"/>
      <c r="E16" s="77"/>
      <c r="F16" s="76"/>
      <c r="G16" s="77"/>
      <c r="H16" s="77"/>
      <c r="I16" s="79"/>
      <c r="J16" s="83"/>
      <c r="L16" s="80"/>
    </row>
    <row r="17" spans="1:12" ht="15">
      <c r="A17" s="87"/>
      <c r="B17" s="88"/>
      <c r="C17" s="76"/>
      <c r="D17" s="78"/>
      <c r="E17" s="77"/>
      <c r="F17" s="76"/>
      <c r="G17" s="77"/>
      <c r="H17" s="77"/>
      <c r="I17" s="79"/>
      <c r="J17" s="83"/>
      <c r="L17" s="80"/>
    </row>
    <row r="18" spans="1:12" ht="15">
      <c r="A18" s="87"/>
      <c r="B18" s="88"/>
      <c r="C18" s="76"/>
      <c r="D18" s="78"/>
      <c r="E18" s="77"/>
      <c r="F18" s="76"/>
      <c r="G18" s="77"/>
      <c r="H18" s="77"/>
      <c r="I18" s="79"/>
      <c r="J18" s="83"/>
      <c r="L18" s="80"/>
    </row>
    <row r="19" spans="1:12" ht="15">
      <c r="A19" s="84"/>
      <c r="B19" s="76"/>
      <c r="C19" s="76"/>
      <c r="D19" s="78"/>
      <c r="E19" s="77"/>
      <c r="F19" s="76"/>
      <c r="G19" s="77"/>
      <c r="H19" s="77"/>
      <c r="I19" s="79"/>
      <c r="J19" s="85"/>
    </row>
    <row r="20" spans="1:12" ht="15">
      <c r="A20" s="84"/>
      <c r="B20" s="76"/>
      <c r="C20" s="76"/>
      <c r="D20" s="78"/>
      <c r="E20" s="77"/>
      <c r="F20" s="76"/>
      <c r="G20" s="77"/>
      <c r="H20" s="77"/>
      <c r="I20" s="79"/>
      <c r="J20" s="215"/>
    </row>
    <row r="21" spans="1:12" ht="15">
      <c r="A21" s="84"/>
      <c r="B21" s="76"/>
      <c r="C21" s="76"/>
      <c r="D21" s="78"/>
      <c r="E21" s="77"/>
      <c r="F21" s="76"/>
      <c r="G21" s="77"/>
      <c r="H21" s="77"/>
      <c r="I21" s="79"/>
      <c r="J21" s="216"/>
    </row>
    <row r="22" spans="1:12" ht="15">
      <c r="A22" s="911" t="s">
        <v>69</v>
      </c>
      <c r="B22" s="912"/>
      <c r="C22" s="912"/>
      <c r="D22" s="912"/>
      <c r="E22" s="912"/>
      <c r="F22" s="913"/>
      <c r="G22" s="97"/>
      <c r="H22" s="74"/>
      <c r="I22" s="73"/>
      <c r="J22" s="217"/>
      <c r="K22" s="80"/>
      <c r="L22" s="80"/>
    </row>
    <row r="23" spans="1:12" ht="15">
      <c r="A23" s="911" t="s">
        <v>70</v>
      </c>
      <c r="B23" s="912"/>
      <c r="C23" s="912"/>
      <c r="D23" s="912"/>
      <c r="E23" s="912"/>
      <c r="F23" s="913"/>
      <c r="G23" s="97"/>
      <c r="H23" s="74"/>
      <c r="I23" s="73"/>
      <c r="J23" s="217"/>
      <c r="K23" s="80"/>
      <c r="L23" s="80"/>
    </row>
    <row r="24" spans="1:12" ht="15">
      <c r="A24" s="911" t="s">
        <v>71</v>
      </c>
      <c r="B24" s="912"/>
      <c r="C24" s="912"/>
      <c r="D24" s="912"/>
      <c r="E24" s="912"/>
      <c r="F24" s="913"/>
      <c r="G24" s="95"/>
      <c r="H24" s="96"/>
      <c r="I24" s="95"/>
      <c r="J24" s="95"/>
      <c r="K24" s="80"/>
      <c r="L24" s="80"/>
    </row>
    <row r="25" spans="1:12" ht="15">
      <c r="A25" s="98" t="s">
        <v>211</v>
      </c>
      <c r="B25" s="82"/>
      <c r="C25" s="99"/>
      <c r="D25" s="99"/>
      <c r="E25" s="100"/>
      <c r="F25" s="82"/>
      <c r="G25" s="100"/>
      <c r="H25" s="100"/>
      <c r="I25" s="79"/>
      <c r="J25" s="101"/>
      <c r="K25" s="80"/>
      <c r="L25" s="80"/>
    </row>
    <row r="26" spans="1:12" ht="15">
      <c r="A26" s="87"/>
      <c r="B26" s="88">
        <v>83.03</v>
      </c>
      <c r="C26" s="90">
        <v>2.88</v>
      </c>
      <c r="D26" s="90">
        <v>0.75</v>
      </c>
      <c r="E26" s="91"/>
      <c r="F26" s="88">
        <f>PRODUCT(B26:E26)</f>
        <v>179.34479999999999</v>
      </c>
      <c r="G26" s="102">
        <f>F26</f>
        <v>179.34479999999999</v>
      </c>
      <c r="H26" s="77"/>
      <c r="I26" s="79">
        <f>G26*1.1</f>
        <v>197.27928</v>
      </c>
      <c r="J26" s="83">
        <f>I26</f>
        <v>197.27928</v>
      </c>
      <c r="K26" s="80"/>
      <c r="L26" s="80"/>
    </row>
    <row r="27" spans="1:12" ht="15">
      <c r="A27" s="87"/>
      <c r="B27" s="88"/>
      <c r="C27" s="90"/>
      <c r="D27" s="90"/>
      <c r="E27" s="91"/>
      <c r="F27" s="88"/>
      <c r="G27" s="102"/>
      <c r="H27" s="77"/>
      <c r="I27" s="79"/>
      <c r="J27" s="83"/>
      <c r="K27" s="80"/>
      <c r="L27" s="80"/>
    </row>
    <row r="28" spans="1:12" ht="15">
      <c r="A28" s="87"/>
      <c r="B28" s="88"/>
      <c r="C28" s="90"/>
      <c r="D28" s="90"/>
      <c r="E28" s="91"/>
      <c r="F28" s="88"/>
      <c r="G28" s="102"/>
      <c r="H28" s="77"/>
      <c r="I28" s="79"/>
      <c r="J28" s="83"/>
      <c r="K28" s="80"/>
      <c r="L28" s="80"/>
    </row>
    <row r="29" spans="1:12" ht="15">
      <c r="A29" s="87"/>
      <c r="B29" s="88"/>
      <c r="C29" s="90"/>
      <c r="D29" s="90"/>
      <c r="E29" s="91"/>
      <c r="F29" s="88"/>
      <c r="G29" s="91"/>
      <c r="H29" s="91"/>
      <c r="I29" s="79"/>
      <c r="J29" s="103">
        <f>SUM(J26:J28)</f>
        <v>197.27928</v>
      </c>
      <c r="K29" s="80"/>
      <c r="L29" s="80"/>
    </row>
    <row r="30" spans="1:12" ht="15">
      <c r="A30" s="87"/>
      <c r="B30" s="88"/>
      <c r="C30" s="90"/>
      <c r="D30" s="90"/>
      <c r="E30" s="91"/>
      <c r="F30" s="88"/>
      <c r="G30" s="91"/>
      <c r="H30" s="91"/>
      <c r="I30" s="79"/>
      <c r="J30" s="101"/>
      <c r="K30" s="80"/>
      <c r="L30" s="80"/>
    </row>
    <row r="31" spans="1:12" ht="15">
      <c r="A31" s="914" t="s">
        <v>72</v>
      </c>
      <c r="B31" s="915"/>
      <c r="C31" s="915"/>
      <c r="D31" s="915"/>
      <c r="E31" s="915"/>
      <c r="F31" s="915"/>
      <c r="G31" s="915"/>
      <c r="H31" s="915"/>
      <c r="I31" s="915"/>
      <c r="J31" s="916"/>
      <c r="K31" s="80"/>
      <c r="L31" s="80"/>
    </row>
    <row r="32" spans="1:12" ht="15">
      <c r="A32" s="98"/>
      <c r="B32" s="76"/>
      <c r="C32" s="78"/>
      <c r="D32" s="78"/>
      <c r="E32" s="77"/>
      <c r="F32" s="76"/>
      <c r="G32" s="77"/>
      <c r="H32" s="77"/>
      <c r="I32" s="79"/>
      <c r="J32" s="79"/>
      <c r="K32" s="80"/>
      <c r="L32" s="80"/>
    </row>
    <row r="33" spans="1:12" ht="15">
      <c r="A33" s="87"/>
      <c r="B33" s="88"/>
      <c r="C33" s="78"/>
      <c r="D33" s="78"/>
      <c r="E33" s="77"/>
      <c r="F33" s="88"/>
      <c r="G33" s="102"/>
      <c r="H33" s="77"/>
      <c r="I33" s="79"/>
      <c r="J33" s="83"/>
      <c r="K33" s="80"/>
      <c r="L33" s="80"/>
    </row>
    <row r="34" spans="1:12" ht="15">
      <c r="A34" s="87"/>
      <c r="B34" s="88"/>
      <c r="C34" s="78"/>
      <c r="D34" s="78"/>
      <c r="E34" s="77"/>
      <c r="F34" s="88"/>
      <c r="G34" s="102"/>
      <c r="H34" s="77"/>
      <c r="I34" s="79"/>
      <c r="J34" s="83"/>
      <c r="K34" s="80"/>
      <c r="L34" s="80"/>
    </row>
    <row r="35" spans="1:12" ht="15">
      <c r="A35" s="87"/>
      <c r="B35" s="88"/>
      <c r="C35" s="78"/>
      <c r="D35" s="78"/>
      <c r="E35" s="77"/>
      <c r="F35" s="88"/>
      <c r="G35" s="102"/>
      <c r="H35" s="77"/>
      <c r="I35" s="79"/>
      <c r="J35" s="83"/>
      <c r="K35" s="80"/>
      <c r="L35" s="80"/>
    </row>
    <row r="36" spans="1:12" ht="15">
      <c r="A36" s="84"/>
      <c r="B36" s="76"/>
      <c r="C36" s="78"/>
      <c r="D36" s="78"/>
      <c r="E36" s="77"/>
      <c r="F36" s="88"/>
      <c r="G36" s="91"/>
      <c r="H36" s="91"/>
      <c r="I36" s="79"/>
      <c r="J36" s="103"/>
      <c r="K36" s="80"/>
      <c r="L36" s="80"/>
    </row>
    <row r="37" spans="1:12" ht="15">
      <c r="A37" s="84"/>
      <c r="B37" s="76"/>
      <c r="C37" s="78"/>
      <c r="D37" s="78"/>
      <c r="E37" s="77"/>
      <c r="F37" s="76"/>
      <c r="G37" s="77"/>
      <c r="H37" s="77"/>
      <c r="I37" s="79"/>
      <c r="J37" s="79"/>
      <c r="K37" s="80"/>
      <c r="L37" s="80"/>
    </row>
    <row r="38" spans="1:12" ht="15">
      <c r="A38" s="899"/>
      <c r="B38" s="900"/>
      <c r="C38" s="900"/>
      <c r="D38" s="900"/>
      <c r="E38" s="900"/>
      <c r="F38" s="900"/>
      <c r="G38" s="900"/>
      <c r="H38" s="900"/>
      <c r="I38" s="900"/>
      <c r="J38" s="901"/>
      <c r="L38" s="80"/>
    </row>
    <row r="39" spans="1:12" ht="15">
      <c r="A39" s="917" t="s">
        <v>73</v>
      </c>
      <c r="B39" s="918"/>
      <c r="C39" s="918"/>
      <c r="D39" s="918"/>
      <c r="E39" s="918"/>
      <c r="F39" s="918"/>
      <c r="G39" s="918"/>
      <c r="H39" s="918"/>
      <c r="I39" s="918"/>
      <c r="J39" s="919"/>
      <c r="L39" s="80"/>
    </row>
    <row r="40" spans="1:12" ht="15">
      <c r="A40" s="920" t="s">
        <v>74</v>
      </c>
      <c r="B40" s="921"/>
      <c r="C40" s="921"/>
      <c r="D40" s="921"/>
      <c r="E40" s="921"/>
      <c r="F40" s="922"/>
      <c r="G40" s="73"/>
      <c r="H40" s="74"/>
      <c r="I40" s="73"/>
      <c r="J40" s="73"/>
    </row>
    <row r="41" spans="1:12" ht="15">
      <c r="A41" s="75"/>
      <c r="B41" s="82"/>
      <c r="C41" s="99"/>
      <c r="D41" s="104"/>
      <c r="E41" s="105"/>
      <c r="F41" s="82"/>
      <c r="G41" s="106"/>
      <c r="H41" s="100"/>
      <c r="I41" s="79"/>
      <c r="J41" s="101"/>
      <c r="L41" s="107"/>
    </row>
    <row r="42" spans="1:12" s="71" customFormat="1" ht="30" customHeight="1">
      <c r="A42" s="87"/>
      <c r="B42" s="108"/>
      <c r="C42" s="109"/>
      <c r="D42" s="104"/>
      <c r="E42" s="105"/>
      <c r="F42" s="110"/>
      <c r="G42" s="111"/>
      <c r="H42" s="77"/>
      <c r="I42" s="112"/>
      <c r="J42" s="112"/>
    </row>
    <row r="43" spans="1:12" ht="15">
      <c r="A43" s="920" t="s">
        <v>75</v>
      </c>
      <c r="B43" s="921"/>
      <c r="C43" s="921"/>
      <c r="D43" s="921"/>
      <c r="E43" s="921"/>
      <c r="F43" s="922"/>
      <c r="G43" s="73"/>
      <c r="H43" s="74"/>
      <c r="I43" s="73"/>
      <c r="J43" s="73"/>
    </row>
    <row r="44" spans="1:12" ht="15">
      <c r="A44" s="917" t="s">
        <v>76</v>
      </c>
      <c r="B44" s="918"/>
      <c r="C44" s="918"/>
      <c r="D44" s="918"/>
      <c r="E44" s="918"/>
      <c r="F44" s="918"/>
      <c r="G44" s="918"/>
      <c r="H44" s="918"/>
      <c r="I44" s="918"/>
      <c r="J44" s="919"/>
      <c r="L44" s="80"/>
    </row>
    <row r="45" spans="1:12" ht="15">
      <c r="A45" s="98"/>
      <c r="B45" s="76"/>
      <c r="C45" s="78"/>
      <c r="D45" s="78"/>
      <c r="E45" s="77"/>
      <c r="F45" s="76"/>
      <c r="G45" s="77"/>
      <c r="H45" s="77"/>
      <c r="I45" s="79"/>
      <c r="J45" s="79"/>
      <c r="L45" s="80"/>
    </row>
    <row r="46" spans="1:12" ht="15">
      <c r="A46" s="87" t="s">
        <v>212</v>
      </c>
      <c r="B46" s="88">
        <f>B26</f>
        <v>83.03</v>
      </c>
      <c r="C46" s="78">
        <f>2*(1.5+2.88)/2</f>
        <v>4.38</v>
      </c>
      <c r="D46" s="78"/>
      <c r="E46" s="77"/>
      <c r="F46" s="88">
        <f>PRODUCT(B46:E46)</f>
        <v>363.67140000000001</v>
      </c>
      <c r="G46" s="102">
        <f>F46</f>
        <v>363.67140000000001</v>
      </c>
      <c r="H46" s="77" t="s">
        <v>63</v>
      </c>
      <c r="I46" s="79">
        <f>G46*1.1</f>
        <v>400.03854000000001</v>
      </c>
      <c r="J46" s="85">
        <f>I46</f>
        <v>400.03854000000001</v>
      </c>
      <c r="L46" s="80"/>
    </row>
    <row r="47" spans="1:12" ht="15">
      <c r="A47" s="87"/>
      <c r="B47" s="88"/>
      <c r="C47" s="78"/>
      <c r="D47" s="78"/>
      <c r="E47" s="77"/>
      <c r="F47" s="88"/>
      <c r="G47" s="102"/>
      <c r="H47" s="77"/>
      <c r="I47" s="79"/>
      <c r="J47" s="85"/>
      <c r="L47" s="80"/>
    </row>
    <row r="48" spans="1:12" ht="15">
      <c r="A48" s="87" t="s">
        <v>77</v>
      </c>
      <c r="B48" s="88">
        <f>B26</f>
        <v>83.03</v>
      </c>
      <c r="C48" s="78">
        <f>0.55+2.88+1.65</f>
        <v>5.08</v>
      </c>
      <c r="D48" s="78"/>
      <c r="E48" s="77"/>
      <c r="F48" s="88">
        <f>PRODUCT(B48:E48)</f>
        <v>421.79239999999999</v>
      </c>
      <c r="G48" s="102">
        <f>F48</f>
        <v>421.79239999999999</v>
      </c>
      <c r="H48" s="77" t="s">
        <v>63</v>
      </c>
      <c r="I48" s="79">
        <f>G48*1.1</f>
        <v>463.97164000000004</v>
      </c>
      <c r="J48" s="85">
        <f>I48</f>
        <v>463.97164000000004</v>
      </c>
      <c r="L48" s="80"/>
    </row>
    <row r="49" spans="1:12" ht="15">
      <c r="A49" s="87"/>
      <c r="B49" s="88"/>
      <c r="C49" s="78"/>
      <c r="D49" s="78"/>
      <c r="E49" s="77"/>
      <c r="F49" s="88"/>
      <c r="G49" s="102"/>
      <c r="H49" s="77"/>
      <c r="I49" s="79"/>
      <c r="J49" s="113"/>
      <c r="L49" s="80"/>
    </row>
    <row r="50" spans="1:12" ht="15">
      <c r="A50" s="87"/>
      <c r="B50" s="88"/>
      <c r="C50" s="78"/>
      <c r="D50" s="78"/>
      <c r="E50" s="77"/>
      <c r="F50" s="88"/>
      <c r="G50" s="102"/>
      <c r="H50" s="77"/>
      <c r="I50" s="79"/>
      <c r="J50" s="113"/>
      <c r="L50" s="80"/>
    </row>
    <row r="51" spans="1:12" ht="30">
      <c r="A51" s="114"/>
      <c r="B51" s="115" t="s">
        <v>78</v>
      </c>
      <c r="C51" s="115" t="s">
        <v>55</v>
      </c>
      <c r="D51" s="115" t="s">
        <v>1</v>
      </c>
      <c r="E51" s="116" t="s">
        <v>79</v>
      </c>
      <c r="F51" s="115" t="s">
        <v>80</v>
      </c>
      <c r="G51" s="115"/>
      <c r="H51" s="115"/>
      <c r="I51" s="115"/>
      <c r="J51" s="115"/>
      <c r="L51" s="107"/>
    </row>
    <row r="52" spans="1:12" ht="15">
      <c r="A52" s="920" t="s">
        <v>81</v>
      </c>
      <c r="B52" s="921"/>
      <c r="C52" s="921"/>
      <c r="D52" s="921"/>
      <c r="E52" s="921"/>
      <c r="F52" s="922"/>
      <c r="G52" s="73"/>
      <c r="H52" s="74"/>
      <c r="I52" s="73"/>
      <c r="J52" s="73"/>
    </row>
    <row r="53" spans="1:12" ht="15">
      <c r="A53" s="117"/>
      <c r="B53" s="99"/>
      <c r="C53" s="100"/>
      <c r="D53" s="99"/>
      <c r="E53" s="100"/>
      <c r="F53" s="82"/>
      <c r="G53" s="104"/>
      <c r="H53" s="100"/>
      <c r="I53" s="104"/>
      <c r="J53" s="93"/>
      <c r="L53" s="107"/>
    </row>
    <row r="54" spans="1:12" ht="15">
      <c r="A54" s="117"/>
      <c r="B54" s="99"/>
      <c r="C54" s="100"/>
      <c r="D54" s="99"/>
      <c r="E54" s="100"/>
      <c r="F54" s="82"/>
      <c r="G54" s="104"/>
      <c r="H54" s="100"/>
      <c r="I54" s="104"/>
      <c r="J54" s="93"/>
      <c r="L54" s="107"/>
    </row>
    <row r="55" spans="1:12" ht="15">
      <c r="A55" s="920" t="s">
        <v>82</v>
      </c>
      <c r="B55" s="921"/>
      <c r="C55" s="921"/>
      <c r="D55" s="921"/>
      <c r="E55" s="921"/>
      <c r="F55" s="922"/>
      <c r="G55" s="73"/>
      <c r="H55" s="74"/>
      <c r="I55" s="73"/>
      <c r="J55" s="73"/>
    </row>
    <row r="56" spans="1:12" ht="15">
      <c r="A56" s="75"/>
      <c r="B56" s="82"/>
      <c r="C56" s="100"/>
      <c r="D56" s="99"/>
      <c r="E56" s="100"/>
      <c r="F56" s="82"/>
      <c r="G56" s="92"/>
      <c r="H56" s="100"/>
      <c r="I56" s="92"/>
      <c r="J56" s="93"/>
      <c r="L56" s="80"/>
    </row>
    <row r="57" spans="1:12" ht="15">
      <c r="A57" s="75"/>
      <c r="B57" s="82"/>
      <c r="C57" s="100"/>
      <c r="D57" s="99"/>
      <c r="E57" s="100"/>
      <c r="F57" s="82"/>
      <c r="G57" s="92"/>
      <c r="H57" s="100"/>
      <c r="I57" s="92"/>
      <c r="J57" s="93"/>
      <c r="L57" s="80"/>
    </row>
    <row r="58" spans="1:12" ht="24.9" customHeight="1">
      <c r="A58" s="920" t="s">
        <v>83</v>
      </c>
      <c r="B58" s="921"/>
      <c r="C58" s="921"/>
      <c r="D58" s="921"/>
      <c r="E58" s="921"/>
      <c r="F58" s="922"/>
      <c r="G58" s="73"/>
      <c r="H58" s="74"/>
      <c r="I58" s="73"/>
      <c r="J58" s="73"/>
    </row>
    <row r="59" spans="1:12" ht="15">
      <c r="A59" s="75"/>
      <c r="B59" s="118"/>
      <c r="C59" s="104"/>
      <c r="D59" s="104"/>
      <c r="E59" s="118"/>
      <c r="F59" s="82"/>
      <c r="G59" s="100"/>
      <c r="H59" s="100"/>
      <c r="I59" s="92"/>
      <c r="J59" s="101"/>
    </row>
    <row r="60" spans="1:12" ht="15">
      <c r="A60" s="75"/>
      <c r="B60" s="118"/>
      <c r="C60" s="104"/>
      <c r="D60" s="104"/>
      <c r="E60" s="118"/>
      <c r="F60" s="82"/>
      <c r="G60" s="100"/>
      <c r="H60" s="100"/>
      <c r="I60" s="92"/>
      <c r="J60" s="101"/>
      <c r="L60" s="80"/>
    </row>
    <row r="61" spans="1:12" ht="15">
      <c r="A61" s="917" t="s">
        <v>84</v>
      </c>
      <c r="B61" s="918"/>
      <c r="C61" s="918"/>
      <c r="D61" s="918"/>
      <c r="E61" s="918"/>
      <c r="F61" s="918"/>
      <c r="G61" s="918"/>
      <c r="H61" s="918"/>
      <c r="I61" s="918"/>
      <c r="J61" s="919"/>
      <c r="L61" s="107"/>
    </row>
    <row r="62" spans="1:12" ht="24.9" customHeight="1">
      <c r="A62" s="920"/>
      <c r="B62" s="921"/>
      <c r="C62" s="921"/>
      <c r="D62" s="921"/>
      <c r="E62" s="921"/>
      <c r="F62" s="922"/>
      <c r="G62" s="73"/>
      <c r="H62" s="74"/>
      <c r="I62" s="73"/>
      <c r="J62" s="73"/>
    </row>
    <row r="63" spans="1:12" ht="15">
      <c r="A63" s="75"/>
      <c r="B63" s="118"/>
      <c r="C63" s="100"/>
      <c r="D63" s="99"/>
      <c r="E63" s="100"/>
      <c r="F63" s="82"/>
      <c r="G63" s="100"/>
      <c r="H63" s="100"/>
      <c r="I63" s="92"/>
      <c r="J63" s="79"/>
      <c r="L63" s="80"/>
    </row>
    <row r="64" spans="1:12" ht="15">
      <c r="A64" s="119"/>
      <c r="B64" s="120"/>
      <c r="C64" s="121"/>
      <c r="D64" s="122"/>
      <c r="E64" s="121"/>
      <c r="F64" s="123"/>
      <c r="G64" s="121"/>
      <c r="H64" s="121"/>
      <c r="I64" s="124"/>
      <c r="J64" s="124"/>
      <c r="L64" s="80"/>
    </row>
    <row r="65" spans="1:12" ht="15">
      <c r="A65" s="923" t="s">
        <v>85</v>
      </c>
      <c r="B65" s="924"/>
      <c r="C65" s="924"/>
      <c r="D65" s="924"/>
      <c r="E65" s="924"/>
      <c r="F65" s="924"/>
      <c r="G65" s="924"/>
      <c r="H65" s="924"/>
      <c r="I65" s="924"/>
      <c r="J65" s="925"/>
      <c r="L65" s="80"/>
    </row>
    <row r="66" spans="1:12" ht="15">
      <c r="A66" s="914" t="s">
        <v>86</v>
      </c>
      <c r="B66" s="915"/>
      <c r="C66" s="915"/>
      <c r="D66" s="915"/>
      <c r="E66" s="915"/>
      <c r="F66" s="915"/>
      <c r="G66" s="915"/>
      <c r="H66" s="915"/>
      <c r="I66" s="125"/>
      <c r="J66" s="126"/>
      <c r="L66" s="80"/>
    </row>
    <row r="67" spans="1:12" ht="15">
      <c r="A67" s="127" t="s">
        <v>87</v>
      </c>
      <c r="B67" s="82"/>
      <c r="C67" s="91"/>
      <c r="D67" s="78"/>
      <c r="E67" s="77"/>
      <c r="F67" s="76"/>
      <c r="G67" s="77"/>
      <c r="H67" s="77"/>
      <c r="I67" s="79"/>
      <c r="J67" s="86"/>
      <c r="L67" s="80"/>
    </row>
    <row r="68" spans="1:12" ht="15">
      <c r="A68" s="81"/>
      <c r="B68" s="82"/>
      <c r="C68" s="91"/>
      <c r="D68" s="78"/>
      <c r="E68" s="77"/>
      <c r="F68" s="76"/>
      <c r="G68" s="77"/>
      <c r="H68" s="77"/>
      <c r="I68" s="79"/>
      <c r="J68" s="128"/>
      <c r="L68" s="80"/>
    </row>
    <row r="69" spans="1:12" ht="15">
      <c r="A69" s="81"/>
      <c r="B69" s="82"/>
      <c r="C69" s="91"/>
      <c r="D69" s="78"/>
      <c r="E69" s="77"/>
      <c r="F69" s="76"/>
      <c r="G69" s="77"/>
      <c r="H69" s="77"/>
      <c r="I69" s="79"/>
      <c r="J69" s="128"/>
      <c r="L69" s="80"/>
    </row>
    <row r="70" spans="1:12" ht="15">
      <c r="A70" s="81"/>
      <c r="B70" s="82"/>
      <c r="C70" s="91"/>
      <c r="D70" s="78"/>
      <c r="E70" s="77"/>
      <c r="F70" s="76"/>
      <c r="G70" s="77"/>
      <c r="H70" s="77"/>
      <c r="I70" s="79"/>
      <c r="J70" s="128"/>
      <c r="L70" s="80"/>
    </row>
    <row r="71" spans="1:12" ht="15">
      <c r="A71" s="127"/>
      <c r="B71" s="82"/>
      <c r="C71" s="91"/>
      <c r="D71" s="78"/>
      <c r="E71" s="77"/>
      <c r="F71" s="76"/>
      <c r="G71" s="77"/>
      <c r="H71" s="77"/>
      <c r="I71" s="79"/>
      <c r="J71" s="85"/>
      <c r="L71" s="80"/>
    </row>
    <row r="72" spans="1:12" ht="15">
      <c r="A72" s="84"/>
      <c r="B72" s="82"/>
      <c r="C72" s="91"/>
      <c r="D72" s="99"/>
      <c r="E72" s="100"/>
      <c r="F72" s="82"/>
      <c r="G72" s="100"/>
      <c r="H72" s="100"/>
      <c r="I72" s="79"/>
      <c r="J72" s="216"/>
      <c r="L72" s="80"/>
    </row>
    <row r="73" spans="1:12" ht="15">
      <c r="A73" s="127" t="s">
        <v>88</v>
      </c>
      <c r="B73" s="88"/>
      <c r="C73" s="91"/>
      <c r="D73" s="90"/>
      <c r="E73" s="91"/>
      <c r="F73" s="82"/>
      <c r="G73" s="91"/>
      <c r="H73" s="91"/>
      <c r="I73" s="79"/>
      <c r="J73" s="216"/>
      <c r="L73" s="80"/>
    </row>
    <row r="74" spans="1:12" ht="15">
      <c r="A74" s="84"/>
      <c r="B74" s="88"/>
      <c r="C74" s="91"/>
      <c r="D74" s="90"/>
      <c r="E74" s="91"/>
      <c r="F74" s="88"/>
      <c r="G74" s="91"/>
      <c r="H74" s="129"/>
      <c r="I74" s="79"/>
      <c r="J74" s="216"/>
      <c r="L74" s="80"/>
    </row>
    <row r="75" spans="1:12" ht="15">
      <c r="A75" s="84" t="s">
        <v>89</v>
      </c>
      <c r="B75" s="88"/>
      <c r="C75" s="91"/>
      <c r="D75" s="90"/>
      <c r="E75" s="91"/>
      <c r="F75" s="88"/>
      <c r="G75" s="91"/>
      <c r="H75" s="129"/>
      <c r="I75" s="79"/>
      <c r="J75" s="216"/>
      <c r="L75" s="80"/>
    </row>
    <row r="76" spans="1:12" ht="15">
      <c r="A76" s="84"/>
      <c r="B76" s="88"/>
      <c r="C76" s="91"/>
      <c r="D76" s="90"/>
      <c r="E76" s="91"/>
      <c r="F76" s="88"/>
      <c r="G76" s="91"/>
      <c r="H76" s="77"/>
      <c r="I76" s="79"/>
      <c r="J76" s="214"/>
      <c r="L76" s="80"/>
    </row>
    <row r="77" spans="1:12" ht="15">
      <c r="A77" s="84"/>
      <c r="B77" s="88"/>
      <c r="C77" s="91"/>
      <c r="D77" s="90"/>
      <c r="E77" s="91"/>
      <c r="F77" s="88"/>
      <c r="G77" s="91"/>
      <c r="H77" s="77"/>
      <c r="I77" s="79"/>
      <c r="J77" s="113"/>
      <c r="L77" s="80"/>
    </row>
    <row r="78" spans="1:12" ht="15">
      <c r="A78" s="914" t="s">
        <v>90</v>
      </c>
      <c r="B78" s="915"/>
      <c r="C78" s="915"/>
      <c r="D78" s="915"/>
      <c r="E78" s="915"/>
      <c r="F78" s="915"/>
      <c r="G78" s="915"/>
      <c r="H78" s="915"/>
      <c r="I78" s="915"/>
      <c r="J78" s="916"/>
      <c r="L78" s="80"/>
    </row>
    <row r="79" spans="1:12" ht="15">
      <c r="A79" s="130"/>
      <c r="B79" s="131"/>
      <c r="C79" s="77"/>
      <c r="D79" s="78"/>
      <c r="E79" s="77"/>
      <c r="F79" s="76"/>
      <c r="G79" s="77"/>
      <c r="H79" s="77"/>
      <c r="I79" s="79"/>
      <c r="J79" s="79"/>
      <c r="L79" s="80"/>
    </row>
    <row r="80" spans="1:12" ht="13.5" customHeight="1">
      <c r="A80" s="132"/>
      <c r="B80" s="131"/>
      <c r="C80" s="77"/>
      <c r="D80" s="78"/>
      <c r="E80" s="77"/>
      <c r="F80" s="76"/>
      <c r="G80" s="77"/>
      <c r="H80" s="77"/>
      <c r="I80" s="79"/>
      <c r="J80" s="85"/>
      <c r="L80" s="80"/>
    </row>
    <row r="81" spans="1:12" ht="15">
      <c r="A81" s="130"/>
      <c r="B81" s="131"/>
      <c r="C81" s="77"/>
      <c r="D81" s="78"/>
      <c r="E81" s="77"/>
      <c r="F81" s="76"/>
      <c r="G81" s="77"/>
      <c r="H81" s="77"/>
      <c r="I81" s="79"/>
      <c r="J81" s="216"/>
      <c r="L81" s="80"/>
    </row>
    <row r="82" spans="1:12" ht="15" customHeight="1">
      <c r="A82" s="132"/>
      <c r="B82" s="131"/>
      <c r="C82" s="77"/>
      <c r="D82" s="78"/>
      <c r="E82" s="77"/>
      <c r="F82" s="76"/>
      <c r="G82" s="77"/>
      <c r="H82" s="77"/>
      <c r="I82" s="79"/>
      <c r="J82" s="128"/>
      <c r="L82" s="80"/>
    </row>
    <row r="83" spans="1:12" ht="15">
      <c r="A83" s="132"/>
      <c r="B83" s="118"/>
      <c r="C83" s="100"/>
      <c r="D83" s="99"/>
      <c r="E83" s="100"/>
      <c r="F83" s="76"/>
      <c r="G83" s="100"/>
      <c r="H83" s="77"/>
      <c r="I83" s="92"/>
      <c r="J83" s="128"/>
      <c r="L83" s="80"/>
    </row>
    <row r="84" spans="1:12" ht="15">
      <c r="A84" s="132"/>
      <c r="B84" s="118"/>
      <c r="C84" s="100"/>
      <c r="D84" s="99"/>
      <c r="E84" s="100"/>
      <c r="F84" s="76"/>
      <c r="G84" s="100"/>
      <c r="H84" s="77"/>
      <c r="I84" s="92"/>
      <c r="J84" s="128"/>
      <c r="L84" s="80"/>
    </row>
    <row r="85" spans="1:12" ht="15">
      <c r="A85" s="132"/>
      <c r="B85" s="89"/>
      <c r="C85" s="91"/>
      <c r="D85" s="90"/>
      <c r="E85" s="91"/>
      <c r="F85" s="76"/>
      <c r="G85" s="91"/>
      <c r="H85" s="77"/>
      <c r="I85" s="102"/>
      <c r="J85" s="128"/>
      <c r="L85" s="80"/>
    </row>
    <row r="86" spans="1:12" ht="15">
      <c r="A86" s="132"/>
      <c r="B86" s="89"/>
      <c r="C86" s="91"/>
      <c r="D86" s="90"/>
      <c r="E86" s="91"/>
      <c r="F86" s="88"/>
      <c r="G86" s="91"/>
      <c r="H86" s="91"/>
      <c r="I86" s="102"/>
      <c r="J86" s="138"/>
      <c r="L86" s="80"/>
    </row>
    <row r="87" spans="1:12" ht="15">
      <c r="A87" s="132"/>
      <c r="B87" s="89"/>
      <c r="C87" s="91"/>
      <c r="D87" s="90"/>
      <c r="E87" s="91"/>
      <c r="F87" s="88"/>
      <c r="G87" s="91"/>
      <c r="H87" s="91"/>
      <c r="I87" s="102"/>
      <c r="J87" s="134"/>
      <c r="L87" s="80"/>
    </row>
    <row r="88" spans="1:12" ht="15">
      <c r="A88" s="914" t="s">
        <v>91</v>
      </c>
      <c r="B88" s="915"/>
      <c r="C88" s="915"/>
      <c r="D88" s="915"/>
      <c r="E88" s="915"/>
      <c r="F88" s="915"/>
      <c r="G88" s="915"/>
      <c r="H88" s="915"/>
      <c r="I88" s="915"/>
      <c r="J88" s="916"/>
      <c r="L88" s="80"/>
    </row>
    <row r="89" spans="1:12" ht="15">
      <c r="A89" s="130"/>
      <c r="B89" s="131"/>
      <c r="C89" s="77"/>
      <c r="D89" s="78"/>
      <c r="E89" s="77"/>
      <c r="F89" s="76"/>
      <c r="G89" s="79"/>
      <c r="H89" s="77"/>
      <c r="I89" s="79"/>
      <c r="J89" s="128"/>
      <c r="L89" s="80"/>
    </row>
    <row r="90" spans="1:12" ht="15">
      <c r="A90" s="130"/>
      <c r="B90" s="131"/>
      <c r="C90" s="77"/>
      <c r="D90" s="78"/>
      <c r="E90" s="77"/>
      <c r="F90" s="76"/>
      <c r="G90" s="79"/>
      <c r="H90" s="77"/>
      <c r="I90" s="79"/>
      <c r="J90" s="128"/>
      <c r="L90" s="80"/>
    </row>
    <row r="91" spans="1:12" ht="15">
      <c r="A91" s="84"/>
      <c r="B91" s="118"/>
      <c r="C91" s="100"/>
      <c r="D91" s="99"/>
      <c r="E91" s="100"/>
      <c r="F91" s="82"/>
      <c r="G91" s="100"/>
      <c r="H91" s="100"/>
      <c r="I91" s="92"/>
      <c r="J91" s="133"/>
      <c r="L91" s="80"/>
    </row>
    <row r="92" spans="1:12" ht="15">
      <c r="A92" s="84"/>
      <c r="B92" s="118"/>
      <c r="C92" s="100"/>
      <c r="D92" s="99"/>
      <c r="E92" s="100"/>
      <c r="F92" s="82"/>
      <c r="G92" s="100"/>
      <c r="H92" s="100"/>
      <c r="I92" s="92"/>
      <c r="J92" s="218"/>
      <c r="L92" s="80"/>
    </row>
    <row r="93" spans="1:12" ht="15">
      <c r="A93" s="920"/>
      <c r="B93" s="921"/>
      <c r="C93" s="921"/>
      <c r="D93" s="921"/>
      <c r="E93" s="921"/>
      <c r="F93" s="922"/>
      <c r="G93" s="73"/>
      <c r="H93" s="74"/>
      <c r="I93" s="73"/>
      <c r="J93" s="73"/>
      <c r="L93" s="80"/>
    </row>
    <row r="94" spans="1:12" ht="15">
      <c r="A94" s="135"/>
      <c r="B94" s="89"/>
      <c r="C94" s="90"/>
      <c r="D94" s="136"/>
      <c r="E94" s="91"/>
      <c r="F94" s="82"/>
      <c r="G94" s="92"/>
      <c r="H94" s="100"/>
      <c r="I94" s="92"/>
      <c r="J94" s="137"/>
      <c r="L94" s="80"/>
    </row>
    <row r="95" spans="1:12" ht="15">
      <c r="A95" s="135"/>
      <c r="B95" s="89"/>
      <c r="C95" s="90"/>
      <c r="D95" s="136"/>
      <c r="E95" s="91"/>
      <c r="F95" s="82"/>
      <c r="G95" s="92"/>
      <c r="H95" s="100"/>
      <c r="I95" s="92"/>
      <c r="J95" s="137"/>
    </row>
    <row r="96" spans="1:12" ht="15">
      <c r="A96" s="135"/>
      <c r="B96" s="89"/>
      <c r="C96" s="90"/>
      <c r="D96" s="136"/>
      <c r="E96" s="91"/>
      <c r="F96" s="88"/>
      <c r="G96" s="102"/>
      <c r="H96" s="91"/>
      <c r="I96" s="102"/>
      <c r="J96" s="138"/>
    </row>
    <row r="97" spans="1:12" ht="15">
      <c r="A97" s="87"/>
      <c r="B97" s="89"/>
      <c r="C97" s="90"/>
      <c r="D97" s="136"/>
      <c r="E97" s="91"/>
      <c r="F97" s="88"/>
      <c r="G97" s="102"/>
      <c r="H97" s="91"/>
      <c r="I97" s="102"/>
      <c r="J97" s="102"/>
    </row>
    <row r="98" spans="1:12" ht="15">
      <c r="A98" s="914"/>
      <c r="B98" s="915"/>
      <c r="C98" s="915"/>
      <c r="D98" s="915"/>
      <c r="E98" s="915"/>
      <c r="F98" s="915"/>
      <c r="G98" s="915"/>
      <c r="H98" s="915"/>
      <c r="I98" s="915"/>
      <c r="J98" s="916"/>
    </row>
    <row r="99" spans="1:12" ht="15">
      <c r="A99" s="139"/>
      <c r="B99" s="140"/>
      <c r="C99" s="140"/>
      <c r="D99" s="140"/>
      <c r="E99" s="140"/>
      <c r="F99" s="140"/>
      <c r="G99" s="140"/>
      <c r="H99" s="140"/>
      <c r="I99" s="140"/>
      <c r="J99" s="141"/>
    </row>
    <row r="100" spans="1:12" ht="15">
      <c r="A100" s="142"/>
      <c r="B100" s="143"/>
      <c r="C100" s="144"/>
      <c r="D100" s="145"/>
      <c r="E100" s="144"/>
      <c r="F100" s="146"/>
      <c r="G100" s="144"/>
      <c r="H100" s="144"/>
      <c r="I100" s="147"/>
      <c r="J100" s="148"/>
    </row>
    <row r="102" spans="1:12" ht="15">
      <c r="A102" s="914" t="s">
        <v>92</v>
      </c>
      <c r="B102" s="915"/>
      <c r="C102" s="915"/>
      <c r="D102" s="915"/>
      <c r="E102" s="915"/>
      <c r="F102" s="915"/>
      <c r="G102" s="915"/>
      <c r="H102" s="915"/>
      <c r="I102" s="915"/>
      <c r="J102" s="916"/>
    </row>
    <row r="103" spans="1:12" ht="15">
      <c r="A103" s="149"/>
      <c r="B103" s="82"/>
      <c r="C103" s="91"/>
      <c r="D103" s="82"/>
      <c r="E103" s="91"/>
      <c r="F103" s="82"/>
      <c r="G103" s="92"/>
      <c r="H103" s="100"/>
      <c r="I103" s="92"/>
      <c r="J103" s="92"/>
    </row>
    <row r="104" spans="1:12" ht="15">
      <c r="A104" s="87"/>
      <c r="B104" s="88"/>
      <c r="C104" s="91"/>
      <c r="D104" s="88"/>
      <c r="E104" s="91"/>
      <c r="F104" s="88"/>
      <c r="G104" s="102"/>
      <c r="H104" s="77"/>
      <c r="I104" s="79"/>
      <c r="J104" s="83"/>
    </row>
    <row r="105" spans="1:12" ht="15">
      <c r="A105" s="87"/>
      <c r="B105" s="88"/>
      <c r="C105" s="91"/>
      <c r="D105" s="88"/>
      <c r="E105" s="91"/>
      <c r="F105" s="88"/>
      <c r="G105" s="102"/>
      <c r="H105" s="77"/>
      <c r="I105" s="79"/>
      <c r="J105" s="83"/>
    </row>
    <row r="106" spans="1:12" ht="15">
      <c r="A106" s="87"/>
      <c r="B106" s="88"/>
      <c r="C106" s="91"/>
      <c r="D106" s="88"/>
      <c r="E106" s="91"/>
      <c r="F106" s="88"/>
      <c r="G106" s="102"/>
      <c r="H106" s="77"/>
      <c r="I106" s="79"/>
      <c r="J106" s="83"/>
    </row>
    <row r="107" spans="1:12" ht="15">
      <c r="A107" s="75"/>
      <c r="B107" s="88"/>
      <c r="C107" s="91"/>
      <c r="D107" s="88"/>
      <c r="E107" s="91"/>
      <c r="F107" s="88"/>
      <c r="G107" s="102"/>
      <c r="H107" s="91"/>
      <c r="I107" s="102"/>
      <c r="J107" s="221"/>
    </row>
    <row r="108" spans="1:12" ht="15">
      <c r="A108" s="75"/>
      <c r="B108" s="88"/>
      <c r="C108" s="91"/>
      <c r="D108" s="88"/>
      <c r="E108" s="91"/>
      <c r="F108" s="88"/>
      <c r="G108" s="102"/>
      <c r="H108" s="91"/>
      <c r="I108" s="102"/>
      <c r="J108" s="102"/>
    </row>
    <row r="109" spans="1:12" ht="15">
      <c r="A109" s="899" t="s">
        <v>93</v>
      </c>
      <c r="B109" s="900"/>
      <c r="C109" s="900"/>
      <c r="D109" s="900"/>
      <c r="E109" s="900"/>
      <c r="F109" s="900"/>
      <c r="G109" s="900"/>
      <c r="H109" s="900"/>
      <c r="I109" s="900"/>
      <c r="J109" s="901"/>
    </row>
    <row r="110" spans="1:12" ht="15">
      <c r="A110" s="84"/>
      <c r="B110" s="82"/>
      <c r="C110" s="91"/>
      <c r="D110" s="82"/>
      <c r="E110" s="91"/>
      <c r="F110" s="82"/>
      <c r="G110" s="92"/>
      <c r="H110" s="100"/>
      <c r="I110" s="92"/>
      <c r="J110" s="92"/>
    </row>
    <row r="111" spans="1:12" ht="15">
      <c r="A111" s="84"/>
      <c r="B111" s="88"/>
      <c r="C111" s="91"/>
      <c r="D111" s="88"/>
      <c r="E111" s="91"/>
      <c r="F111" s="88"/>
      <c r="G111" s="102"/>
      <c r="H111" s="91"/>
      <c r="I111" s="102"/>
      <c r="J111" s="150"/>
      <c r="L111" s="68" t="s">
        <v>94</v>
      </c>
    </row>
  </sheetData>
  <mergeCells count="29">
    <mergeCell ref="A88:J88"/>
    <mergeCell ref="A93:F93"/>
    <mergeCell ref="A98:J98"/>
    <mergeCell ref="A102:J102"/>
    <mergeCell ref="A109:J109"/>
    <mergeCell ref="A78:J78"/>
    <mergeCell ref="A39:J39"/>
    <mergeCell ref="A40:F40"/>
    <mergeCell ref="A43:F43"/>
    <mergeCell ref="A44:J44"/>
    <mergeCell ref="A52:F52"/>
    <mergeCell ref="A55:F55"/>
    <mergeCell ref="A58:F58"/>
    <mergeCell ref="A61:J61"/>
    <mergeCell ref="A62:F62"/>
    <mergeCell ref="A65:J65"/>
    <mergeCell ref="A66:H66"/>
    <mergeCell ref="A38:J38"/>
    <mergeCell ref="A1:J1"/>
    <mergeCell ref="A3:J3"/>
    <mergeCell ref="A4:F4"/>
    <mergeCell ref="A11:J11"/>
    <mergeCell ref="A12:F12"/>
    <mergeCell ref="A13:F13"/>
    <mergeCell ref="A14:F14"/>
    <mergeCell ref="A22:F22"/>
    <mergeCell ref="A23:F23"/>
    <mergeCell ref="A24:F24"/>
    <mergeCell ref="A31:J31"/>
  </mergeCells>
  <pageMargins left="0.7" right="0.7" top="0.75" bottom="0.75" header="0.3" footer="0.3"/>
  <pageSetup paperSize="9" scale="63" orientation="portrait" r:id="rId1"/>
  <rowBreaks count="1" manualBreakCount="1">
    <brk id="41"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A504C-0CCB-43F3-8F5C-6E9672761FF8}">
  <dimension ref="A1:O14"/>
  <sheetViews>
    <sheetView workbookViewId="0">
      <selection activeCell="F8" sqref="F8"/>
    </sheetView>
  </sheetViews>
  <sheetFormatPr defaultColWidth="9.109375" defaultRowHeight="14.4"/>
  <cols>
    <col min="1" max="1" width="17"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5.5546875" style="1" bestFit="1" customWidth="1"/>
    <col min="11" max="11" width="17.88671875" style="1" bestFit="1" customWidth="1"/>
    <col min="12" max="12" width="11.5546875" style="1" bestFit="1" customWidth="1"/>
    <col min="13" max="14" width="9.109375" style="1"/>
    <col min="15" max="15" width="11.5546875" style="1" bestFit="1" customWidth="1"/>
    <col min="16" max="16384" width="9.109375" style="1"/>
  </cols>
  <sheetData>
    <row r="1" spans="1:15">
      <c r="A1" s="1" t="s">
        <v>207</v>
      </c>
    </row>
    <row r="3" spans="1:15">
      <c r="A3" s="2" t="s">
        <v>0</v>
      </c>
      <c r="B3" s="2"/>
      <c r="C3" s="2" t="s">
        <v>1</v>
      </c>
      <c r="D3" s="2"/>
      <c r="E3" s="2"/>
      <c r="F3" s="2"/>
      <c r="G3" s="2"/>
      <c r="H3" s="2"/>
      <c r="I3" s="3"/>
      <c r="M3" s="2"/>
      <c r="N3" s="2"/>
      <c r="O3" s="2"/>
    </row>
    <row r="5" spans="1:15">
      <c r="A5" s="1" t="s">
        <v>208</v>
      </c>
      <c r="C5" s="1">
        <f>44.83+35.89+27.65</f>
        <v>108.37</v>
      </c>
    </row>
    <row r="6" spans="1:15">
      <c r="A6" s="1" t="s">
        <v>3</v>
      </c>
      <c r="C6" s="1">
        <f>28.53+38.48+63.1</f>
        <v>130.10999999999999</v>
      </c>
    </row>
    <row r="7" spans="1:15">
      <c r="A7" s="1" t="s">
        <v>4</v>
      </c>
      <c r="C7" s="1">
        <v>96.48</v>
      </c>
    </row>
    <row r="8" spans="1:15">
      <c r="A8" s="1" t="s">
        <v>2</v>
      </c>
      <c r="C8" s="1">
        <f>(69.31+21.44+7.44)*1.1547</f>
        <v>113.379993</v>
      </c>
    </row>
    <row r="10" spans="1:15">
      <c r="A10" s="1" t="s">
        <v>1111</v>
      </c>
      <c r="C10" s="1">
        <v>17.23</v>
      </c>
      <c r="F10" s="2"/>
      <c r="G10" s="2"/>
      <c r="H10" s="2"/>
      <c r="J10" s="4"/>
      <c r="K10" s="5"/>
    </row>
    <row r="13" spans="1:15">
      <c r="A13" s="1" t="s">
        <v>759</v>
      </c>
      <c r="B13" s="1" t="s">
        <v>1354</v>
      </c>
      <c r="C13" s="1">
        <v>5</v>
      </c>
    </row>
    <row r="14" spans="1:15">
      <c r="B14" s="1" t="s">
        <v>1355</v>
      </c>
      <c r="C14" s="1">
        <v>6</v>
      </c>
    </row>
  </sheetData>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D7D4-628C-448C-B157-B99AC388B283}">
  <sheetPr>
    <tabColor rgb="FFFFC000"/>
  </sheetPr>
  <dimension ref="A1:J48"/>
  <sheetViews>
    <sheetView tabSelected="1" view="pageBreakPreview" topLeftCell="A34" zoomScaleNormal="100" zoomScaleSheetLayoutView="100" workbookViewId="0">
      <selection activeCell="O19" sqref="O19"/>
    </sheetView>
  </sheetViews>
  <sheetFormatPr defaultColWidth="9.109375" defaultRowHeight="14.4"/>
  <cols>
    <col min="1" max="1" width="7.6640625" style="344" customWidth="1"/>
    <col min="2" max="2" width="51.6640625" style="315" customWidth="1"/>
    <col min="3" max="4" width="12" style="315" customWidth="1"/>
    <col min="5" max="5" width="14.44140625" style="192" customWidth="1"/>
    <col min="6" max="6" width="20.44140625" style="192" customWidth="1"/>
    <col min="7" max="7" width="9.33203125" style="315" bestFit="1" customWidth="1"/>
    <col min="8" max="12" width="0" style="315" hidden="1" customWidth="1"/>
    <col min="13" max="16384" width="9.109375" style="315"/>
  </cols>
  <sheetData>
    <row r="1" spans="1:6" s="313" customFormat="1" ht="27" customHeight="1">
      <c r="A1" s="797" t="s">
        <v>342</v>
      </c>
      <c r="B1" s="798"/>
      <c r="C1" s="998"/>
      <c r="D1" s="998"/>
      <c r="E1" s="998"/>
      <c r="F1" s="999"/>
    </row>
    <row r="2" spans="1:6" ht="19.8" customHeight="1">
      <c r="A2" s="799" t="s">
        <v>285</v>
      </c>
      <c r="B2" s="314" t="s">
        <v>8</v>
      </c>
      <c r="C2" s="314" t="s">
        <v>13</v>
      </c>
      <c r="D2" s="314" t="s">
        <v>286</v>
      </c>
      <c r="E2" s="288" t="s">
        <v>15</v>
      </c>
      <c r="F2" s="714" t="s">
        <v>287</v>
      </c>
    </row>
    <row r="3" spans="1:6" ht="21" customHeight="1">
      <c r="A3" s="800">
        <v>10.1</v>
      </c>
      <c r="B3" s="316" t="s">
        <v>288</v>
      </c>
      <c r="C3" s="317"/>
      <c r="D3" s="317"/>
      <c r="E3" s="318"/>
      <c r="F3" s="801"/>
    </row>
    <row r="4" spans="1:6" ht="21" customHeight="1">
      <c r="A4" s="802" t="s">
        <v>343</v>
      </c>
      <c r="B4" s="320" t="s">
        <v>289</v>
      </c>
      <c r="C4" s="319" t="s">
        <v>290</v>
      </c>
      <c r="D4" s="321">
        <v>150</v>
      </c>
      <c r="E4" s="322"/>
      <c r="F4" s="803"/>
    </row>
    <row r="5" spans="1:6" ht="21" customHeight="1">
      <c r="A5" s="802" t="s">
        <v>344</v>
      </c>
      <c r="B5" s="323" t="s">
        <v>291</v>
      </c>
      <c r="C5" s="324" t="s">
        <v>290</v>
      </c>
      <c r="D5" s="325">
        <v>300</v>
      </c>
      <c r="E5" s="326"/>
      <c r="F5" s="804"/>
    </row>
    <row r="6" spans="1:6" ht="21" customHeight="1">
      <c r="A6" s="802" t="s">
        <v>345</v>
      </c>
      <c r="B6" s="323" t="s">
        <v>292</v>
      </c>
      <c r="C6" s="324" t="s">
        <v>290</v>
      </c>
      <c r="D6" s="325">
        <v>100</v>
      </c>
      <c r="E6" s="326"/>
      <c r="F6" s="804"/>
    </row>
    <row r="7" spans="1:6" ht="21" customHeight="1">
      <c r="A7" s="802" t="s">
        <v>346</v>
      </c>
      <c r="B7" s="323" t="s">
        <v>293</v>
      </c>
      <c r="C7" s="324" t="s">
        <v>290</v>
      </c>
      <c r="D7" s="325">
        <v>100</v>
      </c>
      <c r="E7" s="326"/>
      <c r="F7" s="804"/>
    </row>
    <row r="8" spans="1:6" ht="21" customHeight="1">
      <c r="A8" s="802" t="s">
        <v>347</v>
      </c>
      <c r="B8" s="323" t="s">
        <v>294</v>
      </c>
      <c r="C8" s="324" t="s">
        <v>290</v>
      </c>
      <c r="D8" s="325">
        <v>100</v>
      </c>
      <c r="E8" s="326"/>
      <c r="F8" s="804"/>
    </row>
    <row r="9" spans="1:6" ht="21" customHeight="1">
      <c r="A9" s="802" t="s">
        <v>348</v>
      </c>
      <c r="B9" s="323" t="s">
        <v>295</v>
      </c>
      <c r="C9" s="324" t="s">
        <v>290</v>
      </c>
      <c r="D9" s="325">
        <v>100</v>
      </c>
      <c r="E9" s="326"/>
      <c r="F9" s="804"/>
    </row>
    <row r="10" spans="1:6" ht="21" customHeight="1">
      <c r="A10" s="802" t="s">
        <v>349</v>
      </c>
      <c r="B10" s="323" t="s">
        <v>296</v>
      </c>
      <c r="C10" s="324" t="s">
        <v>290</v>
      </c>
      <c r="D10" s="325">
        <v>100</v>
      </c>
      <c r="E10" s="326"/>
      <c r="F10" s="804"/>
    </row>
    <row r="11" spans="1:6" ht="21" customHeight="1">
      <c r="A11" s="802" t="s">
        <v>350</v>
      </c>
      <c r="B11" s="323" t="s">
        <v>297</v>
      </c>
      <c r="C11" s="324" t="s">
        <v>290</v>
      </c>
      <c r="D11" s="325">
        <v>100</v>
      </c>
      <c r="E11" s="326"/>
      <c r="F11" s="804"/>
    </row>
    <row r="12" spans="1:6" ht="21" customHeight="1">
      <c r="A12" s="802" t="s">
        <v>351</v>
      </c>
      <c r="B12" s="327" t="s">
        <v>298</v>
      </c>
      <c r="C12" s="328" t="s">
        <v>290</v>
      </c>
      <c r="D12" s="325">
        <v>100</v>
      </c>
      <c r="E12" s="329"/>
      <c r="F12" s="804"/>
    </row>
    <row r="13" spans="1:6" ht="21" customHeight="1">
      <c r="A13" s="800">
        <v>10.199999999999999</v>
      </c>
      <c r="B13" s="316" t="s">
        <v>299</v>
      </c>
      <c r="C13" s="317"/>
      <c r="D13" s="317"/>
      <c r="E13" s="330"/>
      <c r="F13" s="805"/>
    </row>
    <row r="14" spans="1:6" ht="21" customHeight="1">
      <c r="A14" s="802" t="s">
        <v>352</v>
      </c>
      <c r="B14" s="331" t="s">
        <v>300</v>
      </c>
      <c r="C14" s="332" t="s">
        <v>301</v>
      </c>
      <c r="D14" s="333">
        <v>30</v>
      </c>
      <c r="E14" s="326"/>
      <c r="F14" s="804"/>
    </row>
    <row r="15" spans="1:6" ht="21" customHeight="1">
      <c r="A15" s="802" t="s">
        <v>353</v>
      </c>
      <c r="B15" s="334" t="s">
        <v>302</v>
      </c>
      <c r="C15" s="335" t="s">
        <v>28</v>
      </c>
      <c r="D15" s="335">
        <v>20</v>
      </c>
      <c r="E15" s="326"/>
      <c r="F15" s="804"/>
    </row>
    <row r="16" spans="1:6" ht="21" customHeight="1">
      <c r="A16" s="802" t="s">
        <v>354</v>
      </c>
      <c r="B16" s="334" t="s">
        <v>303</v>
      </c>
      <c r="C16" s="335" t="s">
        <v>28</v>
      </c>
      <c r="D16" s="335">
        <v>20</v>
      </c>
      <c r="E16" s="326"/>
      <c r="F16" s="804"/>
    </row>
    <row r="17" spans="1:6" ht="21" customHeight="1">
      <c r="A17" s="802" t="s">
        <v>355</v>
      </c>
      <c r="B17" s="334" t="s">
        <v>304</v>
      </c>
      <c r="C17" s="335" t="s">
        <v>28</v>
      </c>
      <c r="D17" s="335">
        <v>20</v>
      </c>
      <c r="E17" s="326"/>
      <c r="F17" s="804"/>
    </row>
    <row r="18" spans="1:6" ht="21" customHeight="1">
      <c r="A18" s="802" t="s">
        <v>356</v>
      </c>
      <c r="B18" s="334" t="s">
        <v>305</v>
      </c>
      <c r="C18" s="335" t="s">
        <v>43</v>
      </c>
      <c r="D18" s="335">
        <v>400</v>
      </c>
      <c r="E18" s="326"/>
      <c r="F18" s="804"/>
    </row>
    <row r="19" spans="1:6" ht="21" customHeight="1">
      <c r="A19" s="802" t="s">
        <v>357</v>
      </c>
      <c r="B19" s="334" t="s">
        <v>306</v>
      </c>
      <c r="C19" s="335" t="s">
        <v>43</v>
      </c>
      <c r="D19" s="335">
        <v>400</v>
      </c>
      <c r="E19" s="326"/>
      <c r="F19" s="804"/>
    </row>
    <row r="20" spans="1:6" ht="21" customHeight="1">
      <c r="A20" s="802" t="s">
        <v>358</v>
      </c>
      <c r="B20" s="334" t="s">
        <v>307</v>
      </c>
      <c r="C20" s="335" t="s">
        <v>5</v>
      </c>
      <c r="D20" s="335">
        <v>20</v>
      </c>
      <c r="E20" s="326"/>
      <c r="F20" s="804"/>
    </row>
    <row r="21" spans="1:6" ht="21" customHeight="1">
      <c r="A21" s="802" t="s">
        <v>359</v>
      </c>
      <c r="B21" s="334" t="s">
        <v>308</v>
      </c>
      <c r="C21" s="335" t="s">
        <v>5</v>
      </c>
      <c r="D21" s="335">
        <v>20</v>
      </c>
      <c r="E21" s="326"/>
      <c r="F21" s="804"/>
    </row>
    <row r="22" spans="1:6" ht="21" customHeight="1">
      <c r="A22" s="802" t="s">
        <v>360</v>
      </c>
      <c r="B22" s="334" t="s">
        <v>309</v>
      </c>
      <c r="C22" s="335" t="s">
        <v>28</v>
      </c>
      <c r="D22" s="335">
        <v>10</v>
      </c>
      <c r="E22" s="326"/>
      <c r="F22" s="804"/>
    </row>
    <row r="23" spans="1:6" ht="21" customHeight="1">
      <c r="A23" s="802" t="s">
        <v>361</v>
      </c>
      <c r="B23" s="334" t="s">
        <v>310</v>
      </c>
      <c r="C23" s="335" t="s">
        <v>28</v>
      </c>
      <c r="D23" s="335">
        <v>10</v>
      </c>
      <c r="E23" s="326"/>
      <c r="F23" s="804"/>
    </row>
    <row r="24" spans="1:6" ht="21" customHeight="1">
      <c r="A24" s="802" t="s">
        <v>362</v>
      </c>
      <c r="B24" s="334" t="s">
        <v>311</v>
      </c>
      <c r="C24" s="335" t="s">
        <v>312</v>
      </c>
      <c r="D24" s="335">
        <v>10</v>
      </c>
      <c r="E24" s="326"/>
      <c r="F24" s="804"/>
    </row>
    <row r="25" spans="1:6" ht="21" customHeight="1">
      <c r="A25" s="802" t="s">
        <v>363</v>
      </c>
      <c r="B25" s="334" t="s">
        <v>313</v>
      </c>
      <c r="C25" s="335" t="s">
        <v>314</v>
      </c>
      <c r="D25" s="335">
        <v>10</v>
      </c>
      <c r="E25" s="326"/>
      <c r="F25" s="804"/>
    </row>
    <row r="26" spans="1:6" ht="21" customHeight="1">
      <c r="A26" s="802" t="s">
        <v>364</v>
      </c>
      <c r="B26" s="334" t="s">
        <v>315</v>
      </c>
      <c r="C26" s="335" t="s">
        <v>314</v>
      </c>
      <c r="D26" s="335">
        <v>10</v>
      </c>
      <c r="E26" s="326"/>
      <c r="F26" s="804"/>
    </row>
    <row r="27" spans="1:6" ht="21" customHeight="1">
      <c r="A27" s="802" t="s">
        <v>365</v>
      </c>
      <c r="B27" s="334" t="s">
        <v>316</v>
      </c>
      <c r="C27" s="335" t="s">
        <v>317</v>
      </c>
      <c r="D27" s="335">
        <v>500</v>
      </c>
      <c r="E27" s="326"/>
      <c r="F27" s="804"/>
    </row>
    <row r="28" spans="1:6" ht="21" customHeight="1">
      <c r="A28" s="802" t="s">
        <v>366</v>
      </c>
      <c r="B28" s="334" t="s">
        <v>318</v>
      </c>
      <c r="C28" s="335" t="s">
        <v>317</v>
      </c>
      <c r="D28" s="335">
        <v>500</v>
      </c>
      <c r="E28" s="326"/>
      <c r="F28" s="804"/>
    </row>
    <row r="29" spans="1:6" ht="21" customHeight="1">
      <c r="A29" s="802" t="s">
        <v>367</v>
      </c>
      <c r="B29" s="334" t="s">
        <v>319</v>
      </c>
      <c r="C29" s="335" t="s">
        <v>317</v>
      </c>
      <c r="D29" s="335">
        <v>500</v>
      </c>
      <c r="E29" s="326"/>
      <c r="F29" s="804"/>
    </row>
    <row r="30" spans="1:6" ht="21" customHeight="1">
      <c r="A30" s="802" t="s">
        <v>368</v>
      </c>
      <c r="B30" s="334" t="s">
        <v>320</v>
      </c>
      <c r="C30" s="335" t="s">
        <v>28</v>
      </c>
      <c r="D30" s="335">
        <v>200</v>
      </c>
      <c r="E30" s="326"/>
      <c r="F30" s="804"/>
    </row>
    <row r="31" spans="1:6" ht="21" customHeight="1">
      <c r="A31" s="831" t="s">
        <v>369</v>
      </c>
      <c r="B31" s="832" t="s">
        <v>321</v>
      </c>
      <c r="C31" s="833" t="s">
        <v>28</v>
      </c>
      <c r="D31" s="834">
        <v>20</v>
      </c>
      <c r="E31" s="835"/>
      <c r="F31" s="836"/>
    </row>
    <row r="32" spans="1:6" ht="21" customHeight="1">
      <c r="A32" s="800">
        <v>10.3</v>
      </c>
      <c r="B32" s="316" t="s">
        <v>322</v>
      </c>
      <c r="C32" s="317"/>
      <c r="D32" s="317"/>
      <c r="E32" s="330"/>
      <c r="F32" s="805"/>
    </row>
    <row r="33" spans="1:10" ht="21" customHeight="1">
      <c r="A33" s="802" t="s">
        <v>370</v>
      </c>
      <c r="B33" s="331" t="s">
        <v>323</v>
      </c>
      <c r="C33" s="319" t="s">
        <v>290</v>
      </c>
      <c r="D33" s="336">
        <v>30</v>
      </c>
      <c r="E33" s="326"/>
      <c r="F33" s="804"/>
    </row>
    <row r="34" spans="1:10" ht="21" customHeight="1">
      <c r="A34" s="802" t="s">
        <v>371</v>
      </c>
      <c r="B34" s="334" t="s">
        <v>324</v>
      </c>
      <c r="C34" s="324" t="s">
        <v>325</v>
      </c>
      <c r="D34" s="336">
        <v>50</v>
      </c>
      <c r="E34" s="326"/>
      <c r="F34" s="804"/>
      <c r="J34" s="337" t="s">
        <v>326</v>
      </c>
    </row>
    <row r="35" spans="1:10" ht="21" customHeight="1">
      <c r="A35" s="802" t="s">
        <v>372</v>
      </c>
      <c r="B35" s="334" t="s">
        <v>327</v>
      </c>
      <c r="C35" s="324" t="s">
        <v>290</v>
      </c>
      <c r="D35" s="336">
        <v>50</v>
      </c>
      <c r="E35" s="326"/>
      <c r="F35" s="804"/>
    </row>
    <row r="36" spans="1:10" ht="21" customHeight="1">
      <c r="A36" s="802" t="s">
        <v>373</v>
      </c>
      <c r="B36" s="334" t="s">
        <v>328</v>
      </c>
      <c r="C36" s="324" t="s">
        <v>290</v>
      </c>
      <c r="D36" s="336">
        <v>30</v>
      </c>
      <c r="E36" s="326"/>
      <c r="F36" s="804"/>
      <c r="H36" s="315">
        <v>1250</v>
      </c>
      <c r="I36" s="315">
        <v>1.25</v>
      </c>
      <c r="J36" s="315">
        <f>+H36*1.25</f>
        <v>1562.5</v>
      </c>
    </row>
    <row r="37" spans="1:10" ht="21" customHeight="1">
      <c r="A37" s="802" t="s">
        <v>374</v>
      </c>
      <c r="B37" s="338" t="s">
        <v>329</v>
      </c>
      <c r="C37" s="339" t="s">
        <v>290</v>
      </c>
      <c r="D37" s="336">
        <v>30</v>
      </c>
      <c r="E37" s="340"/>
      <c r="F37" s="804"/>
      <c r="H37" s="315">
        <v>5000</v>
      </c>
      <c r="J37" s="315">
        <f t="shared" ref="J37:J38" si="0">+H37*1.25</f>
        <v>6250</v>
      </c>
    </row>
    <row r="38" spans="1:10" ht="21" customHeight="1">
      <c r="A38" s="802" t="s">
        <v>375</v>
      </c>
      <c r="B38" s="338" t="s">
        <v>330</v>
      </c>
      <c r="C38" s="339" t="s">
        <v>290</v>
      </c>
      <c r="D38" s="336">
        <v>30</v>
      </c>
      <c r="E38" s="340"/>
      <c r="F38" s="804"/>
      <c r="H38" s="315">
        <v>1850</v>
      </c>
      <c r="J38" s="315">
        <f t="shared" si="0"/>
        <v>2312.5</v>
      </c>
    </row>
    <row r="39" spans="1:10" ht="21" customHeight="1">
      <c r="A39" s="802" t="s">
        <v>376</v>
      </c>
      <c r="B39" s="338" t="s">
        <v>331</v>
      </c>
      <c r="C39" s="339" t="s">
        <v>290</v>
      </c>
      <c r="D39" s="336">
        <v>30</v>
      </c>
      <c r="E39" s="340"/>
      <c r="F39" s="804"/>
    </row>
    <row r="40" spans="1:10" ht="21" customHeight="1">
      <c r="A40" s="802" t="s">
        <v>377</v>
      </c>
      <c r="B40" s="341" t="s">
        <v>332</v>
      </c>
      <c r="C40" s="342" t="s">
        <v>290</v>
      </c>
      <c r="D40" s="336">
        <v>30</v>
      </c>
      <c r="E40" s="343"/>
      <c r="F40" s="804"/>
    </row>
    <row r="41" spans="1:10" ht="21" customHeight="1">
      <c r="A41" s="802" t="s">
        <v>378</v>
      </c>
      <c r="B41" s="341" t="s">
        <v>333</v>
      </c>
      <c r="C41" s="342" t="s">
        <v>290</v>
      </c>
      <c r="D41" s="336">
        <v>15</v>
      </c>
      <c r="E41" s="343"/>
      <c r="F41" s="804"/>
    </row>
    <row r="42" spans="1:10" ht="21" customHeight="1">
      <c r="A42" s="802" t="s">
        <v>379</v>
      </c>
      <c r="B42" s="341" t="s">
        <v>334</v>
      </c>
      <c r="C42" s="342" t="s">
        <v>290</v>
      </c>
      <c r="D42" s="336">
        <v>60</v>
      </c>
      <c r="E42" s="343"/>
      <c r="F42" s="804"/>
    </row>
    <row r="43" spans="1:10" ht="21" customHeight="1">
      <c r="A43" s="802" t="s">
        <v>380</v>
      </c>
      <c r="B43" s="341" t="s">
        <v>335</v>
      </c>
      <c r="C43" s="342" t="s">
        <v>336</v>
      </c>
      <c r="D43" s="336">
        <v>10</v>
      </c>
      <c r="E43" s="343"/>
      <c r="F43" s="804"/>
    </row>
    <row r="44" spans="1:10" ht="21" customHeight="1">
      <c r="A44" s="802" t="s">
        <v>381</v>
      </c>
      <c r="B44" s="341" t="s">
        <v>337</v>
      </c>
      <c r="C44" s="342" t="s">
        <v>336</v>
      </c>
      <c r="D44" s="336">
        <v>10</v>
      </c>
      <c r="E44" s="343"/>
      <c r="F44" s="804"/>
    </row>
    <row r="45" spans="1:10" ht="21" customHeight="1">
      <c r="A45" s="802" t="s">
        <v>382</v>
      </c>
      <c r="B45" s="341" t="s">
        <v>338</v>
      </c>
      <c r="C45" s="342" t="s">
        <v>290</v>
      </c>
      <c r="D45" s="336">
        <v>40</v>
      </c>
      <c r="E45" s="343"/>
      <c r="F45" s="804"/>
    </row>
    <row r="46" spans="1:10" ht="21" customHeight="1">
      <c r="A46" s="802" t="s">
        <v>383</v>
      </c>
      <c r="B46" s="341" t="s">
        <v>339</v>
      </c>
      <c r="C46" s="342" t="s">
        <v>290</v>
      </c>
      <c r="D46" s="336">
        <v>40</v>
      </c>
      <c r="E46" s="343"/>
      <c r="F46" s="804"/>
    </row>
    <row r="47" spans="1:10" ht="21" customHeight="1">
      <c r="A47" s="802" t="s">
        <v>384</v>
      </c>
      <c r="B47" s="341" t="s">
        <v>340</v>
      </c>
      <c r="C47" s="342" t="s">
        <v>336</v>
      </c>
      <c r="D47" s="336">
        <v>40</v>
      </c>
      <c r="E47" s="343"/>
      <c r="F47" s="804"/>
    </row>
    <row r="48" spans="1:10" ht="19.8" customHeight="1" thickBot="1">
      <c r="A48" s="806"/>
      <c r="B48" s="1000" t="s">
        <v>341</v>
      </c>
      <c r="C48" s="1001"/>
      <c r="D48" s="1001"/>
      <c r="E48" s="1001"/>
      <c r="F48" s="807"/>
    </row>
  </sheetData>
  <mergeCells count="2">
    <mergeCell ref="C1:F1"/>
    <mergeCell ref="B48:E48"/>
  </mergeCells>
  <phoneticPr fontId="31" type="noConversion"/>
  <printOptions horizontalCentered="1"/>
  <pageMargins left="0.75" right="0.4" top="0.75" bottom="0.5" header="0" footer="0"/>
  <pageSetup paperSize="9" scale="70"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5F5D1-B0E1-4F8E-A4CF-CAAC0E86BD12}">
  <dimension ref="B3:W251"/>
  <sheetViews>
    <sheetView zoomScale="70" zoomScaleNormal="70" workbookViewId="0">
      <pane ySplit="1" topLeftCell="A44" activePane="bottomLeft" state="frozen"/>
      <selection activeCell="I8" sqref="I8"/>
      <selection pane="bottomLeft" activeCell="I8" sqref="I8"/>
    </sheetView>
  </sheetViews>
  <sheetFormatPr defaultColWidth="9.109375" defaultRowHeight="14.4"/>
  <cols>
    <col min="1" max="1" width="3.88671875" style="154" customWidth="1"/>
    <col min="2" max="2" width="20.44140625" style="154" customWidth="1"/>
    <col min="3" max="3" width="17.109375" style="154" customWidth="1"/>
    <col min="4" max="4" width="14.44140625" style="154" customWidth="1"/>
    <col min="5" max="5" width="15.109375" style="154" customWidth="1"/>
    <col min="6" max="10" width="14.44140625" style="154" customWidth="1"/>
    <col min="11" max="11" width="19.88671875" style="154" customWidth="1"/>
    <col min="12" max="12" width="12.109375" style="154" customWidth="1"/>
    <col min="13" max="13" width="14" style="154" customWidth="1"/>
    <col min="14" max="17" width="9.109375" style="154"/>
    <col min="18" max="18" width="11.88671875" style="154" customWidth="1"/>
    <col min="19" max="19" width="12.88671875" style="154" customWidth="1"/>
    <col min="20" max="20" width="9.109375" style="154"/>
    <col min="21" max="21" width="11.109375" style="154" bestFit="1" customWidth="1"/>
    <col min="22" max="16384" width="9.109375" style="154"/>
  </cols>
  <sheetData>
    <row r="3" spans="2:23">
      <c r="B3" s="151" t="s">
        <v>95</v>
      </c>
      <c r="C3" s="151" t="s">
        <v>96</v>
      </c>
      <c r="D3" s="151" t="s">
        <v>97</v>
      </c>
      <c r="E3" s="151" t="s">
        <v>98</v>
      </c>
      <c r="F3" s="151" t="s">
        <v>99</v>
      </c>
      <c r="G3" s="151"/>
      <c r="H3" s="928" t="s">
        <v>100</v>
      </c>
      <c r="I3" s="928"/>
      <c r="J3" s="928"/>
      <c r="K3" s="151" t="s">
        <v>101</v>
      </c>
      <c r="L3" s="152" t="s">
        <v>102</v>
      </c>
      <c r="M3" s="153"/>
    </row>
    <row r="4" spans="2:23" ht="19.5" customHeight="1">
      <c r="B4" s="155"/>
      <c r="C4" s="155"/>
      <c r="D4" s="155"/>
      <c r="E4" s="155"/>
      <c r="F4" s="156" t="s">
        <v>98</v>
      </c>
      <c r="G4" s="156" t="s">
        <v>103</v>
      </c>
      <c r="H4" s="156" t="s">
        <v>104</v>
      </c>
      <c r="I4" s="156" t="s">
        <v>103</v>
      </c>
      <c r="J4" s="156" t="s">
        <v>105</v>
      </c>
      <c r="K4" s="156" t="s">
        <v>106</v>
      </c>
      <c r="L4" s="157" t="s">
        <v>107</v>
      </c>
      <c r="M4" s="157" t="s">
        <v>108</v>
      </c>
    </row>
    <row r="5" spans="2:23">
      <c r="B5" s="158"/>
      <c r="C5" s="158"/>
      <c r="D5" s="158"/>
      <c r="E5" s="158"/>
      <c r="F5" s="159"/>
      <c r="G5" s="159"/>
      <c r="H5" s="159"/>
      <c r="I5" s="159"/>
      <c r="J5" s="159"/>
      <c r="K5" s="160"/>
      <c r="L5" s="160"/>
      <c r="M5" s="160"/>
    </row>
    <row r="6" spans="2:23" ht="18">
      <c r="B6" s="160" t="s">
        <v>109</v>
      </c>
      <c r="C6" s="161">
        <v>0.3</v>
      </c>
      <c r="D6" s="161">
        <v>0.3</v>
      </c>
      <c r="E6" s="161">
        <v>0.1</v>
      </c>
      <c r="F6" s="161">
        <v>0.05</v>
      </c>
      <c r="G6" s="161">
        <v>10</v>
      </c>
      <c r="H6" s="161">
        <v>0.2</v>
      </c>
      <c r="I6" s="161">
        <v>10</v>
      </c>
      <c r="J6" s="161">
        <v>0.25</v>
      </c>
      <c r="K6" s="161">
        <v>3</v>
      </c>
      <c r="L6" s="160"/>
      <c r="M6" s="160"/>
      <c r="T6" s="929" t="s">
        <v>110</v>
      </c>
      <c r="U6" s="929"/>
    </row>
    <row r="7" spans="2:23">
      <c r="B7" s="160"/>
      <c r="C7" s="161"/>
      <c r="D7" s="161"/>
      <c r="E7" s="161"/>
      <c r="F7" s="161"/>
      <c r="G7" s="161"/>
      <c r="H7" s="160"/>
      <c r="I7" s="160"/>
      <c r="J7" s="160"/>
      <c r="K7" s="161"/>
      <c r="L7" s="160"/>
      <c r="M7" s="160"/>
      <c r="S7" s="162"/>
      <c r="V7" s="162"/>
      <c r="W7" s="930" t="s">
        <v>6</v>
      </c>
    </row>
    <row r="8" spans="2:23">
      <c r="B8" s="160"/>
      <c r="C8" s="161"/>
      <c r="D8" s="161"/>
      <c r="E8" s="161"/>
      <c r="F8" s="161"/>
      <c r="G8" s="161"/>
      <c r="H8" s="160"/>
      <c r="I8" s="160"/>
      <c r="J8" s="160"/>
      <c r="K8" s="161"/>
      <c r="L8" s="160"/>
      <c r="M8" s="160"/>
      <c r="S8" s="162"/>
      <c r="V8" s="162"/>
      <c r="W8" s="930"/>
    </row>
    <row r="9" spans="2:23">
      <c r="B9" s="160" t="s">
        <v>111</v>
      </c>
      <c r="C9" s="161">
        <v>0.45</v>
      </c>
      <c r="D9" s="161">
        <v>0.45</v>
      </c>
      <c r="E9" s="161">
        <v>0.1</v>
      </c>
      <c r="F9" s="161">
        <v>0.05</v>
      </c>
      <c r="G9" s="161">
        <v>10</v>
      </c>
      <c r="H9" s="161">
        <v>0.2</v>
      </c>
      <c r="I9" s="161">
        <v>10</v>
      </c>
      <c r="J9" s="161">
        <v>0.25</v>
      </c>
      <c r="K9" s="161">
        <v>3</v>
      </c>
      <c r="L9" s="160"/>
      <c r="M9" s="160"/>
      <c r="S9" s="162"/>
      <c r="V9" s="162"/>
      <c r="W9" s="930"/>
    </row>
    <row r="10" spans="2:23">
      <c r="B10" s="160"/>
      <c r="C10" s="161"/>
      <c r="D10" s="161"/>
      <c r="E10" s="161"/>
      <c r="F10" s="161"/>
      <c r="G10" s="161"/>
      <c r="H10" s="161"/>
      <c r="I10" s="161"/>
      <c r="J10" s="161"/>
      <c r="K10" s="161"/>
      <c r="L10" s="160"/>
      <c r="M10" s="160"/>
      <c r="S10" s="162"/>
      <c r="V10" s="162"/>
      <c r="W10" s="930"/>
    </row>
    <row r="11" spans="2:23">
      <c r="B11" s="160"/>
      <c r="C11" s="161"/>
      <c r="D11" s="161"/>
      <c r="E11" s="161"/>
      <c r="F11" s="161"/>
      <c r="G11" s="161"/>
      <c r="H11" s="160"/>
      <c r="I11" s="160"/>
      <c r="J11" s="160"/>
      <c r="K11" s="161"/>
      <c r="L11" s="160"/>
      <c r="M11" s="160"/>
      <c r="S11" s="162"/>
      <c r="V11" s="162"/>
      <c r="W11" s="930"/>
    </row>
    <row r="12" spans="2:23">
      <c r="B12" s="160" t="s">
        <v>112</v>
      </c>
      <c r="C12" s="161">
        <v>0.6</v>
      </c>
      <c r="D12" s="161">
        <v>0.6</v>
      </c>
      <c r="E12" s="161">
        <v>0.1</v>
      </c>
      <c r="F12" s="161">
        <v>0.05</v>
      </c>
      <c r="G12" s="161">
        <v>10</v>
      </c>
      <c r="H12" s="160">
        <v>0.2</v>
      </c>
      <c r="I12" s="160">
        <v>10</v>
      </c>
      <c r="J12" s="160">
        <v>0.25</v>
      </c>
      <c r="K12" s="161">
        <v>3</v>
      </c>
      <c r="L12" s="160"/>
      <c r="M12" s="160"/>
      <c r="S12" s="162"/>
      <c r="V12" s="162"/>
      <c r="W12" s="930"/>
    </row>
    <row r="13" spans="2:23">
      <c r="B13" s="160"/>
      <c r="C13" s="161"/>
      <c r="D13" s="161"/>
      <c r="E13" s="161"/>
      <c r="F13" s="161"/>
      <c r="G13" s="161"/>
      <c r="H13" s="160"/>
      <c r="I13" s="160"/>
      <c r="J13" s="160"/>
      <c r="K13" s="161"/>
      <c r="L13" s="160"/>
      <c r="M13" s="160"/>
      <c r="S13" s="162"/>
      <c r="V13" s="162"/>
      <c r="W13" s="930"/>
    </row>
    <row r="14" spans="2:23">
      <c r="B14" s="160"/>
      <c r="C14" s="161"/>
      <c r="D14" s="161"/>
      <c r="E14" s="161"/>
      <c r="F14" s="161"/>
      <c r="G14" s="161"/>
      <c r="H14" s="160"/>
      <c r="I14" s="160"/>
      <c r="J14" s="160"/>
      <c r="K14" s="161"/>
      <c r="L14" s="160"/>
      <c r="M14" s="160"/>
      <c r="S14" s="162"/>
      <c r="V14" s="162"/>
      <c r="W14" s="930"/>
    </row>
    <row r="15" spans="2:23">
      <c r="B15" s="160" t="s">
        <v>113</v>
      </c>
      <c r="C15" s="161">
        <v>0.75</v>
      </c>
      <c r="D15" s="161">
        <v>0.75</v>
      </c>
      <c r="E15" s="163">
        <v>0.125</v>
      </c>
      <c r="F15" s="161">
        <v>0.05</v>
      </c>
      <c r="G15" s="161">
        <v>10</v>
      </c>
      <c r="H15" s="160">
        <v>0.2</v>
      </c>
      <c r="I15" s="160">
        <v>10</v>
      </c>
      <c r="J15" s="160">
        <v>0.25</v>
      </c>
      <c r="K15" s="161">
        <v>3</v>
      </c>
      <c r="L15" s="160"/>
      <c r="M15" s="160"/>
      <c r="S15" s="162"/>
      <c r="V15" s="162"/>
      <c r="W15" s="930"/>
    </row>
    <row r="16" spans="2:23">
      <c r="B16" s="160"/>
      <c r="C16" s="161"/>
      <c r="D16" s="161"/>
      <c r="E16" s="161"/>
      <c r="F16" s="161"/>
      <c r="G16" s="161"/>
      <c r="H16" s="160"/>
      <c r="I16" s="160"/>
      <c r="J16" s="160"/>
      <c r="K16" s="161"/>
      <c r="L16" s="160"/>
      <c r="M16" s="160"/>
      <c r="S16" s="162"/>
      <c r="V16" s="162"/>
      <c r="W16" s="930"/>
    </row>
    <row r="17" spans="2:23">
      <c r="B17" s="160"/>
      <c r="C17" s="161"/>
      <c r="D17" s="161"/>
      <c r="E17" s="161"/>
      <c r="F17" s="161"/>
      <c r="G17" s="161"/>
      <c r="H17" s="160"/>
      <c r="I17" s="160"/>
      <c r="J17" s="160"/>
      <c r="K17" s="161"/>
      <c r="L17" s="160"/>
      <c r="M17" s="160"/>
      <c r="S17" s="162"/>
      <c r="V17" s="162"/>
      <c r="W17" s="930"/>
    </row>
    <row r="18" spans="2:23">
      <c r="B18" s="164" t="s">
        <v>114</v>
      </c>
      <c r="C18" s="161">
        <v>0.9</v>
      </c>
      <c r="D18" s="161">
        <v>0.9</v>
      </c>
      <c r="E18" s="163">
        <v>0.15</v>
      </c>
      <c r="F18" s="161">
        <v>0.05</v>
      </c>
      <c r="G18" s="161">
        <v>10</v>
      </c>
      <c r="H18" s="160">
        <v>0.17499999999999999</v>
      </c>
      <c r="I18" s="160">
        <v>10</v>
      </c>
      <c r="J18" s="160">
        <v>0.25</v>
      </c>
      <c r="K18" s="161">
        <v>3</v>
      </c>
      <c r="L18" s="160"/>
      <c r="M18" s="160"/>
      <c r="S18" s="162"/>
      <c r="T18" s="162"/>
      <c r="U18" s="162"/>
      <c r="V18" s="162"/>
      <c r="W18" s="930" t="s">
        <v>115</v>
      </c>
    </row>
    <row r="19" spans="2:23">
      <c r="B19" s="160"/>
      <c r="C19" s="161"/>
      <c r="D19" s="161"/>
      <c r="E19" s="161"/>
      <c r="F19" s="161"/>
      <c r="G19" s="161"/>
      <c r="H19" s="160"/>
      <c r="I19" s="160"/>
      <c r="J19" s="160"/>
      <c r="K19" s="161"/>
      <c r="L19" s="160"/>
      <c r="M19" s="160"/>
      <c r="S19" s="162"/>
      <c r="T19" s="162"/>
      <c r="U19" s="162"/>
      <c r="V19" s="162"/>
      <c r="W19" s="930"/>
    </row>
    <row r="20" spans="2:23">
      <c r="B20" s="160"/>
      <c r="C20" s="161"/>
      <c r="D20" s="161"/>
      <c r="E20" s="161"/>
      <c r="F20" s="161"/>
      <c r="G20" s="161"/>
      <c r="H20" s="160"/>
      <c r="I20" s="160"/>
      <c r="J20" s="160"/>
      <c r="K20" s="161"/>
      <c r="L20" s="160"/>
      <c r="M20" s="160"/>
      <c r="S20" s="162"/>
      <c r="T20" s="162"/>
      <c r="U20" s="162"/>
      <c r="V20" s="162"/>
      <c r="W20" s="930"/>
    </row>
    <row r="21" spans="2:23">
      <c r="B21" s="160" t="s">
        <v>116</v>
      </c>
      <c r="C21" s="161">
        <v>1</v>
      </c>
      <c r="D21" s="161">
        <v>1</v>
      </c>
      <c r="E21" s="161">
        <v>0.15</v>
      </c>
      <c r="F21" s="161">
        <v>0.05</v>
      </c>
      <c r="G21" s="161">
        <v>10</v>
      </c>
      <c r="H21" s="160">
        <v>0.17499999999999999</v>
      </c>
      <c r="I21" s="160">
        <v>10</v>
      </c>
      <c r="J21" s="160">
        <v>0.25</v>
      </c>
      <c r="K21" s="161">
        <v>3</v>
      </c>
      <c r="L21" s="160"/>
      <c r="M21" s="160"/>
      <c r="S21" s="165"/>
      <c r="T21" s="165"/>
      <c r="U21" s="165"/>
      <c r="V21" s="165"/>
      <c r="W21" s="154" t="s">
        <v>117</v>
      </c>
    </row>
    <row r="22" spans="2:23">
      <c r="B22" s="160"/>
      <c r="C22" s="161"/>
      <c r="D22" s="161"/>
      <c r="E22" s="161"/>
      <c r="F22" s="161"/>
      <c r="G22" s="161"/>
      <c r="H22" s="160"/>
      <c r="I22" s="160"/>
      <c r="J22" s="160"/>
      <c r="K22" s="161"/>
      <c r="L22" s="160"/>
      <c r="M22" s="160"/>
      <c r="S22" s="165"/>
      <c r="T22" s="165"/>
      <c r="U22" s="165"/>
      <c r="V22" s="165"/>
    </row>
    <row r="23" spans="2:23">
      <c r="B23" s="160"/>
      <c r="C23" s="161"/>
      <c r="D23" s="161"/>
      <c r="E23" s="161"/>
      <c r="F23" s="161"/>
      <c r="G23" s="161"/>
      <c r="H23" s="160"/>
      <c r="I23" s="160"/>
      <c r="J23" s="160"/>
      <c r="K23" s="161"/>
      <c r="L23" s="160"/>
      <c r="M23" s="160"/>
    </row>
    <row r="24" spans="2:23">
      <c r="B24" s="160" t="s">
        <v>118</v>
      </c>
      <c r="C24" s="161">
        <v>0.3</v>
      </c>
      <c r="D24" s="161">
        <v>0.3</v>
      </c>
      <c r="E24" s="161">
        <v>0.1</v>
      </c>
      <c r="F24" s="161">
        <v>0.05</v>
      </c>
      <c r="G24" s="161">
        <v>10</v>
      </c>
      <c r="H24" s="160">
        <v>0.2</v>
      </c>
      <c r="I24" s="160">
        <v>10</v>
      </c>
      <c r="J24" s="160">
        <v>0.25</v>
      </c>
      <c r="K24" s="161">
        <v>3</v>
      </c>
      <c r="L24" s="160"/>
      <c r="M24" s="160"/>
    </row>
    <row r="25" spans="2:23">
      <c r="B25" s="160"/>
      <c r="C25" s="161"/>
      <c r="D25" s="161"/>
      <c r="E25" s="161"/>
      <c r="F25" s="161"/>
      <c r="G25" s="161"/>
      <c r="H25" s="160"/>
      <c r="I25" s="160"/>
      <c r="J25" s="160"/>
      <c r="K25" s="161"/>
      <c r="L25" s="160"/>
      <c r="M25" s="160"/>
    </row>
    <row r="26" spans="2:23">
      <c r="B26" s="160"/>
      <c r="C26" s="161"/>
      <c r="D26" s="161"/>
      <c r="E26" s="161"/>
      <c r="F26" s="161"/>
      <c r="G26" s="161"/>
      <c r="H26" s="160"/>
      <c r="I26" s="160"/>
      <c r="J26" s="160"/>
      <c r="K26" s="161"/>
      <c r="L26" s="160"/>
      <c r="M26" s="160"/>
    </row>
    <row r="27" spans="2:23">
      <c r="B27" s="160" t="s">
        <v>119</v>
      </c>
      <c r="C27" s="161">
        <v>0.6</v>
      </c>
      <c r="D27" s="161">
        <v>0.6</v>
      </c>
      <c r="E27" s="161">
        <v>0.1</v>
      </c>
      <c r="F27" s="161">
        <v>0.05</v>
      </c>
      <c r="G27" s="161">
        <v>10</v>
      </c>
      <c r="H27" s="160">
        <v>0.2</v>
      </c>
      <c r="I27" s="160">
        <v>10</v>
      </c>
      <c r="J27" s="160">
        <v>0.25</v>
      </c>
      <c r="K27" s="161">
        <v>3</v>
      </c>
      <c r="L27" s="160"/>
      <c r="M27" s="160"/>
    </row>
    <row r="28" spans="2:23">
      <c r="B28" s="166"/>
      <c r="C28" s="167"/>
      <c r="D28" s="167"/>
      <c r="E28" s="167"/>
      <c r="F28" s="167"/>
      <c r="G28" s="167"/>
      <c r="H28" s="166"/>
      <c r="I28" s="166"/>
      <c r="J28" s="166"/>
      <c r="K28" s="161"/>
      <c r="L28" s="160"/>
      <c r="M28" s="160"/>
    </row>
    <row r="29" spans="2:23">
      <c r="B29" s="166"/>
      <c r="C29" s="167"/>
      <c r="D29" s="167"/>
      <c r="E29" s="167"/>
      <c r="F29" s="167"/>
      <c r="G29" s="167"/>
      <c r="H29" s="166"/>
      <c r="I29" s="166"/>
      <c r="J29" s="166"/>
      <c r="K29" s="167"/>
      <c r="L29" s="160"/>
      <c r="M29" s="160"/>
    </row>
    <row r="30" spans="2:23">
      <c r="B30" s="168" t="s">
        <v>120</v>
      </c>
      <c r="C30" s="161">
        <v>0.3</v>
      </c>
      <c r="D30" s="161">
        <v>0.3</v>
      </c>
      <c r="E30" s="161">
        <v>0.1</v>
      </c>
      <c r="F30" s="161">
        <v>0.05</v>
      </c>
      <c r="G30" s="161">
        <v>10</v>
      </c>
      <c r="H30" s="160">
        <v>0.25</v>
      </c>
      <c r="I30" s="160">
        <v>10</v>
      </c>
      <c r="J30" s="160">
        <v>0.25</v>
      </c>
      <c r="K30" s="161">
        <v>0</v>
      </c>
      <c r="L30" s="160"/>
      <c r="M30" s="160"/>
    </row>
    <row r="31" spans="2:23">
      <c r="B31" s="166" t="s">
        <v>121</v>
      </c>
      <c r="C31" s="167">
        <v>1.5</v>
      </c>
      <c r="D31" s="167"/>
      <c r="E31" s="167">
        <v>0.1</v>
      </c>
      <c r="F31" s="167"/>
      <c r="G31" s="167">
        <v>10</v>
      </c>
      <c r="H31" s="166">
        <v>0.25</v>
      </c>
      <c r="I31" s="166">
        <v>10</v>
      </c>
      <c r="J31" s="166">
        <v>0.15</v>
      </c>
      <c r="K31" s="161"/>
      <c r="L31" s="160"/>
      <c r="M31" s="160"/>
    </row>
    <row r="32" spans="2:23">
      <c r="B32" s="166"/>
      <c r="C32" s="167"/>
      <c r="D32" s="167"/>
      <c r="E32" s="167"/>
      <c r="F32" s="167"/>
      <c r="G32" s="167"/>
      <c r="H32" s="166"/>
      <c r="I32" s="166"/>
      <c r="J32" s="166"/>
      <c r="K32" s="167"/>
      <c r="L32" s="160"/>
      <c r="M32" s="160"/>
    </row>
    <row r="33" spans="2:13">
      <c r="B33" s="169" t="s">
        <v>122</v>
      </c>
      <c r="C33" s="161">
        <v>0.45</v>
      </c>
      <c r="D33" s="161">
        <v>0.45</v>
      </c>
      <c r="E33" s="161">
        <v>0.1</v>
      </c>
      <c r="F33" s="161">
        <v>0.05</v>
      </c>
      <c r="G33" s="161">
        <v>10</v>
      </c>
      <c r="H33" s="160">
        <v>0.25</v>
      </c>
      <c r="I33" s="160">
        <v>10</v>
      </c>
      <c r="J33" s="160">
        <v>0.25</v>
      </c>
      <c r="K33" s="161">
        <v>0</v>
      </c>
      <c r="L33" s="160"/>
      <c r="M33" s="160"/>
    </row>
    <row r="34" spans="2:13">
      <c r="B34" s="166" t="s">
        <v>121</v>
      </c>
      <c r="C34" s="167">
        <v>1.5</v>
      </c>
      <c r="D34" s="167"/>
      <c r="E34" s="167">
        <v>0.1</v>
      </c>
      <c r="F34" s="167"/>
      <c r="G34" s="167">
        <v>10</v>
      </c>
      <c r="H34" s="166">
        <v>0.25</v>
      </c>
      <c r="I34" s="166">
        <v>10</v>
      </c>
      <c r="J34" s="166">
        <v>0.15</v>
      </c>
      <c r="K34" s="161"/>
      <c r="L34" s="160"/>
      <c r="M34" s="160"/>
    </row>
    <row r="35" spans="2:13">
      <c r="B35" s="166"/>
      <c r="C35" s="167"/>
      <c r="D35" s="167"/>
      <c r="E35" s="167"/>
      <c r="F35" s="167"/>
      <c r="G35" s="167"/>
      <c r="H35" s="166"/>
      <c r="I35" s="166"/>
      <c r="J35" s="166"/>
      <c r="K35" s="167" t="s">
        <v>123</v>
      </c>
      <c r="L35" s="160"/>
      <c r="M35" s="160"/>
    </row>
    <row r="36" spans="2:13">
      <c r="B36" s="168" t="s">
        <v>124</v>
      </c>
      <c r="C36" s="161">
        <v>1</v>
      </c>
      <c r="D36" s="161">
        <v>0.15</v>
      </c>
      <c r="E36" s="161">
        <v>0.1</v>
      </c>
      <c r="F36" s="161">
        <v>0.05</v>
      </c>
      <c r="G36" s="161">
        <v>10</v>
      </c>
      <c r="H36" s="160">
        <v>0.25</v>
      </c>
      <c r="I36" s="160">
        <v>10</v>
      </c>
      <c r="J36" s="160">
        <v>0.25</v>
      </c>
      <c r="K36" s="161">
        <v>0</v>
      </c>
      <c r="L36" s="160"/>
      <c r="M36" s="160"/>
    </row>
    <row r="37" spans="2:13">
      <c r="B37" s="166" t="s">
        <v>121</v>
      </c>
      <c r="C37" s="167">
        <v>1.5</v>
      </c>
      <c r="D37" s="167"/>
      <c r="E37" s="167">
        <v>0.1</v>
      </c>
      <c r="F37" s="167"/>
      <c r="G37" s="167">
        <v>10</v>
      </c>
      <c r="H37" s="166">
        <v>0.25</v>
      </c>
      <c r="I37" s="166">
        <v>10</v>
      </c>
      <c r="J37" s="166">
        <v>0.15</v>
      </c>
      <c r="K37" s="161"/>
      <c r="L37" s="160"/>
      <c r="M37" s="160"/>
    </row>
    <row r="38" spans="2:13">
      <c r="B38" s="166"/>
      <c r="C38" s="167"/>
      <c r="D38" s="167"/>
      <c r="E38" s="167"/>
      <c r="F38" s="167"/>
      <c r="G38" s="167"/>
      <c r="H38" s="166"/>
      <c r="I38" s="166"/>
      <c r="J38" s="166"/>
      <c r="K38" s="167"/>
      <c r="L38" s="160"/>
      <c r="M38" s="160"/>
    </row>
    <row r="39" spans="2:13">
      <c r="B39" s="170" t="s">
        <v>125</v>
      </c>
      <c r="C39" s="161">
        <v>1</v>
      </c>
      <c r="D39" s="161">
        <v>0.2</v>
      </c>
      <c r="E39" s="161">
        <v>0.1</v>
      </c>
      <c r="F39" s="161">
        <v>0.05</v>
      </c>
      <c r="G39" s="161">
        <v>10</v>
      </c>
      <c r="H39" s="160">
        <v>0.25</v>
      </c>
      <c r="I39" s="160">
        <v>10</v>
      </c>
      <c r="J39" s="160">
        <v>0.25</v>
      </c>
      <c r="K39" s="161">
        <v>0</v>
      </c>
      <c r="L39" s="160"/>
      <c r="M39" s="160"/>
    </row>
    <row r="40" spans="2:13">
      <c r="B40" s="166"/>
      <c r="C40" s="167"/>
      <c r="D40" s="167"/>
      <c r="E40" s="167"/>
      <c r="F40" s="167"/>
      <c r="G40" s="167"/>
      <c r="H40" s="166"/>
      <c r="I40" s="166"/>
      <c r="J40" s="166"/>
      <c r="K40" s="167"/>
      <c r="L40" s="160"/>
      <c r="M40" s="160"/>
    </row>
    <row r="41" spans="2:13">
      <c r="B41" s="170" t="s">
        <v>126</v>
      </c>
      <c r="C41" s="161">
        <v>1</v>
      </c>
      <c r="D41" s="161">
        <v>0.3</v>
      </c>
      <c r="E41" s="161">
        <v>0.1</v>
      </c>
      <c r="F41" s="161">
        <v>0.05</v>
      </c>
      <c r="G41" s="161">
        <v>10</v>
      </c>
      <c r="H41" s="160">
        <v>0.25</v>
      </c>
      <c r="I41" s="160">
        <v>10</v>
      </c>
      <c r="J41" s="160">
        <v>0.25</v>
      </c>
      <c r="K41" s="161">
        <v>0</v>
      </c>
      <c r="L41" s="160"/>
      <c r="M41" s="160"/>
    </row>
    <row r="42" spans="2:13">
      <c r="B42" s="166"/>
      <c r="C42" s="167"/>
      <c r="D42" s="167"/>
      <c r="E42" s="167"/>
      <c r="F42" s="167"/>
      <c r="G42" s="167"/>
      <c r="H42" s="166"/>
      <c r="I42" s="166"/>
      <c r="J42" s="166"/>
      <c r="K42" s="167"/>
      <c r="L42" s="160"/>
      <c r="M42" s="160"/>
    </row>
    <row r="43" spans="2:13">
      <c r="B43" s="171" t="s">
        <v>127</v>
      </c>
      <c r="C43" s="161">
        <v>0.6</v>
      </c>
      <c r="D43" s="161">
        <v>0.6</v>
      </c>
      <c r="E43" s="161">
        <v>0.15</v>
      </c>
      <c r="F43" s="161">
        <v>0.05</v>
      </c>
      <c r="G43" s="161">
        <v>10</v>
      </c>
      <c r="H43" s="160">
        <v>0.25</v>
      </c>
      <c r="I43" s="160">
        <v>10</v>
      </c>
      <c r="J43" s="160">
        <v>0.25</v>
      </c>
      <c r="K43" s="161">
        <v>0</v>
      </c>
      <c r="L43" s="160"/>
      <c r="M43" s="160"/>
    </row>
    <row r="44" spans="2:13">
      <c r="B44" s="166"/>
      <c r="C44" s="167"/>
      <c r="D44" s="167"/>
      <c r="E44" s="167"/>
      <c r="F44" s="167"/>
      <c r="G44" s="167"/>
      <c r="H44" s="166"/>
      <c r="I44" s="166"/>
      <c r="J44" s="166"/>
      <c r="K44" s="167"/>
      <c r="L44" s="160"/>
      <c r="M44" s="160"/>
    </row>
    <row r="45" spans="2:13">
      <c r="B45" s="171" t="s">
        <v>128</v>
      </c>
      <c r="C45" s="161">
        <v>0.8</v>
      </c>
      <c r="D45" s="161">
        <v>0.8</v>
      </c>
      <c r="E45" s="161">
        <v>0.15</v>
      </c>
      <c r="F45" s="161">
        <v>0.05</v>
      </c>
      <c r="G45" s="161">
        <v>10</v>
      </c>
      <c r="H45" s="160">
        <v>0.25</v>
      </c>
      <c r="I45" s="160">
        <v>10</v>
      </c>
      <c r="J45" s="160">
        <v>0.25</v>
      </c>
      <c r="K45" s="161">
        <v>0</v>
      </c>
      <c r="L45" s="160"/>
      <c r="M45" s="160"/>
    </row>
    <row r="46" spans="2:13">
      <c r="B46" s="166"/>
      <c r="C46" s="167"/>
      <c r="D46" s="167"/>
      <c r="E46" s="167"/>
      <c r="F46" s="167"/>
      <c r="G46" s="167"/>
      <c r="H46" s="166"/>
      <c r="I46" s="166"/>
      <c r="J46" s="166"/>
      <c r="K46" s="167"/>
      <c r="L46" s="160"/>
      <c r="M46" s="160"/>
    </row>
    <row r="47" spans="2:13">
      <c r="B47" s="172" t="s">
        <v>129</v>
      </c>
      <c r="C47" s="161">
        <v>1</v>
      </c>
      <c r="D47" s="161">
        <v>0.6</v>
      </c>
      <c r="E47" s="161">
        <v>0.1</v>
      </c>
      <c r="F47" s="161">
        <v>0.05</v>
      </c>
      <c r="G47" s="161">
        <v>10</v>
      </c>
      <c r="H47" s="160">
        <v>0.25</v>
      </c>
      <c r="I47" s="160">
        <v>10</v>
      </c>
      <c r="J47" s="160">
        <v>0.25</v>
      </c>
      <c r="K47" s="161">
        <v>3</v>
      </c>
      <c r="L47" s="160"/>
      <c r="M47" s="160"/>
    </row>
    <row r="48" spans="2:13">
      <c r="B48" s="173"/>
      <c r="C48" s="167"/>
      <c r="D48" s="167"/>
      <c r="E48" s="167"/>
      <c r="F48" s="167"/>
      <c r="G48" s="167"/>
      <c r="H48" s="166"/>
      <c r="I48" s="166"/>
      <c r="J48" s="166"/>
      <c r="K48" s="167"/>
      <c r="L48" s="160"/>
      <c r="M48" s="160"/>
    </row>
    <row r="49" spans="2:13">
      <c r="B49" s="166"/>
      <c r="C49" s="167"/>
      <c r="D49" s="167"/>
      <c r="E49" s="167"/>
      <c r="F49" s="167"/>
      <c r="G49" s="167"/>
      <c r="H49" s="166"/>
      <c r="I49" s="166"/>
      <c r="J49" s="166"/>
      <c r="K49" s="167"/>
      <c r="L49" s="160"/>
      <c r="M49" s="160"/>
    </row>
    <row r="50" spans="2:13">
      <c r="B50" s="172" t="s">
        <v>130</v>
      </c>
      <c r="C50" s="161">
        <v>1</v>
      </c>
      <c r="D50" s="161">
        <v>0.8</v>
      </c>
      <c r="E50" s="161">
        <v>0.125</v>
      </c>
      <c r="F50" s="161">
        <v>0.05</v>
      </c>
      <c r="G50" s="161">
        <v>10</v>
      </c>
      <c r="H50" s="160">
        <v>0.25</v>
      </c>
      <c r="I50" s="160">
        <v>10</v>
      </c>
      <c r="J50" s="160">
        <v>0.25</v>
      </c>
      <c r="K50" s="161">
        <v>3</v>
      </c>
      <c r="L50" s="160"/>
      <c r="M50" s="160"/>
    </row>
    <row r="51" spans="2:13">
      <c r="B51" s="173"/>
      <c r="C51" s="167"/>
      <c r="D51" s="167"/>
      <c r="E51" s="167"/>
      <c r="F51" s="167"/>
      <c r="G51" s="167"/>
      <c r="H51" s="166"/>
      <c r="I51" s="166"/>
      <c r="J51" s="166"/>
      <c r="K51" s="167"/>
      <c r="L51" s="160"/>
      <c r="M51" s="160"/>
    </row>
    <row r="52" spans="2:13">
      <c r="B52" s="166"/>
      <c r="C52" s="167"/>
      <c r="D52" s="167"/>
      <c r="E52" s="167"/>
      <c r="F52" s="167"/>
      <c r="G52" s="167"/>
      <c r="H52" s="166"/>
      <c r="I52" s="166"/>
      <c r="J52" s="166"/>
      <c r="K52" s="167"/>
      <c r="L52" s="160"/>
      <c r="M52" s="160"/>
    </row>
    <row r="53" spans="2:13">
      <c r="B53" s="172" t="s">
        <v>131</v>
      </c>
      <c r="C53" s="161">
        <v>1</v>
      </c>
      <c r="D53" s="161">
        <v>1</v>
      </c>
      <c r="E53" s="161">
        <v>0.125</v>
      </c>
      <c r="F53" s="161">
        <v>0.05</v>
      </c>
      <c r="G53" s="161">
        <v>10</v>
      </c>
      <c r="H53" s="160">
        <v>0.25</v>
      </c>
      <c r="I53" s="160">
        <v>10</v>
      </c>
      <c r="J53" s="160">
        <v>0.25</v>
      </c>
      <c r="K53" s="161">
        <v>3</v>
      </c>
      <c r="L53" s="160"/>
      <c r="M53" s="160"/>
    </row>
    <row r="54" spans="2:13">
      <c r="B54" s="173"/>
      <c r="C54" s="167"/>
      <c r="D54" s="167"/>
      <c r="E54" s="167"/>
      <c r="F54" s="167"/>
      <c r="G54" s="167"/>
      <c r="H54" s="166"/>
      <c r="I54" s="166"/>
      <c r="J54" s="166"/>
      <c r="K54" s="167"/>
      <c r="L54" s="160"/>
      <c r="M54" s="160"/>
    </row>
    <row r="55" spans="2:13">
      <c r="B55" s="166"/>
      <c r="C55" s="167"/>
      <c r="D55" s="167"/>
      <c r="E55" s="167"/>
      <c r="F55" s="167"/>
      <c r="G55" s="167"/>
      <c r="H55" s="166"/>
      <c r="I55" s="166"/>
      <c r="J55" s="166"/>
      <c r="K55" s="167"/>
      <c r="L55" s="160"/>
      <c r="M55" s="160"/>
    </row>
    <row r="56" spans="2:13">
      <c r="B56" s="172" t="s">
        <v>132</v>
      </c>
      <c r="C56" s="161">
        <v>1</v>
      </c>
      <c r="D56" s="161">
        <v>1</v>
      </c>
      <c r="E56" s="161">
        <v>0.125</v>
      </c>
      <c r="F56" s="161">
        <v>0.05</v>
      </c>
      <c r="G56" s="161">
        <v>10</v>
      </c>
      <c r="H56" s="160">
        <v>0.25</v>
      </c>
      <c r="I56" s="160">
        <v>10</v>
      </c>
      <c r="J56" s="160">
        <v>0.25</v>
      </c>
      <c r="K56" s="161">
        <v>3</v>
      </c>
      <c r="L56" s="160"/>
      <c r="M56" s="160"/>
    </row>
    <row r="57" spans="2:13">
      <c r="B57" s="173"/>
      <c r="C57" s="167"/>
      <c r="D57" s="167"/>
      <c r="E57" s="167"/>
      <c r="F57" s="167"/>
      <c r="G57" s="167"/>
      <c r="H57" s="166"/>
      <c r="I57" s="166"/>
      <c r="J57" s="166"/>
      <c r="K57" s="167"/>
      <c r="L57" s="160"/>
      <c r="M57" s="160"/>
    </row>
    <row r="58" spans="2:13">
      <c r="B58" s="173"/>
      <c r="C58" s="167"/>
      <c r="D58" s="167"/>
      <c r="E58" s="167"/>
      <c r="F58" s="167"/>
      <c r="G58" s="167"/>
      <c r="H58" s="166"/>
      <c r="I58" s="166"/>
      <c r="J58" s="166"/>
      <c r="K58" s="167"/>
      <c r="L58" s="160"/>
      <c r="M58" s="160"/>
    </row>
    <row r="59" spans="2:13">
      <c r="B59" s="160" t="s">
        <v>133</v>
      </c>
      <c r="C59" s="161">
        <v>0.45</v>
      </c>
      <c r="D59" s="161">
        <v>0.45</v>
      </c>
      <c r="E59" s="161">
        <v>0.1</v>
      </c>
      <c r="F59" s="161">
        <v>0.05</v>
      </c>
      <c r="G59" s="161">
        <v>10</v>
      </c>
      <c r="H59" s="160">
        <v>0.25</v>
      </c>
      <c r="I59" s="160">
        <v>10</v>
      </c>
      <c r="J59" s="160">
        <v>0.25</v>
      </c>
      <c r="K59" s="161"/>
      <c r="L59" s="160">
        <v>0.27500000000000002</v>
      </c>
      <c r="M59" s="160">
        <v>0.27500000000000002</v>
      </c>
    </row>
    <row r="60" spans="2:13">
      <c r="B60" s="166"/>
      <c r="C60" s="167"/>
      <c r="D60" s="167"/>
      <c r="E60" s="167"/>
      <c r="F60" s="167"/>
      <c r="G60" s="167"/>
      <c r="H60" s="166"/>
      <c r="I60" s="166"/>
      <c r="J60" s="166"/>
      <c r="K60" s="167"/>
      <c r="L60" s="160"/>
      <c r="M60" s="160"/>
    </row>
    <row r="61" spans="2:13">
      <c r="B61" s="166"/>
      <c r="C61" s="167"/>
      <c r="D61" s="167"/>
      <c r="E61" s="167"/>
      <c r="F61" s="167"/>
      <c r="G61" s="167"/>
      <c r="H61" s="166"/>
      <c r="I61" s="166"/>
      <c r="J61" s="166"/>
      <c r="K61" s="167"/>
      <c r="L61" s="160"/>
      <c r="M61" s="160"/>
    </row>
    <row r="62" spans="2:13">
      <c r="B62" s="166"/>
      <c r="C62" s="167"/>
      <c r="D62" s="167"/>
      <c r="E62" s="167"/>
      <c r="F62" s="167"/>
      <c r="G62" s="167"/>
      <c r="H62" s="166"/>
      <c r="I62" s="166"/>
      <c r="J62" s="166"/>
      <c r="K62" s="167"/>
      <c r="L62" s="160"/>
      <c r="M62" s="160"/>
    </row>
    <row r="63" spans="2:13">
      <c r="B63" s="160" t="s">
        <v>134</v>
      </c>
      <c r="C63" s="161">
        <v>0.45</v>
      </c>
      <c r="D63" s="161">
        <v>0.6</v>
      </c>
      <c r="E63" s="161">
        <v>0.1</v>
      </c>
      <c r="F63" s="161">
        <v>0.05</v>
      </c>
      <c r="G63" s="161">
        <v>10</v>
      </c>
      <c r="H63" s="160">
        <v>0.25</v>
      </c>
      <c r="I63" s="160">
        <v>10</v>
      </c>
      <c r="J63" s="160">
        <v>0.25</v>
      </c>
      <c r="K63" s="161"/>
      <c r="L63" s="160">
        <v>0.27500000000000002</v>
      </c>
      <c r="M63" s="160">
        <v>0.27500000000000002</v>
      </c>
    </row>
    <row r="64" spans="2:13">
      <c r="B64" s="166"/>
      <c r="C64" s="167"/>
      <c r="D64" s="167"/>
      <c r="E64" s="167"/>
      <c r="F64" s="167"/>
      <c r="G64" s="167"/>
      <c r="H64" s="166"/>
      <c r="I64" s="166"/>
      <c r="J64" s="166"/>
      <c r="K64" s="167"/>
      <c r="L64" s="160"/>
      <c r="M64" s="160"/>
    </row>
    <row r="65" spans="2:13">
      <c r="B65" s="166"/>
      <c r="C65" s="167"/>
      <c r="D65" s="167"/>
      <c r="E65" s="167"/>
      <c r="F65" s="167"/>
      <c r="G65" s="167"/>
      <c r="H65" s="166"/>
      <c r="I65" s="166"/>
      <c r="J65" s="166"/>
      <c r="K65" s="167"/>
      <c r="L65" s="160"/>
      <c r="M65" s="160"/>
    </row>
    <row r="66" spans="2:13">
      <c r="B66" s="173"/>
      <c r="C66" s="167"/>
      <c r="D66" s="167"/>
      <c r="E66" s="167"/>
      <c r="F66" s="167"/>
      <c r="G66" s="167"/>
      <c r="H66" s="166"/>
      <c r="I66" s="166"/>
      <c r="J66" s="166"/>
      <c r="K66" s="167"/>
      <c r="L66" s="160"/>
      <c r="M66" s="160"/>
    </row>
    <row r="67" spans="2:13">
      <c r="B67" s="160" t="s">
        <v>135</v>
      </c>
      <c r="C67" s="161">
        <v>0.6</v>
      </c>
      <c r="D67" s="161">
        <v>0.6</v>
      </c>
      <c r="E67" s="161">
        <v>0.1</v>
      </c>
      <c r="F67" s="161">
        <v>0.05</v>
      </c>
      <c r="G67" s="161">
        <v>10</v>
      </c>
      <c r="H67" s="160">
        <v>0.25</v>
      </c>
      <c r="I67" s="160">
        <v>10</v>
      </c>
      <c r="J67" s="160">
        <v>0.25</v>
      </c>
      <c r="K67" s="161"/>
      <c r="L67" s="160">
        <v>0.27500000000000002</v>
      </c>
      <c r="M67" s="160">
        <v>0.27500000000000002</v>
      </c>
    </row>
    <row r="68" spans="2:13">
      <c r="B68" s="166"/>
      <c r="C68" s="167"/>
      <c r="D68" s="167"/>
      <c r="E68" s="167"/>
      <c r="F68" s="167"/>
      <c r="G68" s="167"/>
      <c r="H68" s="166"/>
      <c r="I68" s="166"/>
      <c r="J68" s="166"/>
      <c r="K68" s="167"/>
      <c r="L68" s="160"/>
      <c r="M68" s="160"/>
    </row>
    <row r="69" spans="2:13">
      <c r="B69" s="166"/>
      <c r="C69" s="167"/>
      <c r="D69" s="167"/>
      <c r="E69" s="167"/>
      <c r="F69" s="167"/>
      <c r="G69" s="167"/>
      <c r="H69" s="166"/>
      <c r="I69" s="166"/>
      <c r="J69" s="166"/>
      <c r="K69" s="167"/>
      <c r="L69" s="160"/>
      <c r="M69" s="160"/>
    </row>
    <row r="70" spans="2:13">
      <c r="B70" s="166"/>
      <c r="C70" s="167"/>
      <c r="D70" s="167"/>
      <c r="E70" s="167"/>
      <c r="F70" s="167"/>
      <c r="G70" s="167"/>
      <c r="H70" s="166"/>
      <c r="I70" s="166"/>
      <c r="J70" s="166"/>
      <c r="K70" s="167"/>
      <c r="L70" s="160"/>
      <c r="M70" s="160"/>
    </row>
    <row r="71" spans="2:13">
      <c r="B71" s="160" t="s">
        <v>136</v>
      </c>
      <c r="C71" s="161">
        <v>0.8</v>
      </c>
      <c r="D71" s="161">
        <v>0.8</v>
      </c>
      <c r="E71" s="161">
        <v>0.1</v>
      </c>
      <c r="F71" s="161">
        <v>0.05</v>
      </c>
      <c r="G71" s="161">
        <v>10</v>
      </c>
      <c r="H71" s="160">
        <v>0.25</v>
      </c>
      <c r="I71" s="160">
        <v>10</v>
      </c>
      <c r="J71" s="160">
        <v>0.25</v>
      </c>
      <c r="K71" s="161"/>
      <c r="L71" s="160">
        <v>0.27500000000000002</v>
      </c>
      <c r="M71" s="160">
        <v>0.27500000000000002</v>
      </c>
    </row>
    <row r="72" spans="2:13">
      <c r="B72" s="166"/>
      <c r="C72" s="167"/>
      <c r="D72" s="167"/>
      <c r="E72" s="167"/>
      <c r="F72" s="167"/>
      <c r="G72" s="167"/>
      <c r="H72" s="166"/>
      <c r="I72" s="166"/>
      <c r="J72" s="166"/>
      <c r="K72" s="167"/>
      <c r="L72" s="160"/>
      <c r="M72" s="160"/>
    </row>
    <row r="73" spans="2:13">
      <c r="B73" s="166"/>
      <c r="C73" s="167"/>
      <c r="D73" s="167"/>
      <c r="E73" s="167"/>
      <c r="F73" s="167"/>
      <c r="G73" s="167"/>
      <c r="H73" s="166"/>
      <c r="I73" s="166"/>
      <c r="J73" s="166"/>
      <c r="K73" s="167"/>
      <c r="L73" s="160"/>
      <c r="M73" s="160"/>
    </row>
    <row r="74" spans="2:13">
      <c r="B74" s="166"/>
      <c r="C74" s="167"/>
      <c r="D74" s="167"/>
      <c r="E74" s="167"/>
      <c r="F74" s="167"/>
      <c r="G74" s="167"/>
      <c r="H74" s="166"/>
      <c r="I74" s="166"/>
      <c r="J74" s="166"/>
      <c r="K74" s="167"/>
      <c r="L74" s="160"/>
      <c r="M74" s="160"/>
    </row>
    <row r="75" spans="2:13">
      <c r="B75" s="160" t="s">
        <v>137</v>
      </c>
      <c r="C75" s="161">
        <v>1</v>
      </c>
      <c r="D75" s="161">
        <v>1</v>
      </c>
      <c r="E75" s="161">
        <v>0.125</v>
      </c>
      <c r="F75" s="161">
        <v>0.05</v>
      </c>
      <c r="G75" s="161">
        <v>10</v>
      </c>
      <c r="H75" s="160">
        <v>0.25</v>
      </c>
      <c r="I75" s="160">
        <v>10</v>
      </c>
      <c r="J75" s="160">
        <v>0.25</v>
      </c>
      <c r="K75" s="161"/>
      <c r="L75" s="160">
        <v>0.27500000000000002</v>
      </c>
      <c r="M75" s="160">
        <v>0.27500000000000002</v>
      </c>
    </row>
    <row r="76" spans="2:13">
      <c r="B76" s="166"/>
      <c r="C76" s="167"/>
      <c r="D76" s="167"/>
      <c r="E76" s="167"/>
      <c r="F76" s="167"/>
      <c r="G76" s="167"/>
      <c r="H76" s="166"/>
      <c r="I76" s="166"/>
      <c r="J76" s="166"/>
      <c r="K76" s="167"/>
      <c r="L76" s="160"/>
      <c r="M76" s="160"/>
    </row>
    <row r="77" spans="2:13">
      <c r="B77" s="166"/>
      <c r="C77" s="167"/>
      <c r="D77" s="167"/>
      <c r="E77" s="167"/>
      <c r="F77" s="167"/>
      <c r="G77" s="167"/>
      <c r="H77" s="166"/>
      <c r="I77" s="166"/>
      <c r="J77" s="166"/>
      <c r="K77" s="167"/>
      <c r="L77" s="160"/>
      <c r="M77" s="160"/>
    </row>
    <row r="78" spans="2:13">
      <c r="B78" s="166"/>
      <c r="C78" s="167"/>
      <c r="D78" s="167"/>
      <c r="E78" s="167"/>
      <c r="F78" s="167"/>
      <c r="G78" s="167"/>
      <c r="H78" s="166"/>
      <c r="I78" s="166"/>
      <c r="J78" s="166"/>
      <c r="K78" s="167"/>
      <c r="L78" s="160"/>
      <c r="M78" s="160"/>
    </row>
    <row r="79" spans="2:13">
      <c r="B79" s="174" t="s">
        <v>138</v>
      </c>
      <c r="C79" s="161">
        <v>0.45</v>
      </c>
      <c r="D79" s="161">
        <v>0.45</v>
      </c>
      <c r="E79" s="161">
        <v>0.1</v>
      </c>
      <c r="F79" s="161">
        <v>0.05</v>
      </c>
      <c r="G79" s="161">
        <v>10</v>
      </c>
      <c r="H79" s="160">
        <v>0.25</v>
      </c>
      <c r="I79" s="160">
        <v>10</v>
      </c>
      <c r="J79" s="160">
        <v>0.25</v>
      </c>
      <c r="K79" s="161"/>
      <c r="L79" s="160">
        <v>0.9</v>
      </c>
      <c r="M79" s="160">
        <v>0.45</v>
      </c>
    </row>
    <row r="80" spans="2:13">
      <c r="B80" s="175"/>
      <c r="C80" s="167"/>
      <c r="D80" s="167"/>
      <c r="E80" s="167"/>
      <c r="F80" s="167"/>
      <c r="G80" s="167"/>
      <c r="H80" s="166"/>
      <c r="I80" s="166"/>
      <c r="J80" s="166"/>
      <c r="K80" s="167"/>
      <c r="L80" s="160"/>
      <c r="M80" s="160"/>
    </row>
    <row r="81" spans="2:13">
      <c r="B81" s="175"/>
      <c r="C81" s="167"/>
      <c r="D81" s="167"/>
      <c r="E81" s="167"/>
      <c r="F81" s="167"/>
      <c r="G81" s="167"/>
      <c r="H81" s="166"/>
      <c r="I81" s="166"/>
      <c r="J81" s="166"/>
      <c r="K81" s="167"/>
      <c r="L81" s="160"/>
      <c r="M81" s="160"/>
    </row>
    <row r="82" spans="2:13">
      <c r="B82" s="175"/>
      <c r="C82" s="167"/>
      <c r="D82" s="167"/>
      <c r="E82" s="167"/>
      <c r="F82" s="167"/>
      <c r="G82" s="167"/>
      <c r="H82" s="166"/>
      <c r="I82" s="166"/>
      <c r="J82" s="166"/>
      <c r="K82" s="167"/>
      <c r="L82" s="160"/>
      <c r="M82" s="160"/>
    </row>
    <row r="83" spans="2:13">
      <c r="B83" s="174" t="s">
        <v>139</v>
      </c>
      <c r="C83" s="161">
        <v>0.45</v>
      </c>
      <c r="D83" s="161">
        <v>0.6</v>
      </c>
      <c r="E83" s="161">
        <v>0.1</v>
      </c>
      <c r="F83" s="161">
        <v>0.05</v>
      </c>
      <c r="G83" s="161">
        <v>10</v>
      </c>
      <c r="H83" s="160">
        <v>0.25</v>
      </c>
      <c r="I83" s="160">
        <v>10</v>
      </c>
      <c r="J83" s="160">
        <v>0.25</v>
      </c>
      <c r="K83" s="161"/>
      <c r="L83" s="160">
        <v>0.9</v>
      </c>
      <c r="M83" s="160">
        <v>0.45</v>
      </c>
    </row>
    <row r="84" spans="2:13">
      <c r="B84" s="175"/>
      <c r="C84" s="167"/>
      <c r="D84" s="167"/>
      <c r="E84" s="167"/>
      <c r="F84" s="167"/>
      <c r="G84" s="167"/>
      <c r="H84" s="166"/>
      <c r="I84" s="166"/>
      <c r="J84" s="166"/>
      <c r="K84" s="167"/>
      <c r="L84" s="160"/>
      <c r="M84" s="160"/>
    </row>
    <row r="85" spans="2:13">
      <c r="B85" s="175"/>
      <c r="C85" s="167"/>
      <c r="D85" s="167"/>
      <c r="E85" s="167"/>
      <c r="F85" s="167"/>
      <c r="G85" s="167"/>
      <c r="H85" s="166"/>
      <c r="I85" s="166"/>
      <c r="J85" s="166"/>
      <c r="K85" s="167"/>
      <c r="L85" s="160"/>
      <c r="M85" s="160"/>
    </row>
    <row r="86" spans="2:13">
      <c r="B86" s="175"/>
      <c r="C86" s="167"/>
      <c r="D86" s="167"/>
      <c r="E86" s="167"/>
      <c r="F86" s="167"/>
      <c r="G86" s="167"/>
      <c r="H86" s="166"/>
      <c r="I86" s="166"/>
      <c r="J86" s="166"/>
      <c r="K86" s="167"/>
      <c r="L86" s="160"/>
      <c r="M86" s="160"/>
    </row>
    <row r="87" spans="2:13">
      <c r="B87" s="174" t="s">
        <v>140</v>
      </c>
      <c r="C87" s="161">
        <v>0.6</v>
      </c>
      <c r="D87" s="161">
        <v>0.6</v>
      </c>
      <c r="E87" s="161">
        <v>0.1</v>
      </c>
      <c r="F87" s="161">
        <v>0.05</v>
      </c>
      <c r="G87" s="161">
        <v>10</v>
      </c>
      <c r="H87" s="160">
        <v>0.25</v>
      </c>
      <c r="I87" s="160">
        <v>10</v>
      </c>
      <c r="J87" s="160">
        <v>0.25</v>
      </c>
      <c r="K87" s="161"/>
      <c r="L87" s="160">
        <v>0.9</v>
      </c>
      <c r="M87" s="160">
        <v>0.45</v>
      </c>
    </row>
    <row r="88" spans="2:13">
      <c r="B88" s="175"/>
      <c r="C88" s="167"/>
      <c r="D88" s="167"/>
      <c r="E88" s="167"/>
      <c r="F88" s="167"/>
      <c r="G88" s="167"/>
      <c r="H88" s="166"/>
      <c r="I88" s="166"/>
      <c r="J88" s="166"/>
      <c r="K88" s="167"/>
      <c r="L88" s="160"/>
      <c r="M88" s="160"/>
    </row>
    <row r="89" spans="2:13">
      <c r="B89" s="175"/>
      <c r="C89" s="167"/>
      <c r="D89" s="167"/>
      <c r="E89" s="167"/>
      <c r="F89" s="167"/>
      <c r="G89" s="167"/>
      <c r="H89" s="166"/>
      <c r="I89" s="166"/>
      <c r="J89" s="166"/>
      <c r="K89" s="167"/>
      <c r="L89" s="160"/>
      <c r="M89" s="160"/>
    </row>
    <row r="90" spans="2:13">
      <c r="B90" s="175"/>
      <c r="C90" s="167"/>
      <c r="D90" s="167"/>
      <c r="E90" s="167"/>
      <c r="F90" s="167"/>
      <c r="G90" s="167"/>
      <c r="H90" s="166"/>
      <c r="I90" s="166"/>
      <c r="J90" s="166"/>
      <c r="K90" s="167"/>
      <c r="L90" s="160"/>
      <c r="M90" s="160"/>
    </row>
    <row r="91" spans="2:13">
      <c r="B91" s="174" t="s">
        <v>141</v>
      </c>
      <c r="C91" s="161">
        <v>0.8</v>
      </c>
      <c r="D91" s="161">
        <v>0.8</v>
      </c>
      <c r="E91" s="161">
        <v>0.1</v>
      </c>
      <c r="F91" s="161">
        <v>0.05</v>
      </c>
      <c r="G91" s="161">
        <v>10</v>
      </c>
      <c r="H91" s="160">
        <v>0.25</v>
      </c>
      <c r="I91" s="160">
        <v>10</v>
      </c>
      <c r="J91" s="160">
        <v>0.25</v>
      </c>
      <c r="K91" s="161"/>
      <c r="L91" s="160">
        <v>0.9</v>
      </c>
      <c r="M91" s="160">
        <v>0.45</v>
      </c>
    </row>
    <row r="92" spans="2:13">
      <c r="B92" s="175"/>
      <c r="C92" s="167"/>
      <c r="D92" s="167"/>
      <c r="E92" s="167"/>
      <c r="F92" s="167"/>
      <c r="G92" s="167"/>
      <c r="H92" s="166"/>
      <c r="I92" s="166"/>
      <c r="J92" s="166"/>
      <c r="K92" s="167"/>
      <c r="L92" s="160"/>
      <c r="M92" s="160"/>
    </row>
    <row r="93" spans="2:13">
      <c r="B93" s="175"/>
      <c r="C93" s="167"/>
      <c r="D93" s="167"/>
      <c r="E93" s="167"/>
      <c r="F93" s="167"/>
      <c r="G93" s="167"/>
      <c r="H93" s="166"/>
      <c r="I93" s="166"/>
      <c r="J93" s="166"/>
      <c r="K93" s="167"/>
      <c r="L93" s="160"/>
      <c r="M93" s="160"/>
    </row>
    <row r="94" spans="2:13">
      <c r="B94" s="175"/>
      <c r="C94" s="167"/>
      <c r="D94" s="167"/>
      <c r="E94" s="167"/>
      <c r="F94" s="167"/>
      <c r="G94" s="167"/>
      <c r="H94" s="166"/>
      <c r="I94" s="166"/>
      <c r="J94" s="166"/>
      <c r="K94" s="167"/>
      <c r="L94" s="160"/>
      <c r="M94" s="160"/>
    </row>
    <row r="95" spans="2:13">
      <c r="B95" s="174" t="s">
        <v>142</v>
      </c>
      <c r="C95" s="161">
        <v>1</v>
      </c>
      <c r="D95" s="161">
        <v>0.75</v>
      </c>
      <c r="E95" s="161">
        <v>0.125</v>
      </c>
      <c r="F95" s="161">
        <v>0.05</v>
      </c>
      <c r="G95" s="161">
        <v>10</v>
      </c>
      <c r="H95" s="160">
        <v>0.25</v>
      </c>
      <c r="I95" s="160">
        <v>10</v>
      </c>
      <c r="J95" s="160">
        <v>0.25</v>
      </c>
      <c r="K95" s="161"/>
      <c r="L95" s="160">
        <v>0.9</v>
      </c>
      <c r="M95" s="160">
        <v>0.45</v>
      </c>
    </row>
    <row r="96" spans="2:13">
      <c r="B96" s="175"/>
      <c r="C96" s="167"/>
      <c r="D96" s="167"/>
      <c r="E96" s="167"/>
      <c r="F96" s="167"/>
      <c r="G96" s="167"/>
      <c r="H96" s="166"/>
      <c r="I96" s="166"/>
      <c r="J96" s="166"/>
      <c r="K96" s="167"/>
      <c r="L96" s="160"/>
      <c r="M96" s="160"/>
    </row>
    <row r="97" spans="2:21">
      <c r="B97" s="175"/>
      <c r="C97" s="167"/>
      <c r="D97" s="167"/>
      <c r="E97" s="167"/>
      <c r="F97" s="167"/>
      <c r="G97" s="167"/>
      <c r="H97" s="166"/>
      <c r="I97" s="166"/>
      <c r="J97" s="166"/>
      <c r="K97" s="167"/>
      <c r="L97" s="160"/>
      <c r="M97" s="160"/>
    </row>
    <row r="98" spans="2:21">
      <c r="B98" s="175"/>
      <c r="C98" s="167"/>
      <c r="D98" s="167"/>
      <c r="E98" s="167"/>
      <c r="F98" s="167"/>
      <c r="G98" s="167"/>
      <c r="H98" s="166"/>
      <c r="I98" s="166"/>
      <c r="J98" s="166"/>
      <c r="K98" s="167"/>
      <c r="L98" s="160"/>
      <c r="M98" s="160"/>
    </row>
    <row r="99" spans="2:21">
      <c r="B99" s="166"/>
      <c r="C99" s="167"/>
      <c r="D99" s="167"/>
      <c r="E99" s="167"/>
      <c r="F99" s="167"/>
      <c r="G99" s="167"/>
      <c r="H99" s="166"/>
      <c r="I99" s="166"/>
      <c r="J99" s="166"/>
      <c r="K99" s="167"/>
      <c r="L99" s="160"/>
      <c r="M99" s="160"/>
    </row>
    <row r="100" spans="2:21">
      <c r="B100" s="176"/>
      <c r="C100" s="176"/>
      <c r="D100" s="176"/>
      <c r="E100" s="176"/>
      <c r="F100" s="176"/>
      <c r="G100" s="176"/>
      <c r="H100" s="176"/>
      <c r="I100" s="176"/>
      <c r="J100" s="176"/>
      <c r="K100" s="177"/>
      <c r="L100" s="176"/>
      <c r="M100" s="176"/>
    </row>
    <row r="103" spans="2:21">
      <c r="K103" s="178" t="s">
        <v>143</v>
      </c>
      <c r="L103" s="931" t="s">
        <v>144</v>
      </c>
      <c r="M103" s="932"/>
      <c r="N103" s="932"/>
      <c r="O103" s="932"/>
      <c r="P103" s="932"/>
      <c r="Q103" s="932"/>
      <c r="R103" s="932"/>
      <c r="S103" s="933"/>
    </row>
    <row r="104" spans="2:21">
      <c r="B104" s="178" t="s">
        <v>145</v>
      </c>
      <c r="K104" s="179">
        <v>1</v>
      </c>
      <c r="L104" s="926" t="s">
        <v>7</v>
      </c>
      <c r="M104" s="934"/>
      <c r="N104" s="927"/>
      <c r="O104" s="926" t="s">
        <v>6</v>
      </c>
      <c r="P104" s="934"/>
      <c r="Q104" s="927"/>
      <c r="R104" s="926" t="s">
        <v>146</v>
      </c>
      <c r="S104" s="927"/>
    </row>
    <row r="105" spans="2:21">
      <c r="D105" s="180" t="s">
        <v>147</v>
      </c>
      <c r="E105" s="181" t="s">
        <v>1</v>
      </c>
      <c r="G105" s="182" t="s">
        <v>148</v>
      </c>
      <c r="H105" s="182" t="s">
        <v>149</v>
      </c>
      <c r="I105" s="182" t="s">
        <v>150</v>
      </c>
      <c r="J105" s="182" t="s">
        <v>151</v>
      </c>
      <c r="K105" s="182" t="s">
        <v>152</v>
      </c>
      <c r="L105" s="926" t="s">
        <v>153</v>
      </c>
      <c r="M105" s="927"/>
      <c r="N105" s="183" t="s">
        <v>1</v>
      </c>
      <c r="O105" s="926" t="s">
        <v>153</v>
      </c>
      <c r="P105" s="927"/>
      <c r="Q105" s="183" t="s">
        <v>1</v>
      </c>
      <c r="R105" s="183" t="s">
        <v>1</v>
      </c>
      <c r="S105" s="183" t="s">
        <v>80</v>
      </c>
    </row>
    <row r="106" spans="2:21">
      <c r="D106" s="210"/>
      <c r="E106" s="228"/>
      <c r="F106" s="210"/>
      <c r="G106" s="228"/>
      <c r="H106" s="228"/>
      <c r="I106" s="228"/>
      <c r="J106" s="228"/>
      <c r="K106" s="228"/>
      <c r="L106" s="229"/>
      <c r="M106" s="230"/>
      <c r="N106" s="230"/>
      <c r="O106" s="229"/>
      <c r="P106" s="230"/>
      <c r="Q106" s="231"/>
      <c r="R106" s="231"/>
      <c r="S106" s="231"/>
      <c r="T106" s="210"/>
    </row>
    <row r="107" spans="2:21" ht="29.25" customHeight="1">
      <c r="B107" s="154" t="s">
        <v>154</v>
      </c>
      <c r="C107" s="178" t="s">
        <v>155</v>
      </c>
      <c r="E107" s="184">
        <v>106</v>
      </c>
      <c r="G107" s="185">
        <f>+E107*(C6+E6*2+1.5)</f>
        <v>212</v>
      </c>
      <c r="H107" s="185">
        <f>+E107*(C6+E6*2)*(D6+E6+F6)</f>
        <v>23.85</v>
      </c>
      <c r="I107" s="186">
        <f>+(C6+E6*2)*E107*F6</f>
        <v>2.6500000000000004</v>
      </c>
      <c r="J107" s="186">
        <f>+E107*((C6+E6*2)*E6+(D6*E6*2))</f>
        <v>11.66</v>
      </c>
      <c r="K107" s="186">
        <f>+(D6+$K$104*(D6+E6))*E107*2</f>
        <v>148.39999999999998</v>
      </c>
      <c r="L107" s="187">
        <f>+(E107)/H6+ IF(E107&gt;0,1,0)</f>
        <v>531</v>
      </c>
      <c r="M107" s="188">
        <f>+ROUNDUP(L107,0)</f>
        <v>531</v>
      </c>
      <c r="N107" s="189">
        <f>+(D6+E6-0.08)*2+(C6+E6*2-0.08)</f>
        <v>1.06</v>
      </c>
      <c r="O107" s="187">
        <f>+N107/J6+1</f>
        <v>5.24</v>
      </c>
      <c r="P107" s="188">
        <f>+ROUNDUP(O107,0)</f>
        <v>6</v>
      </c>
      <c r="Q107" s="188">
        <f>+E107+E107/6*50*(G6/1000)</f>
        <v>114.83333333333333</v>
      </c>
      <c r="R107" s="190">
        <f>+N107*M107+P107*Q107</f>
        <v>1251.8600000000001</v>
      </c>
      <c r="S107" s="186">
        <f>((I6*I6)/162)*R107</f>
        <v>772.75308641975312</v>
      </c>
      <c r="T107" s="154" t="s">
        <v>156</v>
      </c>
    </row>
    <row r="108" spans="2:21" ht="20.25" customHeight="1">
      <c r="C108" s="154" t="s">
        <v>101</v>
      </c>
      <c r="D108" s="191">
        <f>ROUNDUP(+E107/K6,0)</f>
        <v>36</v>
      </c>
      <c r="E108" s="184"/>
      <c r="G108" s="192"/>
      <c r="H108" s="192"/>
      <c r="I108" s="191"/>
      <c r="J108" s="191">
        <f>0.5*(0.075+0.05)*0.075*C6*D108</f>
        <v>5.0624999999999996E-2</v>
      </c>
      <c r="K108" s="191">
        <f>+(0.075+0.08)*C6*D108</f>
        <v>1.6739999999999999</v>
      </c>
      <c r="L108" s="193">
        <f>+D108</f>
        <v>36</v>
      </c>
      <c r="M108" s="188">
        <f>+ROUNDUP(L108,0)</f>
        <v>36</v>
      </c>
      <c r="N108" s="194">
        <f>+(C6-0.08)+((0.075+0.05-0.04)*2)</f>
        <v>0.38999999999999996</v>
      </c>
      <c r="O108" s="193"/>
      <c r="P108" s="195"/>
      <c r="Q108" s="195"/>
      <c r="R108" s="190">
        <f>+N108*M108+P108*Q108</f>
        <v>14.04</v>
      </c>
      <c r="S108" s="186">
        <f>((I6*I6)/162)*R108</f>
        <v>8.6666666666666661</v>
      </c>
      <c r="T108" s="154" t="s">
        <v>156</v>
      </c>
      <c r="U108" s="191">
        <f>S107+S108</f>
        <v>781.41975308641975</v>
      </c>
    </row>
    <row r="109" spans="2:21">
      <c r="E109" s="184"/>
    </row>
    <row r="110" spans="2:21">
      <c r="B110" s="210" t="s">
        <v>154</v>
      </c>
      <c r="C110" s="211" t="s">
        <v>157</v>
      </c>
      <c r="E110" s="184">
        <v>71.66</v>
      </c>
      <c r="G110" s="185">
        <f>+E110*(C9+E9*2+3)</f>
        <v>261.55899999999997</v>
      </c>
      <c r="H110" s="185">
        <f>+E110*(C9+E9*2)*(D9+E9+F9)</f>
        <v>27.947400000000005</v>
      </c>
      <c r="I110" s="186">
        <f>+(C9+E9*2)*E110*F9</f>
        <v>2.3289500000000003</v>
      </c>
      <c r="J110" s="186">
        <f>+E110*((C9+E9*2)*E9+(D9*E9*2))</f>
        <v>11.107300000000002</v>
      </c>
      <c r="K110" s="186">
        <f>+(D9+$K$104*(D9+E9))*E110*2</f>
        <v>143.32</v>
      </c>
      <c r="L110" s="187">
        <f>+(E110)/H9+ IF(E110&gt;0,1,0)</f>
        <v>359.29999999999995</v>
      </c>
      <c r="M110" s="188">
        <f>+ROUNDUP(L110,0)</f>
        <v>360</v>
      </c>
      <c r="N110" s="189">
        <f>+(D9+E9-0.08)*2+(C9+E9*2-0.08)</f>
        <v>1.5100000000000002</v>
      </c>
      <c r="O110" s="187">
        <f>+N110/J9+1</f>
        <v>7.0400000000000009</v>
      </c>
      <c r="P110" s="188">
        <f>+ROUNDUP(O110,0)</f>
        <v>8</v>
      </c>
      <c r="Q110" s="188">
        <f>+E110+E110/6*50*(G9/1000)</f>
        <v>77.631666666666661</v>
      </c>
      <c r="R110" s="190">
        <f>+N110*M110+P110*Q110</f>
        <v>1164.6533333333334</v>
      </c>
      <c r="S110" s="186">
        <f>((I9*I9)/162)*R110</f>
        <v>718.92181069958849</v>
      </c>
      <c r="T110" s="154" t="s">
        <v>156</v>
      </c>
    </row>
    <row r="111" spans="2:21">
      <c r="B111" s="210"/>
      <c r="C111" s="210" t="s">
        <v>101</v>
      </c>
      <c r="D111" s="191">
        <f>ROUNDUP(+E110/K9,0)</f>
        <v>24</v>
      </c>
      <c r="E111" s="184"/>
      <c r="G111" s="192"/>
      <c r="H111" s="192"/>
      <c r="I111" s="191"/>
      <c r="J111" s="191">
        <f>0.5*(0.075+0.05)*0.075*C9*D111</f>
        <v>5.0625000000000003E-2</v>
      </c>
      <c r="K111" s="191">
        <f>+(0.075+0.08)*C9*D111</f>
        <v>1.6740000000000002</v>
      </c>
      <c r="L111" s="193">
        <f>+D111</f>
        <v>24</v>
      </c>
      <c r="M111" s="188">
        <f>+ROUNDUP(L111,0)</f>
        <v>24</v>
      </c>
      <c r="N111" s="194">
        <f>+(C9-0.08)+((0.075+0.05-0.04)*2)</f>
        <v>0.54</v>
      </c>
      <c r="O111" s="193"/>
      <c r="P111" s="195"/>
      <c r="Q111" s="195"/>
      <c r="R111" s="190">
        <f>+N111*M111+P111*Q111</f>
        <v>12.96</v>
      </c>
      <c r="S111" s="186">
        <f>((I9*I9)/162)*R111</f>
        <v>8</v>
      </c>
      <c r="T111" s="154" t="s">
        <v>156</v>
      </c>
      <c r="U111" s="191">
        <f>S110+S111</f>
        <v>726.92181069958849</v>
      </c>
    </row>
    <row r="112" spans="2:21">
      <c r="B112" s="210"/>
      <c r="C112" s="210"/>
      <c r="E112" s="184"/>
    </row>
    <row r="113" spans="2:21">
      <c r="B113" s="210" t="s">
        <v>154</v>
      </c>
      <c r="C113" s="211" t="s">
        <v>158</v>
      </c>
      <c r="E113" s="184">
        <v>84.71</v>
      </c>
      <c r="G113" s="185">
        <f>+E113*(C12+E12*2+3)</f>
        <v>321.89799999999997</v>
      </c>
      <c r="H113" s="185">
        <f>+E113*(C12+E12*2)*(D12+E12+F12)</f>
        <v>50.826000000000001</v>
      </c>
      <c r="I113" s="186">
        <f>+(C12+E12*2)*E113*F12</f>
        <v>3.3884000000000003</v>
      </c>
      <c r="J113" s="186">
        <f>+E113*((C12+E12*2)*E12+(D12*E12*2))</f>
        <v>16.942</v>
      </c>
      <c r="K113" s="186">
        <f>+(D12+$K$104*(D12+E12))*E113*2</f>
        <v>220.24599999999995</v>
      </c>
      <c r="L113" s="187">
        <f>+(E113)/H12+ IF(E113&gt;0,1,0)</f>
        <v>424.54999999999995</v>
      </c>
      <c r="M113" s="188">
        <f>+ROUNDUP(L113,0)</f>
        <v>425</v>
      </c>
      <c r="N113" s="189">
        <f>+(D12+E12-0.08)*2+(C12+E12*2-0.08)</f>
        <v>1.96</v>
      </c>
      <c r="O113" s="187">
        <f>+N113/J12+1</f>
        <v>8.84</v>
      </c>
      <c r="P113" s="188">
        <f>+ROUNDUP(O113,0)</f>
        <v>9</v>
      </c>
      <c r="Q113" s="188">
        <f>+E113+E113/6*50*(G12/1000)</f>
        <v>91.769166666666663</v>
      </c>
      <c r="R113" s="190">
        <f>+N113*M113+P113*Q113</f>
        <v>1658.9225000000001</v>
      </c>
      <c r="S113" s="186">
        <f>((I12*I12)/162)*R113</f>
        <v>1024.0262345679012</v>
      </c>
      <c r="T113" s="154" t="s">
        <v>156</v>
      </c>
    </row>
    <row r="114" spans="2:21">
      <c r="B114" s="210"/>
      <c r="C114" s="210" t="s">
        <v>101</v>
      </c>
      <c r="D114" s="191">
        <f>ROUNDUP(+E113/K12,0)</f>
        <v>29</v>
      </c>
      <c r="E114" s="184"/>
      <c r="G114" s="192"/>
      <c r="H114" s="192"/>
      <c r="I114" s="191"/>
      <c r="J114" s="191">
        <f>0.5*(0.075+0.05)*0.075*C12*D114</f>
        <v>8.1562499999999996E-2</v>
      </c>
      <c r="K114" s="191">
        <f>+(0.075+0.08)*C12*D114</f>
        <v>2.6970000000000001</v>
      </c>
      <c r="L114" s="193">
        <f>+D114</f>
        <v>29</v>
      </c>
      <c r="M114" s="188">
        <f>+ROUNDUP(L114,0)</f>
        <v>29</v>
      </c>
      <c r="N114" s="194">
        <f>+(C12-0.08)+((0.075+0.05-0.04)*2)</f>
        <v>0.69</v>
      </c>
      <c r="O114" s="193"/>
      <c r="P114" s="195"/>
      <c r="Q114" s="195"/>
      <c r="R114" s="190">
        <f>+N114*M114+P114*Q114</f>
        <v>20.009999999999998</v>
      </c>
      <c r="S114" s="186">
        <f>((I12*I12)/162)*R114</f>
        <v>12.351851851851849</v>
      </c>
      <c r="T114" s="154" t="s">
        <v>156</v>
      </c>
      <c r="U114" s="191">
        <f>S113+S114</f>
        <v>1036.3780864197531</v>
      </c>
    </row>
    <row r="115" spans="2:21" hidden="1">
      <c r="B115" s="210"/>
      <c r="C115" s="210"/>
      <c r="E115" s="184"/>
    </row>
    <row r="116" spans="2:21" hidden="1">
      <c r="B116" s="210" t="s">
        <v>154</v>
      </c>
      <c r="C116" s="211" t="s">
        <v>159</v>
      </c>
      <c r="E116" s="184"/>
      <c r="G116" s="185">
        <f>+E116*(C15+E15*2+1.5)</f>
        <v>0</v>
      </c>
      <c r="H116" s="185">
        <f>+E116*(C15+E15*2)*(D15+E15+F15)</f>
        <v>0</v>
      </c>
      <c r="I116" s="186">
        <f>+(C15+E15*2)*E116*F15</f>
        <v>0</v>
      </c>
      <c r="J116" s="186">
        <f>+E116*((C15+E15*2)*E15+(D15*E15*2))</f>
        <v>0</v>
      </c>
      <c r="K116" s="186">
        <f>+(D15+$K$104*(D15+E15))*E116*2</f>
        <v>0</v>
      </c>
      <c r="L116" s="187">
        <f>+(E116)/H15+ IF(E116&gt;0,1,0)</f>
        <v>0</v>
      </c>
      <c r="M116" s="188">
        <f>+ROUNDUP(L116,0)</f>
        <v>0</v>
      </c>
      <c r="N116" s="189">
        <f>+(D15+E15-0.08)*2+(C15+E15*2-0.08)</f>
        <v>2.5100000000000002</v>
      </c>
      <c r="O116" s="187">
        <f>+N116/J15+1</f>
        <v>11.040000000000001</v>
      </c>
      <c r="P116" s="188">
        <f>+ROUNDUP(O116,0)</f>
        <v>12</v>
      </c>
      <c r="Q116" s="188">
        <f>+E116+E116/6*50*(G15/1000)</f>
        <v>0</v>
      </c>
      <c r="R116" s="190">
        <f>+N116*M116+P116*Q116</f>
        <v>0</v>
      </c>
      <c r="S116" s="186">
        <f>((I15*I15)/162)*R116</f>
        <v>0</v>
      </c>
      <c r="T116" s="154" t="s">
        <v>156</v>
      </c>
    </row>
    <row r="117" spans="2:21" hidden="1">
      <c r="B117" s="210"/>
      <c r="C117" s="210" t="s">
        <v>101</v>
      </c>
      <c r="D117" s="191">
        <f>ROUNDUP(+E116/K15,0)</f>
        <v>0</v>
      </c>
      <c r="E117" s="184"/>
      <c r="G117" s="192"/>
      <c r="H117" s="192"/>
      <c r="I117" s="191"/>
      <c r="J117" s="191">
        <f>0.5*(0.075+0.05)*0.075*C15*D117</f>
        <v>0</v>
      </c>
      <c r="K117" s="191">
        <f>+(0.075+0.08)*C15*D117</f>
        <v>0</v>
      </c>
      <c r="L117" s="193">
        <f>+D117</f>
        <v>0</v>
      </c>
      <c r="M117" s="188">
        <f>+ROUNDUP(L117,0)</f>
        <v>0</v>
      </c>
      <c r="N117" s="194">
        <f>+(C15-0.08)+((0.075+0.05-0.04)*2)</f>
        <v>0.84000000000000008</v>
      </c>
      <c r="O117" s="193"/>
      <c r="P117" s="195"/>
      <c r="Q117" s="195"/>
      <c r="R117" s="190">
        <f>+N117*M117+P117*Q117</f>
        <v>0</v>
      </c>
      <c r="S117" s="186">
        <f>((I15*I15)/162)*R117</f>
        <v>0</v>
      </c>
      <c r="T117" s="154" t="s">
        <v>156</v>
      </c>
      <c r="U117" s="191">
        <f>S116+S117</f>
        <v>0</v>
      </c>
    </row>
    <row r="118" spans="2:21" hidden="1">
      <c r="B118" s="210" t="s">
        <v>154</v>
      </c>
      <c r="C118" s="211" t="s">
        <v>160</v>
      </c>
      <c r="E118" s="184"/>
      <c r="G118" s="196">
        <f>+E118*(C15+E15*2+1.5)</f>
        <v>0</v>
      </c>
      <c r="H118" s="196">
        <f>+E118*(C15+E15*2)*(D15+E15+F15)</f>
        <v>0</v>
      </c>
      <c r="I118" s="197">
        <f>+(C15+E15*2)*E118*F15</f>
        <v>0</v>
      </c>
      <c r="J118" s="197">
        <f>+E118*((C15+E15*2)*E15+(D15*E15*2))</f>
        <v>0</v>
      </c>
      <c r="K118" s="197">
        <f>+(D15+$K$104*(D15+E15))*E118*2</f>
        <v>0</v>
      </c>
      <c r="L118" s="187">
        <f>+(E118)/H15+ IF(E118&gt;0,1,0)</f>
        <v>0</v>
      </c>
      <c r="M118" s="198">
        <f>+ROUNDUP(L118,0)</f>
        <v>0</v>
      </c>
      <c r="N118" s="189">
        <f>+(D15+E15-0.08)*2+(C15+E15*2-0.08)</f>
        <v>2.5100000000000002</v>
      </c>
      <c r="O118" s="187">
        <f>+N118/J15+1</f>
        <v>11.040000000000001</v>
      </c>
      <c r="P118" s="198">
        <f>+ROUNDUP(O118,0)</f>
        <v>12</v>
      </c>
      <c r="Q118" s="188">
        <f>+E118+E118/6*50*(G15/1000)</f>
        <v>0</v>
      </c>
      <c r="R118" s="190">
        <f>+N118*M118+P118*Q118</f>
        <v>0</v>
      </c>
      <c r="S118" s="197">
        <f>((I15*I15)/162)*R118</f>
        <v>0</v>
      </c>
      <c r="T118" s="154" t="s">
        <v>156</v>
      </c>
    </row>
    <row r="119" spans="2:21" hidden="1">
      <c r="B119" s="210"/>
      <c r="C119" s="210" t="s">
        <v>101</v>
      </c>
      <c r="D119" s="191">
        <f>ROUNDUP(+E118/K15,0)</f>
        <v>0</v>
      </c>
      <c r="E119" s="184"/>
      <c r="G119" s="199"/>
      <c r="H119" s="199"/>
      <c r="I119" s="200"/>
      <c r="J119" s="200">
        <f>0.5*(0.075+0.05)*0.075*C15*D119</f>
        <v>0</v>
      </c>
      <c r="K119" s="200">
        <f>+(0.075+0.08)*C15*D119</f>
        <v>0</v>
      </c>
      <c r="L119" s="193">
        <f>+D119</f>
        <v>0</v>
      </c>
      <c r="M119" s="198">
        <f>+ROUNDUP(L119,0)</f>
        <v>0</v>
      </c>
      <c r="N119" s="194">
        <f>+(C15-0.08)+((0.075+0.05-0.04)*2)</f>
        <v>0.84000000000000008</v>
      </c>
      <c r="O119" s="193"/>
      <c r="P119" s="201"/>
      <c r="Q119" s="195"/>
      <c r="R119" s="190">
        <f>+N119*M119+P119*Q119</f>
        <v>0</v>
      </c>
      <c r="S119" s="197">
        <f>((I15*I15)/162)*R119</f>
        <v>0</v>
      </c>
      <c r="T119" s="154" t="s">
        <v>156</v>
      </c>
    </row>
    <row r="120" spans="2:21" hidden="1">
      <c r="B120" s="224" t="s">
        <v>161</v>
      </c>
      <c r="C120" s="210"/>
      <c r="D120" s="191"/>
      <c r="E120" s="184"/>
      <c r="G120" s="192"/>
      <c r="H120" s="192"/>
      <c r="I120" s="191"/>
      <c r="J120" s="191"/>
      <c r="K120" s="191"/>
      <c r="L120" s="193"/>
      <c r="M120" s="195"/>
      <c r="N120" s="194"/>
      <c r="O120" s="193"/>
      <c r="P120" s="195"/>
      <c r="Q120" s="195"/>
      <c r="R120" s="203"/>
      <c r="S120" s="191"/>
    </row>
    <row r="121" spans="2:21" hidden="1">
      <c r="B121" s="210"/>
      <c r="C121" s="224" t="s">
        <v>162</v>
      </c>
      <c r="D121" s="191"/>
      <c r="E121" s="184"/>
      <c r="G121" s="192"/>
      <c r="H121" s="192"/>
      <c r="I121" s="191"/>
      <c r="J121" s="191"/>
      <c r="K121" s="191"/>
      <c r="L121" s="193"/>
      <c r="M121" s="195"/>
      <c r="N121" s="194"/>
      <c r="O121" s="193"/>
      <c r="P121" s="195"/>
      <c r="Q121" s="195"/>
      <c r="R121" s="203"/>
      <c r="S121" s="191"/>
    </row>
    <row r="122" spans="2:21" hidden="1">
      <c r="B122" s="210"/>
      <c r="C122" s="224" t="s">
        <v>163</v>
      </c>
      <c r="D122" s="191"/>
      <c r="E122" s="184"/>
      <c r="G122" s="192"/>
      <c r="H122" s="192"/>
      <c r="I122" s="191"/>
      <c r="J122" s="191"/>
      <c r="K122" s="191"/>
      <c r="L122" s="193"/>
      <c r="M122" s="195"/>
      <c r="N122" s="194"/>
      <c r="O122" s="193"/>
      <c r="P122" s="195"/>
      <c r="Q122" s="195"/>
      <c r="R122" s="203"/>
      <c r="S122" s="191"/>
    </row>
    <row r="123" spans="2:21" hidden="1">
      <c r="B123" s="210"/>
      <c r="C123" s="210"/>
    </row>
    <row r="124" spans="2:21" hidden="1">
      <c r="B124" s="210" t="s">
        <v>154</v>
      </c>
      <c r="C124" s="211" t="s">
        <v>164</v>
      </c>
      <c r="E124" s="184"/>
      <c r="G124" s="196">
        <f>+E124*(C18+E18*2+1.5)</f>
        <v>0</v>
      </c>
      <c r="H124" s="196">
        <f>+E124*(C18+E18*2)*(D18+E18+F18)</f>
        <v>0</v>
      </c>
      <c r="I124" s="197">
        <f>+(C18+E18*2)*E124*F18</f>
        <v>0</v>
      </c>
      <c r="J124" s="197">
        <f>+E124*((C18+E18*2)*E18+(D18*E18*2))</f>
        <v>0</v>
      </c>
      <c r="K124" s="197">
        <f>+(D18+$K$104*(D18+E18))*E124*2</f>
        <v>0</v>
      </c>
      <c r="L124" s="187">
        <f>+(E124)/H18+ IF(E124&gt;0,1,0)</f>
        <v>0</v>
      </c>
      <c r="M124" s="198">
        <f>+ROUNDUP(L124,0)</f>
        <v>0</v>
      </c>
      <c r="N124" s="189">
        <f>+(D18+E18-0.08)*2+(C18+E18*2-0.08)</f>
        <v>3.06</v>
      </c>
      <c r="O124" s="187">
        <f>+N124/J18+1</f>
        <v>13.24</v>
      </c>
      <c r="P124" s="198">
        <f>+ROUNDUP(O124,0)</f>
        <v>14</v>
      </c>
      <c r="Q124" s="188">
        <f>+E124+E124/6*50*(G18/1000)</f>
        <v>0</v>
      </c>
      <c r="R124" s="190">
        <f>+N124*M124+P124*Q124</f>
        <v>0</v>
      </c>
      <c r="S124" s="197">
        <f>((I18*I18)/162)*R124</f>
        <v>0</v>
      </c>
      <c r="T124" s="154" t="s">
        <v>156</v>
      </c>
    </row>
    <row r="125" spans="2:21" hidden="1">
      <c r="B125" s="210"/>
      <c r="C125" s="210" t="s">
        <v>101</v>
      </c>
      <c r="D125" s="191">
        <f>ROUNDUP(+E124/K18,0)</f>
        <v>0</v>
      </c>
      <c r="E125" s="184"/>
      <c r="G125" s="199"/>
      <c r="H125" s="199"/>
      <c r="I125" s="200"/>
      <c r="J125" s="200">
        <f>0.5*(0.075+0.05)*0.075*C18*D125</f>
        <v>0</v>
      </c>
      <c r="K125" s="200">
        <f>+(0.075+0.08)*C18*D125</f>
        <v>0</v>
      </c>
      <c r="L125" s="193">
        <f>+D125</f>
        <v>0</v>
      </c>
      <c r="M125" s="198">
        <f>+ROUNDUP(L125,0)</f>
        <v>0</v>
      </c>
      <c r="N125" s="194">
        <f>+(C18-0.08)+((0.075+0.05-0.04)*2)</f>
        <v>0.99</v>
      </c>
      <c r="O125" s="193"/>
      <c r="P125" s="201"/>
      <c r="Q125" s="195"/>
      <c r="R125" s="190">
        <f>+N125*M125+P125*Q125</f>
        <v>0</v>
      </c>
      <c r="S125" s="197">
        <f>((I18*I18)/162)*R125</f>
        <v>0</v>
      </c>
      <c r="T125" s="154" t="s">
        <v>156</v>
      </c>
    </row>
    <row r="126" spans="2:21" hidden="1">
      <c r="B126" s="210"/>
      <c r="C126" s="210"/>
    </row>
    <row r="127" spans="2:21" hidden="1">
      <c r="B127" s="210" t="s">
        <v>154</v>
      </c>
      <c r="C127" s="211" t="s">
        <v>165</v>
      </c>
      <c r="E127" s="184"/>
      <c r="G127" s="185">
        <f>+E127*(C21+E21*2+3)</f>
        <v>0</v>
      </c>
      <c r="H127" s="185">
        <f>+E127*(C21+E21*2)*(D21+E21+F21)</f>
        <v>0</v>
      </c>
      <c r="I127" s="186">
        <f>+(C21+E21*2)*E127*F21</f>
        <v>0</v>
      </c>
      <c r="J127" s="186">
        <f>+E127*((C21+E21*2)*E21+(D21*E21*2))</f>
        <v>0</v>
      </c>
      <c r="K127" s="186">
        <f>+(D21+$K$104*(D21+E21))*E127*2</f>
        <v>0</v>
      </c>
      <c r="L127" s="187">
        <f>+(E127)/H21+ IF(E127&gt;0,1,0)</f>
        <v>0</v>
      </c>
      <c r="M127" s="188">
        <f>+ROUNDUP(L127,0)</f>
        <v>0</v>
      </c>
      <c r="N127" s="189">
        <f>+(D21+E21-0.08)*2+(C21+E21*2-0.08)</f>
        <v>3.3599999999999994</v>
      </c>
      <c r="O127" s="187">
        <f>+N127/J21+1</f>
        <v>14.439999999999998</v>
      </c>
      <c r="P127" s="188">
        <f>+ROUNDUP(O127,0)</f>
        <v>15</v>
      </c>
      <c r="Q127" s="188">
        <f>+E127+E127/6*50*(G21/1000)</f>
        <v>0</v>
      </c>
      <c r="R127" s="190">
        <f>+N127*M127+P127*Q127</f>
        <v>0</v>
      </c>
      <c r="S127" s="186">
        <f>((I21*I21)/162)*R127</f>
        <v>0</v>
      </c>
      <c r="T127" s="154" t="s">
        <v>156</v>
      </c>
    </row>
    <row r="128" spans="2:21" hidden="1">
      <c r="B128" s="210"/>
      <c r="C128" s="210" t="s">
        <v>101</v>
      </c>
      <c r="D128" s="191">
        <f>ROUNDUP(+E127/K21,0)</f>
        <v>0</v>
      </c>
      <c r="E128" s="184"/>
      <c r="G128" s="192"/>
      <c r="H128" s="192"/>
      <c r="I128" s="191"/>
      <c r="J128" s="191">
        <f>0.5*(0.075+0.05)*0.075*C21*D128</f>
        <v>0</v>
      </c>
      <c r="K128" s="191">
        <f>+(0.075+0.08)*C21*D128</f>
        <v>0</v>
      </c>
      <c r="L128" s="193">
        <f>+D128</f>
        <v>0</v>
      </c>
      <c r="M128" s="188">
        <f>+ROUNDUP(L128,0)</f>
        <v>0</v>
      </c>
      <c r="N128" s="194">
        <f>+(C21-0.08)+((0.075+0.05-0.04)*2)</f>
        <v>1.0900000000000001</v>
      </c>
      <c r="O128" s="193"/>
      <c r="P128" s="195"/>
      <c r="Q128" s="195"/>
      <c r="R128" s="190">
        <f>+N128*M128+P128*Q128</f>
        <v>0</v>
      </c>
      <c r="S128" s="186">
        <f>((I21*I21)/162)*R128</f>
        <v>0</v>
      </c>
      <c r="T128" s="154" t="s">
        <v>156</v>
      </c>
    </row>
    <row r="129" spans="2:20" hidden="1">
      <c r="B129" s="210"/>
      <c r="C129" s="210"/>
    </row>
    <row r="130" spans="2:20" hidden="1">
      <c r="B130" s="210" t="s">
        <v>154</v>
      </c>
      <c r="C130" s="211" t="s">
        <v>166</v>
      </c>
      <c r="E130" s="184"/>
      <c r="G130" s="196">
        <f>+E130*(C24+E24*2+1.5)</f>
        <v>0</v>
      </c>
      <c r="H130" s="196">
        <f>+E130*(C24+E24*2)*(((D24+E24+F24)*2+0.1)/2)</f>
        <v>0</v>
      </c>
      <c r="I130" s="197">
        <f>+(C24+E24*2)*E130*F24</f>
        <v>0</v>
      </c>
      <c r="J130" s="197">
        <f>+E130*((C24+E24*2)*E24+(D24*E24)+((D24+0.1)*E24))</f>
        <v>0</v>
      </c>
      <c r="K130" s="197">
        <f>+((D24*2)+$K$104*((D24+E24)+(D24+E24+0.1)))*E130</f>
        <v>0</v>
      </c>
      <c r="L130" s="187">
        <f>+(E130)/H24+ IF(E130&gt;0,1,0)</f>
        <v>0</v>
      </c>
      <c r="M130" s="198">
        <f>+ROUNDUP(L130,0)</f>
        <v>0</v>
      </c>
      <c r="N130" s="189">
        <f>+(D24+E24-0.08)+(D24+E24+0.1-0.08)+(C24+E24*2-0.08)</f>
        <v>1.1599999999999999</v>
      </c>
      <c r="O130" s="187">
        <f>+N130/J24+1</f>
        <v>5.64</v>
      </c>
      <c r="P130" s="198">
        <f>+ROUNDUP(O130,0)</f>
        <v>6</v>
      </c>
      <c r="Q130" s="188">
        <f>+E130+E130/6*50*(G24/1000)</f>
        <v>0</v>
      </c>
      <c r="R130" s="190">
        <f>+N130*M130+P130*Q130</f>
        <v>0</v>
      </c>
      <c r="S130" s="197">
        <f>((I24*I24)/162)*R130</f>
        <v>0</v>
      </c>
      <c r="T130" s="154" t="s">
        <v>156</v>
      </c>
    </row>
    <row r="131" spans="2:20" hidden="1">
      <c r="B131" s="210"/>
      <c r="C131" s="210" t="s">
        <v>101</v>
      </c>
      <c r="D131" s="191">
        <f>ROUNDUP(+E130/K24,0)</f>
        <v>0</v>
      </c>
      <c r="E131" s="184"/>
      <c r="G131" s="199"/>
      <c r="H131" s="199"/>
      <c r="I131" s="200"/>
      <c r="J131" s="200">
        <f>0.5*(0.075+0.05)*0.075*C24*D131</f>
        <v>0</v>
      </c>
      <c r="K131" s="200">
        <f>+(0.075+0.08)*C24*D131</f>
        <v>0</v>
      </c>
      <c r="L131" s="193">
        <f>+D131</f>
        <v>0</v>
      </c>
      <c r="M131" s="198">
        <f>+ROUNDUP(L131,0)</f>
        <v>0</v>
      </c>
      <c r="N131" s="194">
        <f>+(C24-0.08)+((0.075+0.05-0.04)*2)</f>
        <v>0.38999999999999996</v>
      </c>
      <c r="O131" s="193"/>
      <c r="P131" s="201"/>
      <c r="Q131" s="195"/>
      <c r="R131" s="190">
        <f>+N131*M131+P131*Q131</f>
        <v>0</v>
      </c>
      <c r="S131" s="197">
        <f>((I24*I24)/162)*R131</f>
        <v>0</v>
      </c>
      <c r="T131" s="154" t="s">
        <v>156</v>
      </c>
    </row>
    <row r="132" spans="2:20" hidden="1">
      <c r="B132" s="210"/>
      <c r="C132" s="210"/>
    </row>
    <row r="133" spans="2:20" hidden="1">
      <c r="B133" s="210" t="s">
        <v>154</v>
      </c>
      <c r="C133" s="211" t="s">
        <v>167</v>
      </c>
      <c r="E133" s="184"/>
      <c r="G133" s="185">
        <f>+E133*(C27+E27*2+1.5)</f>
        <v>0</v>
      </c>
      <c r="H133" s="185">
        <f>+E133*(C27+E27*2)*(((D27+E27+F27)*2+0.1)/2)</f>
        <v>0</v>
      </c>
      <c r="I133" s="186">
        <f>+(C27+E27*2)*E133*F27</f>
        <v>0</v>
      </c>
      <c r="J133" s="186">
        <f>+E133*((C27+E27*2)*E27+(D27*E27)+((D27+0.1)*E27))</f>
        <v>0</v>
      </c>
      <c r="K133" s="186">
        <f>+((D27*2)+$K$104*((D27+E27)+(D27+E27+0.1)))*E133</f>
        <v>0</v>
      </c>
      <c r="L133" s="187">
        <f>+(E133)/H27+ IF(E133&gt;0,1,0)</f>
        <v>0</v>
      </c>
      <c r="M133" s="188">
        <f>+ROUNDUP(L133,0)</f>
        <v>0</v>
      </c>
      <c r="N133" s="189">
        <f>+(D27+E27-0.08)+(D27+E27+0.1-0.08)+(C27+E27*2-0.08)</f>
        <v>2.06</v>
      </c>
      <c r="O133" s="187">
        <f>+N133/J27+1</f>
        <v>9.24</v>
      </c>
      <c r="P133" s="188">
        <f>+ROUNDUP(O133,0)</f>
        <v>10</v>
      </c>
      <c r="Q133" s="188">
        <f>+E133+E133/6*50*(G27/1000)</f>
        <v>0</v>
      </c>
      <c r="R133" s="190">
        <f>+N133*M133+P133*Q133</f>
        <v>0</v>
      </c>
      <c r="S133" s="186">
        <f>((I27*I27)/162)*R133</f>
        <v>0</v>
      </c>
      <c r="T133" s="154" t="s">
        <v>156</v>
      </c>
    </row>
    <row r="134" spans="2:20" hidden="1">
      <c r="B134" s="210"/>
      <c r="C134" s="210" t="s">
        <v>101</v>
      </c>
      <c r="D134" s="191">
        <f>ROUNDUP(+E133/K27,0)</f>
        <v>0</v>
      </c>
      <c r="E134" s="184"/>
      <c r="G134" s="192"/>
      <c r="H134" s="192"/>
      <c r="I134" s="191"/>
      <c r="J134" s="191">
        <f>0.5*(0.075+0.05)*0.075*C27*D134</f>
        <v>0</v>
      </c>
      <c r="K134" s="191">
        <f>+(0.075+0.08)*C27*D134</f>
        <v>0</v>
      </c>
      <c r="L134" s="193">
        <f>+D134</f>
        <v>0</v>
      </c>
      <c r="M134" s="188">
        <f>+ROUNDUP(L134,0)</f>
        <v>0</v>
      </c>
      <c r="N134" s="194">
        <f>+(C27-0.08)+((0.075+0.05-0.04)*2)</f>
        <v>0.69</v>
      </c>
      <c r="O134" s="193"/>
      <c r="P134" s="195"/>
      <c r="Q134" s="195"/>
      <c r="R134" s="190">
        <f>+N134*M134+P134*Q134</f>
        <v>0</v>
      </c>
      <c r="S134" s="186">
        <f>((I27*I27)/162)*R134</f>
        <v>0</v>
      </c>
      <c r="T134" s="154" t="s">
        <v>156</v>
      </c>
    </row>
    <row r="135" spans="2:20" hidden="1">
      <c r="B135" s="210"/>
      <c r="C135" s="210"/>
    </row>
    <row r="136" spans="2:20" hidden="1">
      <c r="B136" s="210" t="s">
        <v>154</v>
      </c>
      <c r="C136" s="211" t="s">
        <v>168</v>
      </c>
      <c r="E136" s="184"/>
      <c r="G136" s="185">
        <f>+E136*(C30+E30*2+0.5)</f>
        <v>0</v>
      </c>
      <c r="H136" s="185">
        <f>+E136*(C30+E30*2)*(((D30+E30+F30)*2+0.1)/2)</f>
        <v>0</v>
      </c>
      <c r="I136" s="186">
        <f>+(C30+E30*2)*E136*F30</f>
        <v>0</v>
      </c>
      <c r="J136" s="186">
        <f>+E136*((C30+E30*2)*E30+(D30*E30)+((D30+0.1)*E30))</f>
        <v>0</v>
      </c>
      <c r="K136" s="186">
        <f>+((D30*2)+$K$104*((D30+E30)+(D30+E30+0.1)))*E136</f>
        <v>0</v>
      </c>
      <c r="L136" s="187">
        <f>+(E136)/H30+ IF(E136&gt;0,1,0)</f>
        <v>0</v>
      </c>
      <c r="M136" s="188">
        <f>+ROUNDUP(L136,0)</f>
        <v>0</v>
      </c>
      <c r="N136" s="189">
        <f>+(D30+E30-0.08)+(D30+E30+0.1-0.08)+(C30+E30*2-0.08)</f>
        <v>1.1599999999999999</v>
      </c>
      <c r="O136" s="187">
        <f>+N136/J30+1</f>
        <v>5.64</v>
      </c>
      <c r="P136" s="188">
        <f>+ROUNDUP(O136,0)</f>
        <v>6</v>
      </c>
      <c r="Q136" s="188">
        <f>+E136+E136/6*50*(G30/1000)</f>
        <v>0</v>
      </c>
      <c r="R136" s="190">
        <f>+N136*M136+P136*Q136</f>
        <v>0</v>
      </c>
      <c r="S136" s="186">
        <f>((I30*I30)/162)*R136</f>
        <v>0</v>
      </c>
      <c r="T136" s="154" t="s">
        <v>156</v>
      </c>
    </row>
    <row r="137" spans="2:20" hidden="1">
      <c r="B137" s="210"/>
      <c r="C137" s="210" t="s">
        <v>121</v>
      </c>
      <c r="D137" s="191"/>
      <c r="E137" s="184"/>
      <c r="G137" s="185">
        <f>+E137*(C31+0.5)</f>
        <v>0</v>
      </c>
      <c r="H137" s="192">
        <f>+E137*C31*E31</f>
        <v>0</v>
      </c>
      <c r="I137" s="191"/>
      <c r="J137" s="191">
        <f>+E137*C31*E31</f>
        <v>0</v>
      </c>
      <c r="K137" s="191">
        <f>+E137*E31</f>
        <v>0</v>
      </c>
      <c r="L137" s="187">
        <f>+(E137)/H31+ IF(E137&gt;0,1,0)</f>
        <v>0</v>
      </c>
      <c r="M137" s="188">
        <f>+ROUNDUP(L137,0)</f>
        <v>0</v>
      </c>
      <c r="N137" s="189">
        <f>+C31-0.04</f>
        <v>1.46</v>
      </c>
      <c r="O137" s="187">
        <f>+N137/J31+1</f>
        <v>10.733333333333334</v>
      </c>
      <c r="P137" s="188">
        <f>+ROUNDUP(O137,0)</f>
        <v>11</v>
      </c>
      <c r="Q137" s="188">
        <f>+E137+E137/6*50*(G31/1000)</f>
        <v>0</v>
      </c>
      <c r="R137" s="190">
        <f>+N137*M137+P137*Q137</f>
        <v>0</v>
      </c>
      <c r="S137" s="186">
        <f>((I31*I31)/162)*R137</f>
        <v>0</v>
      </c>
      <c r="T137" s="154" t="s">
        <v>156</v>
      </c>
    </row>
    <row r="138" spans="2:20" hidden="1">
      <c r="B138" s="210"/>
      <c r="C138" s="210"/>
      <c r="N138" s="189"/>
    </row>
    <row r="139" spans="2:20" hidden="1">
      <c r="B139" s="210" t="s">
        <v>154</v>
      </c>
      <c r="C139" s="211" t="s">
        <v>169</v>
      </c>
      <c r="E139" s="184"/>
      <c r="G139" s="196">
        <f>+E139*(C33+E33*2+0.5)</f>
        <v>0</v>
      </c>
      <c r="H139" s="196">
        <f>+E139*(C33+E33*2)*(((D33+E33+F33)*2+0.1)/2)</f>
        <v>0</v>
      </c>
      <c r="I139" s="197">
        <f>+(C33+E33*2)*E139*F33</f>
        <v>0</v>
      </c>
      <c r="J139" s="197">
        <f>+E139*((C33+E33*2)*E33+(D33*E33)+((D33+0.1)*E33))</f>
        <v>0</v>
      </c>
      <c r="K139" s="197">
        <f>+((D33*2)+$K$104*((D33+E33)+(D33+E33+0.1)))*E139</f>
        <v>0</v>
      </c>
      <c r="L139" s="187">
        <f>+(E139)/H33+ IF(E139&gt;0,1,0)</f>
        <v>0</v>
      </c>
      <c r="M139" s="198">
        <f>+ROUNDUP(L139,0)</f>
        <v>0</v>
      </c>
      <c r="N139" s="189">
        <f>+(D33+E33-0.08)+(D33+E33+0.1-0.08)+(C33+E33*2-0.08)</f>
        <v>1.61</v>
      </c>
      <c r="O139" s="187">
        <f>+N139/J33+1</f>
        <v>7.44</v>
      </c>
      <c r="P139" s="198">
        <f>+ROUNDUP(O139,0)</f>
        <v>8</v>
      </c>
      <c r="Q139" s="188">
        <f>+E139+E139/6*50*(G33/1000)</f>
        <v>0</v>
      </c>
      <c r="R139" s="190">
        <f>+N139*M139+P139*Q139</f>
        <v>0</v>
      </c>
      <c r="S139" s="197">
        <f>((I33*I33)/162)*R139</f>
        <v>0</v>
      </c>
      <c r="T139" s="154" t="s">
        <v>156</v>
      </c>
    </row>
    <row r="140" spans="2:20" hidden="1">
      <c r="B140" s="210"/>
      <c r="C140" s="210" t="s">
        <v>121</v>
      </c>
      <c r="D140" s="191"/>
      <c r="E140" s="184"/>
      <c r="G140" s="196">
        <f>+E140*(C34+0.5)</f>
        <v>0</v>
      </c>
      <c r="H140" s="199">
        <f>+E140*C34*E34</f>
        <v>0</v>
      </c>
      <c r="I140" s="200"/>
      <c r="J140" s="200">
        <f>+E140*C34*E34</f>
        <v>0</v>
      </c>
      <c r="K140" s="200">
        <f>+E140*E34</f>
        <v>0</v>
      </c>
      <c r="L140" s="187">
        <f>+(E140)/H34+ IF(E140&gt;0,1,0)</f>
        <v>0</v>
      </c>
      <c r="M140" s="198">
        <f>+ROUNDUP(L140,0)</f>
        <v>0</v>
      </c>
      <c r="N140" s="189">
        <f>+C34-0.04</f>
        <v>1.46</v>
      </c>
      <c r="O140" s="187">
        <f>+N140/J34+1</f>
        <v>10.733333333333334</v>
      </c>
      <c r="P140" s="198">
        <f>+ROUNDUP(O140,0)</f>
        <v>11</v>
      </c>
      <c r="Q140" s="188">
        <f>+E140+E140/6*50*(G34/1000)</f>
        <v>0</v>
      </c>
      <c r="R140" s="190">
        <f>+N140*M140+P140*Q140</f>
        <v>0</v>
      </c>
      <c r="S140" s="197">
        <f>((I34*I34)/162)*R140</f>
        <v>0</v>
      </c>
      <c r="T140" s="154" t="s">
        <v>156</v>
      </c>
    </row>
    <row r="141" spans="2:20" hidden="1">
      <c r="B141" s="210"/>
      <c r="C141" s="210"/>
      <c r="N141" s="189"/>
    </row>
    <row r="142" spans="2:20" hidden="1">
      <c r="B142" s="210" t="s">
        <v>154</v>
      </c>
      <c r="C142" s="211" t="s">
        <v>170</v>
      </c>
      <c r="E142" s="184"/>
      <c r="G142" s="196">
        <f>+E142*(C36+E36*2+0.5)</f>
        <v>0</v>
      </c>
      <c r="H142" s="196">
        <f>+E142*(C36+E36*2)*(((D36+E36+F36)*2+0.1)/2)</f>
        <v>0</v>
      </c>
      <c r="I142" s="197">
        <f>+(C36+E36*2)*E142*F36</f>
        <v>0</v>
      </c>
      <c r="J142" s="197">
        <f>+E142*((C36+E36*2)*E36+(D36*E36)+((D36+0.1)*E36))</f>
        <v>0</v>
      </c>
      <c r="K142" s="197">
        <f>+((D36*2)+$K$104*((D36+E36)+(D36+E36+0.1)))*E142</f>
        <v>0</v>
      </c>
      <c r="L142" s="187">
        <f>+(E142)/H36+ IF(E142&gt;0,1,0)</f>
        <v>0</v>
      </c>
      <c r="M142" s="198">
        <f>+ROUNDUP(L142,0)</f>
        <v>0</v>
      </c>
      <c r="N142" s="189">
        <f>+(D36+E36-0.08)+(D36+E36+0.1-0.08)+(C36+E36*2-0.08)</f>
        <v>1.5599999999999998</v>
      </c>
      <c r="O142" s="187">
        <f>+N142/J36+1</f>
        <v>7.2399999999999993</v>
      </c>
      <c r="P142" s="198">
        <f>+ROUNDUP(O142,0)</f>
        <v>8</v>
      </c>
      <c r="Q142" s="188">
        <f>+E142+E142/6*50*(G36/1000)</f>
        <v>0</v>
      </c>
      <c r="R142" s="190">
        <f>+N142*M142+P142*Q142</f>
        <v>0</v>
      </c>
      <c r="S142" s="197">
        <f>((I36*I36)/162)*R142</f>
        <v>0</v>
      </c>
      <c r="T142" s="154" t="s">
        <v>156</v>
      </c>
    </row>
    <row r="143" spans="2:20" hidden="1">
      <c r="B143" s="210"/>
      <c r="C143" s="210" t="s">
        <v>121</v>
      </c>
      <c r="D143" s="191"/>
      <c r="E143" s="184"/>
      <c r="G143" s="196">
        <f>+E143*(C37+0.5)</f>
        <v>0</v>
      </c>
      <c r="H143" s="199">
        <f>+E143*C37*E37</f>
        <v>0</v>
      </c>
      <c r="I143" s="200"/>
      <c r="J143" s="200">
        <f>+E143*C37*E37</f>
        <v>0</v>
      </c>
      <c r="K143" s="200">
        <f>+E143*E37</f>
        <v>0</v>
      </c>
      <c r="L143" s="187">
        <f>+(E143)/H37+ IF(E143&gt;0,1,0)</f>
        <v>0</v>
      </c>
      <c r="M143" s="198">
        <f>+ROUNDUP(L143,0)</f>
        <v>0</v>
      </c>
      <c r="N143" s="189">
        <f>+C37-0.04</f>
        <v>1.46</v>
      </c>
      <c r="O143" s="187">
        <f>+N143/J37+1</f>
        <v>10.733333333333334</v>
      </c>
      <c r="P143" s="198">
        <f>+ROUNDUP(O143,0)</f>
        <v>11</v>
      </c>
      <c r="Q143" s="188">
        <f>+E143+E143/6*50*(G37/1000)</f>
        <v>0</v>
      </c>
      <c r="R143" s="190">
        <f>+N143*M143+P143*Q143</f>
        <v>0</v>
      </c>
      <c r="S143" s="197">
        <f>((I37*I37)/162)*R143</f>
        <v>0</v>
      </c>
      <c r="T143" s="154" t="s">
        <v>156</v>
      </c>
    </row>
    <row r="144" spans="2:20" hidden="1">
      <c r="B144" s="210"/>
      <c r="C144" s="210"/>
      <c r="N144" s="189"/>
    </row>
    <row r="145" spans="2:20" hidden="1">
      <c r="B145" s="225" t="s">
        <v>154</v>
      </c>
      <c r="C145" s="226" t="s">
        <v>171</v>
      </c>
      <c r="E145" s="184"/>
      <c r="G145" s="185">
        <f>+E145*(C39+E39)</f>
        <v>0</v>
      </c>
      <c r="H145" s="185">
        <f>+E145*(C39+E39)*E39</f>
        <v>0</v>
      </c>
      <c r="I145" s="186">
        <f>+E145*(C39+E39)*F39</f>
        <v>0</v>
      </c>
      <c r="J145" s="186">
        <f>+E145*((C39+E39)*E39+(E39*D39))</f>
        <v>0</v>
      </c>
      <c r="K145" s="186">
        <f>+E145*(E39*2+D39*2)</f>
        <v>0</v>
      </c>
      <c r="L145" s="187">
        <f>+(E145)/H39+ IF(E145&gt;0,1,0)</f>
        <v>0</v>
      </c>
      <c r="M145" s="188">
        <f>+ROUNDUP(L145,0)</f>
        <v>0</v>
      </c>
      <c r="N145" s="189">
        <f>+(C39+E39-0.08)+(D39+E39-0.08)</f>
        <v>1.24</v>
      </c>
      <c r="O145" s="187">
        <f>+N145/J39+1</f>
        <v>5.96</v>
      </c>
      <c r="P145" s="188">
        <f>+ROUNDUP(O145,0)</f>
        <v>6</v>
      </c>
      <c r="Q145" s="188">
        <f>+E145+E145/6*50*(G39/1000)</f>
        <v>0</v>
      </c>
      <c r="R145" s="190">
        <f>+N145*M145+P145*Q145</f>
        <v>0</v>
      </c>
      <c r="S145" s="186">
        <f>((I39*I39)/162)*R145</f>
        <v>0</v>
      </c>
      <c r="T145" s="154" t="s">
        <v>156</v>
      </c>
    </row>
    <row r="146" spans="2:20" hidden="1">
      <c r="B146" s="210"/>
      <c r="C146" s="210"/>
      <c r="N146" s="189"/>
    </row>
    <row r="147" spans="2:20" hidden="1">
      <c r="B147" s="210" t="s">
        <v>154</v>
      </c>
      <c r="C147" s="211" t="s">
        <v>172</v>
      </c>
      <c r="E147" s="184"/>
      <c r="G147" s="196">
        <f>+E147*(C41+E41)</f>
        <v>0</v>
      </c>
      <c r="H147" s="196">
        <f>+E147*(C41+E41)*E41</f>
        <v>0</v>
      </c>
      <c r="I147" s="197">
        <f>+E147*(C41+E41)*F41</f>
        <v>0</v>
      </c>
      <c r="J147" s="197">
        <f>+E147*((C41+E41)*E41+(E41*D41))</f>
        <v>0</v>
      </c>
      <c r="K147" s="197">
        <f>+E147*(E41*2+D41*2)</f>
        <v>0</v>
      </c>
      <c r="L147" s="187">
        <f>+(E147)/H41+ IF(E147&gt;0,1,0)</f>
        <v>0</v>
      </c>
      <c r="M147" s="198">
        <f>+ROUNDUP(L147,0)</f>
        <v>0</v>
      </c>
      <c r="N147" s="189">
        <f>+(C41+E41-0.08)+(D41+E41-0.08)</f>
        <v>1.34</v>
      </c>
      <c r="O147" s="187">
        <f>+N147/J41+1</f>
        <v>6.36</v>
      </c>
      <c r="P147" s="198">
        <f>+ROUNDUP(O147,0)</f>
        <v>7</v>
      </c>
      <c r="Q147" s="188">
        <f>+E147+E147/6*50*(G41/1000)</f>
        <v>0</v>
      </c>
      <c r="R147" s="190">
        <f>+N147*M147+P147*Q147</f>
        <v>0</v>
      </c>
      <c r="S147" s="197">
        <f>((I41*I41)/162)*R147</f>
        <v>0</v>
      </c>
      <c r="T147" s="154" t="s">
        <v>156</v>
      </c>
    </row>
    <row r="148" spans="2:20" hidden="1">
      <c r="B148" s="210"/>
      <c r="C148" s="210"/>
      <c r="N148" s="189"/>
    </row>
    <row r="149" spans="2:20" hidden="1">
      <c r="B149" s="210" t="s">
        <v>154</v>
      </c>
      <c r="C149" s="211" t="s">
        <v>173</v>
      </c>
      <c r="E149" s="184"/>
      <c r="G149" s="196">
        <f>+E149*(C43+E43*2+1.5)</f>
        <v>0</v>
      </c>
      <c r="H149" s="196">
        <f>+E149*(C43+E43*2)*(((D43+E43+F43)*2+0.6)/2)</f>
        <v>0</v>
      </c>
      <c r="I149" s="197">
        <f>+(C43+E43*2)*E149*F43</f>
        <v>0</v>
      </c>
      <c r="J149" s="197">
        <f>+E149*((C43+E43*2)*E43+(D43*E43)+((D43+0.6)*E43))</f>
        <v>0</v>
      </c>
      <c r="K149" s="197">
        <f>+((D43*2)+$K$104*((D43+E43)+(D43+E43+0.6)))*E149</f>
        <v>0</v>
      </c>
      <c r="L149" s="187">
        <f>+(E149)/H43+ IF(E149&gt;0,1,0)</f>
        <v>0</v>
      </c>
      <c r="M149" s="198">
        <f>+ROUNDUP(L149,0)</f>
        <v>0</v>
      </c>
      <c r="N149" s="189">
        <f>+(E43+D43+E43+C43+2*E43+E43+D43+0.6+E43-9*0.04)+(E43+D43+2*E43-5*0.04)+(E43+0.6+D43+2*E43-5*0.04)+(C43+4*E43-6*0.04)</f>
        <v>6.2</v>
      </c>
      <c r="O149" s="187">
        <f>2*(D43/J43+1)+2*((D43+0.6)/J43+1)+((C43+2*E43)/J43+1)</f>
        <v>23</v>
      </c>
      <c r="P149" s="198">
        <f>+ROUNDUP(O149,0)</f>
        <v>23</v>
      </c>
      <c r="Q149" s="188">
        <f>+E149+E149/6*50*(G43/1000)</f>
        <v>0</v>
      </c>
      <c r="R149" s="190">
        <f>+N149*M149+P149*Q149</f>
        <v>0</v>
      </c>
      <c r="S149" s="197">
        <f>((I43*I43)/162)*R149</f>
        <v>0</v>
      </c>
      <c r="T149" s="154" t="s">
        <v>156</v>
      </c>
    </row>
    <row r="150" spans="2:20" hidden="1">
      <c r="B150" s="210"/>
      <c r="C150" s="210"/>
    </row>
    <row r="151" spans="2:20" hidden="1">
      <c r="B151" s="210" t="s">
        <v>154</v>
      </c>
      <c r="C151" s="211" t="s">
        <v>174</v>
      </c>
      <c r="E151" s="184"/>
      <c r="G151" s="196">
        <f>+E151*(C45+E45*2+1.5)</f>
        <v>0</v>
      </c>
      <c r="H151" s="196">
        <f>+E151*(C45+E45*2)*(((D45+E45+F45)*2+0.6)/2)</f>
        <v>0</v>
      </c>
      <c r="I151" s="197">
        <f>+(C45+E45*2)*E151*F45</f>
        <v>0</v>
      </c>
      <c r="J151" s="197">
        <f>+E151*((C45+E45*2)*E45+(D45*E45)+((D45+0.6)*E45))</f>
        <v>0</v>
      </c>
      <c r="K151" s="197">
        <f>+((D45*2)+$K$104*((D45+E45)+(D45+E45+0.6)))*E151</f>
        <v>0</v>
      </c>
      <c r="L151" s="187">
        <f>+(E151)/H45+ IF(E151&gt;0,1,0)</f>
        <v>0</v>
      </c>
      <c r="M151" s="198">
        <f>+ROUNDUP(L151,0)</f>
        <v>0</v>
      </c>
      <c r="N151" s="189">
        <f>+(E45+D45+E45+C45+2*E45+E45+D45+0.6+E45-9*0.04)+(E45+D45+2*E45-5*0.04)+(E45+0.6+D45+2*E45-5*0.04)+(C45+4*E45-6*0.04)</f>
        <v>7.4000000000000012</v>
      </c>
      <c r="O151" s="187">
        <f>2*(D45/J45+1)+2*((D45+0.6)/J45+1)+((C45+2*E45)/J45+1)</f>
        <v>27</v>
      </c>
      <c r="P151" s="198">
        <f>+ROUNDUP(O151,0)</f>
        <v>27</v>
      </c>
      <c r="Q151" s="188">
        <f>+E151+E151/6*50*(G45/1000)</f>
        <v>0</v>
      </c>
      <c r="R151" s="190">
        <f>+N151*M151+P151*Q151</f>
        <v>0</v>
      </c>
      <c r="S151" s="197">
        <f>((I45*I45)/162)*R151</f>
        <v>0</v>
      </c>
      <c r="T151" s="154" t="s">
        <v>156</v>
      </c>
    </row>
    <row r="152" spans="2:20" hidden="1">
      <c r="B152" s="210"/>
      <c r="C152" s="210"/>
    </row>
    <row r="153" spans="2:20" hidden="1">
      <c r="B153" s="210" t="s">
        <v>154</v>
      </c>
      <c r="C153" s="211" t="s">
        <v>175</v>
      </c>
      <c r="E153" s="184"/>
      <c r="G153" s="196">
        <f>+E153*(C47+E47*2+1.5)</f>
        <v>0</v>
      </c>
      <c r="H153" s="196">
        <f>+E153*(C47+E47*2)*(D47+F47+F47)</f>
        <v>0</v>
      </c>
      <c r="I153" s="197">
        <f>+(C47+E47*2)*E153*F47</f>
        <v>0</v>
      </c>
      <c r="J153" s="197">
        <f>+E153*((C47+E47*2)*E47+(D47*E47*2))</f>
        <v>0</v>
      </c>
      <c r="K153" s="197">
        <f>+(D47+$K$104*(D47+E47))*E153*2</f>
        <v>0</v>
      </c>
      <c r="L153" s="187">
        <f>+(E153)/H47+ IF(E153&gt;0,1,0)</f>
        <v>0</v>
      </c>
      <c r="M153" s="198">
        <f>+ROUNDUP(L153,0)</f>
        <v>0</v>
      </c>
      <c r="N153" s="189">
        <f>+(D47+E47-0.08)*2+(C47+E47*2-0.08)</f>
        <v>2.36</v>
      </c>
      <c r="O153" s="187">
        <f>+N153/J47+1</f>
        <v>10.44</v>
      </c>
      <c r="P153" s="198">
        <f>+ROUNDUP(O153,0)</f>
        <v>11</v>
      </c>
      <c r="Q153" s="188">
        <f>+E153+E153/6*50*(G47/1000)</f>
        <v>0</v>
      </c>
      <c r="R153" s="190">
        <f>+N153*M153+P153*Q153</f>
        <v>0</v>
      </c>
      <c r="S153" s="197">
        <f>((I47*I47)/162)*R153</f>
        <v>0</v>
      </c>
      <c r="T153" s="154" t="s">
        <v>156</v>
      </c>
    </row>
    <row r="154" spans="2:20" hidden="1">
      <c r="B154" s="210"/>
      <c r="C154" s="210" t="s">
        <v>101</v>
      </c>
      <c r="D154" s="191">
        <f>ROUNDUP(+E153/K47,0)</f>
        <v>0</v>
      </c>
      <c r="E154" s="184"/>
      <c r="G154" s="199"/>
      <c r="H154" s="199"/>
      <c r="I154" s="200"/>
      <c r="J154" s="200">
        <f>0.5*(0.075+0.05)*0.075*C47*D154</f>
        <v>0</v>
      </c>
      <c r="K154" s="200">
        <f>+(0.075+0.08)*C47*D154</f>
        <v>0</v>
      </c>
      <c r="L154" s="193">
        <f>+D154</f>
        <v>0</v>
      </c>
      <c r="M154" s="198">
        <f>+ROUNDUP(L154,0)</f>
        <v>0</v>
      </c>
      <c r="N154" s="194">
        <f>+(C47-0.08)+((0.075+0.05-2*0.04)*2)</f>
        <v>1.01</v>
      </c>
      <c r="O154" s="193"/>
      <c r="P154" s="201"/>
      <c r="Q154" s="195"/>
      <c r="R154" s="190">
        <f>+N154*M154+P154*Q154</f>
        <v>0</v>
      </c>
      <c r="S154" s="197">
        <f>((I47*I47)/162)*R154</f>
        <v>0</v>
      </c>
      <c r="T154" s="154" t="s">
        <v>156</v>
      </c>
    </row>
    <row r="155" spans="2:20" hidden="1">
      <c r="B155" s="210"/>
      <c r="C155" s="210"/>
      <c r="E155" s="184"/>
      <c r="M155" s="204"/>
    </row>
    <row r="156" spans="2:20" hidden="1">
      <c r="B156" s="210" t="s">
        <v>154</v>
      </c>
      <c r="C156" s="211" t="s">
        <v>176</v>
      </c>
      <c r="E156" s="184"/>
      <c r="G156" s="196">
        <f>+E156*(C50+E50*2+1.5)</f>
        <v>0</v>
      </c>
      <c r="H156" s="196">
        <f>+E156*(C50+E50*2)*(D50+F50+F50)</f>
        <v>0</v>
      </c>
      <c r="I156" s="197">
        <f>+(C50+E50*2)*E156*F50</f>
        <v>0</v>
      </c>
      <c r="J156" s="197">
        <f>+E156*((C50+E50*2)*E50+(D50*E50*2))</f>
        <v>0</v>
      </c>
      <c r="K156" s="197">
        <f>+(D50+$K$104*(D50+E50))*E156*2</f>
        <v>0</v>
      </c>
      <c r="L156" s="187">
        <f>+(E156)/H50+ IF(E156&gt;0,1,0)</f>
        <v>0</v>
      </c>
      <c r="M156" s="198">
        <f>+ROUNDUP(L156,0)</f>
        <v>0</v>
      </c>
      <c r="N156" s="189">
        <f>+(D50+E50-0.08)*2+(C50+E50*2-0.08)</f>
        <v>2.8600000000000003</v>
      </c>
      <c r="O156" s="187">
        <f>+N156/J50+1</f>
        <v>12.440000000000001</v>
      </c>
      <c r="P156" s="198">
        <f>+ROUNDUP(O156,0)</f>
        <v>13</v>
      </c>
      <c r="Q156" s="188">
        <f>+E156+E156/6*50*(G50/1000)</f>
        <v>0</v>
      </c>
      <c r="R156" s="190">
        <f>+N156*M156+P156*Q156</f>
        <v>0</v>
      </c>
      <c r="S156" s="197">
        <f>((I50*I50)/162)*R156</f>
        <v>0</v>
      </c>
      <c r="T156" s="154" t="s">
        <v>156</v>
      </c>
    </row>
    <row r="157" spans="2:20" hidden="1">
      <c r="B157" s="210"/>
      <c r="C157" s="210" t="s">
        <v>101</v>
      </c>
      <c r="D157" s="191">
        <f>ROUNDUP(+E156/K50,0)</f>
        <v>0</v>
      </c>
      <c r="E157" s="184"/>
      <c r="G157" s="199"/>
      <c r="H157" s="199"/>
      <c r="I157" s="200"/>
      <c r="J157" s="200">
        <f>0.5*(0.075+0.05)*0.075*C50*D157</f>
        <v>0</v>
      </c>
      <c r="K157" s="200">
        <f>+(0.075+0.08)*C50*D157</f>
        <v>0</v>
      </c>
      <c r="L157" s="193">
        <f>+D157</f>
        <v>0</v>
      </c>
      <c r="M157" s="198">
        <f>+ROUNDUP(L157,0)</f>
        <v>0</v>
      </c>
      <c r="N157" s="194">
        <f>+(C50-0.08)+((0.075+0.05-2*0.04)*2)</f>
        <v>1.01</v>
      </c>
      <c r="O157" s="193"/>
      <c r="P157" s="201"/>
      <c r="Q157" s="195"/>
      <c r="R157" s="190">
        <f>+N157*M157+P157*Q157</f>
        <v>0</v>
      </c>
      <c r="S157" s="197">
        <f>((I50*I50)/162)*R157</f>
        <v>0</v>
      </c>
      <c r="T157" s="154" t="s">
        <v>156</v>
      </c>
    </row>
    <row r="158" spans="2:20" hidden="1">
      <c r="B158" s="210"/>
      <c r="C158" s="210"/>
    </row>
    <row r="159" spans="2:20" hidden="1">
      <c r="B159" s="210" t="s">
        <v>154</v>
      </c>
      <c r="C159" s="211" t="s">
        <v>177</v>
      </c>
      <c r="E159" s="184"/>
      <c r="G159" s="196">
        <f>+E159*(C53+E53*2+1.5)</f>
        <v>0</v>
      </c>
      <c r="H159" s="196">
        <f>+E159*(C53+E53*2)*(D53+F53+F53)</f>
        <v>0</v>
      </c>
      <c r="I159" s="197">
        <f>+(C53+E53*2)*E159*F53</f>
        <v>0</v>
      </c>
      <c r="J159" s="197">
        <f>+E159*((C53+E53*2)*E53+(D53*E53*2))</f>
        <v>0</v>
      </c>
      <c r="K159" s="197">
        <f>+(D53+$K$104*(D53+E53))*E159*2</f>
        <v>0</v>
      </c>
      <c r="L159" s="187">
        <f>+(E159)/H53+ IF(E159&gt;0,1,0)</f>
        <v>0</v>
      </c>
      <c r="M159" s="198">
        <f>+ROUNDUP(L159,0)</f>
        <v>0</v>
      </c>
      <c r="N159" s="189">
        <f>+(E53+D53+E53+C53+2*E53+D53+2*E53-0.04*10)+(E53+D53+2*E53-5*0.04)*2+(C53+4*E53-6*0.04)</f>
        <v>6.96</v>
      </c>
      <c r="O159" s="187">
        <f>(2*(D53+E53)+(C53+2*E53)-6*0.04)/J53*2</f>
        <v>26.08</v>
      </c>
      <c r="P159" s="198">
        <f>+ROUNDUP(O159,0)</f>
        <v>27</v>
      </c>
      <c r="Q159" s="188">
        <f>+E159+E159/6*50*(G53/1000)</f>
        <v>0</v>
      </c>
      <c r="R159" s="190">
        <f>+N159*M159+P159*Q159</f>
        <v>0</v>
      </c>
      <c r="S159" s="197">
        <f>((I53*I53)/162)*R159</f>
        <v>0</v>
      </c>
      <c r="T159" s="154" t="s">
        <v>156</v>
      </c>
    </row>
    <row r="160" spans="2:20" hidden="1">
      <c r="B160" s="210"/>
      <c r="C160" s="210" t="s">
        <v>101</v>
      </c>
      <c r="D160" s="191">
        <f>ROUNDUP(+E159/K53,0)</f>
        <v>0</v>
      </c>
      <c r="E160" s="184"/>
      <c r="G160" s="199"/>
      <c r="H160" s="199"/>
      <c r="I160" s="200"/>
      <c r="J160" s="200">
        <f>0.5*(0.075+0.05)*0.075*C53*D160</f>
        <v>0</v>
      </c>
      <c r="K160" s="200">
        <f>+(0.075+0.08)*C53*D160</f>
        <v>0</v>
      </c>
      <c r="L160" s="193">
        <f>+D160</f>
        <v>0</v>
      </c>
      <c r="M160" s="198">
        <f>+ROUNDUP(L160,0)</f>
        <v>0</v>
      </c>
      <c r="N160" s="194">
        <f>+(C53-0.08)+((0.075+0.05-2*0.04)*2)</f>
        <v>1.01</v>
      </c>
      <c r="O160" s="193"/>
      <c r="P160" s="201"/>
      <c r="Q160" s="195"/>
      <c r="R160" s="190">
        <f>+N160*M160+P160*Q160</f>
        <v>0</v>
      </c>
      <c r="S160" s="197">
        <f>((I53*I53)/162)*R160</f>
        <v>0</v>
      </c>
      <c r="T160" s="154" t="s">
        <v>156</v>
      </c>
    </row>
    <row r="161" spans="2:20" hidden="1">
      <c r="B161" s="210"/>
      <c r="C161" s="210"/>
    </row>
    <row r="162" spans="2:20" hidden="1">
      <c r="B162" s="210" t="s">
        <v>154</v>
      </c>
      <c r="C162" s="211" t="s">
        <v>178</v>
      </c>
      <c r="E162" s="184"/>
      <c r="G162" s="196">
        <f>+E162*(C56+E56*2+1.5)</f>
        <v>0</v>
      </c>
      <c r="H162" s="196">
        <f>+E162*(C56+E56*2)*(D56+F56+F56)</f>
        <v>0</v>
      </c>
      <c r="I162" s="197">
        <f>+(C56+E56*2)*E162*F56</f>
        <v>0</v>
      </c>
      <c r="J162" s="197">
        <f>+E162*((C56+E56*2)*E56+(D56*E56*2))</f>
        <v>0</v>
      </c>
      <c r="K162" s="197">
        <f>+(D56+$K$104*(D56+E56))*E162*2</f>
        <v>0</v>
      </c>
      <c r="L162" s="187">
        <f>+(E162)/H56+ IF(E162&gt;0,1,0)</f>
        <v>0</v>
      </c>
      <c r="M162" s="198">
        <f>+ROUNDUP(L162,0)</f>
        <v>0</v>
      </c>
      <c r="N162" s="189">
        <f>+(E56+D56+E56+C56+2*E56+D56+2*E56-0.04*10)+(E56+D56+2*E56-5*0.04)*2+(C56+4*E56-6*0.04)</f>
        <v>6.96</v>
      </c>
      <c r="O162" s="187">
        <f>(2*(D56+E56)+(C56+2*E56)-6*0.04)/J56*2</f>
        <v>26.08</v>
      </c>
      <c r="P162" s="198">
        <f>+ROUNDUP(O162,0)</f>
        <v>27</v>
      </c>
      <c r="Q162" s="188">
        <f>+E162+E162/6*50*(G56/1000)</f>
        <v>0</v>
      </c>
      <c r="R162" s="190">
        <f>+N162*M162+P162*Q162</f>
        <v>0</v>
      </c>
      <c r="S162" s="197">
        <f>((I56*I56)/162)*R162</f>
        <v>0</v>
      </c>
      <c r="T162" s="154" t="s">
        <v>156</v>
      </c>
    </row>
    <row r="163" spans="2:20" hidden="1">
      <c r="B163" s="210"/>
      <c r="C163" s="210" t="s">
        <v>101</v>
      </c>
      <c r="D163" s="191">
        <f>ROUNDUP(+E162/K56,0)</f>
        <v>0</v>
      </c>
      <c r="E163" s="184"/>
      <c r="G163" s="199"/>
      <c r="H163" s="199"/>
      <c r="I163" s="200"/>
      <c r="J163" s="200">
        <f>0.5*(0.075+0.05)*0.075*C56*D163</f>
        <v>0</v>
      </c>
      <c r="K163" s="200">
        <f>+(0.075+0.08)*C56*D163</f>
        <v>0</v>
      </c>
      <c r="L163" s="193">
        <f>+D163</f>
        <v>0</v>
      </c>
      <c r="M163" s="198">
        <f>+ROUNDUP(L163,0)</f>
        <v>0</v>
      </c>
      <c r="N163" s="194">
        <f>+(C56-0.08)+((0.075+0.05-2*0.04)*2)</f>
        <v>1.01</v>
      </c>
      <c r="O163" s="193"/>
      <c r="P163" s="201"/>
      <c r="Q163" s="195"/>
      <c r="R163" s="190">
        <f>+N163*M163+P163*Q163</f>
        <v>0</v>
      </c>
      <c r="S163" s="197">
        <f>((I56*I56)/162)*R163</f>
        <v>0</v>
      </c>
      <c r="T163" s="154" t="s">
        <v>156</v>
      </c>
    </row>
    <row r="164" spans="2:20" hidden="1">
      <c r="B164" s="210"/>
      <c r="C164" s="210"/>
    </row>
    <row r="165" spans="2:20" hidden="1">
      <c r="B165" s="227" t="s">
        <v>179</v>
      </c>
      <c r="C165" s="211" t="s">
        <v>180</v>
      </c>
      <c r="E165" s="184"/>
      <c r="G165" s="196">
        <f>+E165*(C59+E59*2+1)</f>
        <v>0</v>
      </c>
      <c r="H165" s="196">
        <f>(+E165*(C59+E59*2)*(D59+F59+F59))*50%</f>
        <v>0</v>
      </c>
      <c r="I165" s="197">
        <f>+(C59+E59*2)*E165*F59</f>
        <v>0</v>
      </c>
      <c r="J165" s="197">
        <f>+E165*((C59+E59*2+0.06)*E59+(D59*E59*2))</f>
        <v>0</v>
      </c>
      <c r="K165" s="197">
        <f>+(D59+(D59+E59))*E165*2</f>
        <v>0</v>
      </c>
      <c r="L165" s="187">
        <f>+(E165)/H59+ IF(E165&gt;0,1,0)</f>
        <v>0</v>
      </c>
      <c r="M165" s="198">
        <f>+ROUNDUP(L165,0)</f>
        <v>0</v>
      </c>
      <c r="N165" s="189">
        <f>+(D59+E59-0.08)*2+(C59+E59*2-0.08)</f>
        <v>1.5100000000000002</v>
      </c>
      <c r="O165" s="187">
        <f>+N165/J59+1</f>
        <v>7.0400000000000009</v>
      </c>
      <c r="P165" s="198">
        <f>+ROUNDUP(O165,0)</f>
        <v>8</v>
      </c>
      <c r="Q165" s="188">
        <f>+E165+E165/6*50*(G59/1000)</f>
        <v>0</v>
      </c>
      <c r="R165" s="190">
        <f>+N165*M165+P165*Q165</f>
        <v>0</v>
      </c>
      <c r="S165" s="197">
        <f>((I59*I59)/162)*R165</f>
        <v>0</v>
      </c>
      <c r="T165" s="154" t="s">
        <v>156</v>
      </c>
    </row>
    <row r="166" spans="2:20" hidden="1">
      <c r="B166" s="210"/>
      <c r="C166" s="210" t="s">
        <v>181</v>
      </c>
      <c r="D166" s="191">
        <f>ROUNDUP(+(E165/SQRT(L59^2+M59^2)),0)</f>
        <v>0</v>
      </c>
      <c r="E166" s="184"/>
      <c r="G166" s="199"/>
      <c r="H166" s="199"/>
      <c r="I166" s="200"/>
      <c r="J166" s="200">
        <f>0.5*(0.075+0.05)*0.075*C59*D166</f>
        <v>0</v>
      </c>
      <c r="K166" s="200">
        <f>+M59*C59*D166</f>
        <v>0</v>
      </c>
      <c r="L166" s="193"/>
      <c r="M166" s="198">
        <f>+ROUNDUP(L166,0)</f>
        <v>0</v>
      </c>
      <c r="N166" s="194"/>
      <c r="O166" s="193"/>
      <c r="P166" s="201"/>
      <c r="Q166" s="195"/>
      <c r="R166" s="190">
        <f>+N166*M166+P166*Q166</f>
        <v>0</v>
      </c>
      <c r="S166" s="197">
        <f>((I59*I59)/162)*R166</f>
        <v>0</v>
      </c>
    </row>
    <row r="167" spans="2:20" hidden="1">
      <c r="B167" s="210"/>
      <c r="C167" s="210" t="s">
        <v>182</v>
      </c>
      <c r="D167" s="154">
        <f>ROUNDUP(+E165/1,0)</f>
        <v>0</v>
      </c>
    </row>
    <row r="168" spans="2:20">
      <c r="B168" s="210"/>
      <c r="C168" s="210"/>
    </row>
    <row r="169" spans="2:20">
      <c r="B169" s="227" t="s">
        <v>179</v>
      </c>
      <c r="C169" s="211" t="s">
        <v>183</v>
      </c>
      <c r="E169" s="184">
        <v>221</v>
      </c>
      <c r="G169" s="185">
        <f>+E169*(C63+E63*2+1)</f>
        <v>364.65</v>
      </c>
      <c r="H169" s="185">
        <f>(+E169*(C63+E63*2)*(D63+F63+F63))*50%</f>
        <v>50.277500000000003</v>
      </c>
      <c r="I169" s="186">
        <f>+(C63+E63*2)*E169*F63</f>
        <v>7.182500000000001</v>
      </c>
      <c r="J169" s="186">
        <f>+E169*((C63+E63*2+0.06)*E63+(D63*E63*2))</f>
        <v>42.210999999999999</v>
      </c>
      <c r="K169" s="186">
        <f>+(D63+(D63+E63))*E169*2</f>
        <v>574.59999999999991</v>
      </c>
      <c r="L169" s="187">
        <f>+(E169)/H63+ IF(E169&gt;0,1,0)</f>
        <v>885</v>
      </c>
      <c r="M169" s="188">
        <f>+ROUNDUP(L169,0)</f>
        <v>885</v>
      </c>
      <c r="N169" s="189">
        <f>+(D63+E63-0.08)*2+(C63+E63*2-0.08)</f>
        <v>1.81</v>
      </c>
      <c r="O169" s="187">
        <f>+N169/J63+1</f>
        <v>8.24</v>
      </c>
      <c r="P169" s="188">
        <f>+ROUNDUP(O169,0)</f>
        <v>9</v>
      </c>
      <c r="Q169" s="188">
        <f>+E169+E169/6*50*(G63/1000)</f>
        <v>239.41666666666666</v>
      </c>
      <c r="R169" s="190">
        <f>+N169*M169+P169*Q169</f>
        <v>3756.6000000000004</v>
      </c>
      <c r="S169" s="186">
        <f>((I63*I63)/162)*R169</f>
        <v>2318.8888888888891</v>
      </c>
      <c r="T169" s="154" t="s">
        <v>156</v>
      </c>
    </row>
    <row r="170" spans="2:20">
      <c r="B170" s="210"/>
      <c r="C170" s="210" t="s">
        <v>181</v>
      </c>
      <c r="D170" s="191">
        <f>ROUNDUP(+(E169/SQRT(L63^2+M63^2)),0)</f>
        <v>569</v>
      </c>
      <c r="E170" s="184"/>
      <c r="G170" s="192"/>
      <c r="H170" s="192"/>
      <c r="I170" s="191"/>
      <c r="J170" s="191">
        <f>0.5*(0.075+0.05)*0.075*C63*D170</f>
        <v>1.2002343750000002</v>
      </c>
      <c r="K170" s="191">
        <f>+M63*C63*D170</f>
        <v>70.413750000000007</v>
      </c>
      <c r="L170" s="193"/>
      <c r="M170" s="188">
        <f>+ROUNDUP(L170,0)</f>
        <v>0</v>
      </c>
      <c r="N170" s="194"/>
      <c r="O170" s="193"/>
      <c r="P170" s="195"/>
      <c r="Q170" s="195"/>
      <c r="R170" s="190">
        <f>+N170*M170+P170*Q170</f>
        <v>0</v>
      </c>
      <c r="S170" s="186">
        <f>((I63*I63)/162)*R170</f>
        <v>0</v>
      </c>
    </row>
    <row r="171" spans="2:20">
      <c r="B171" s="210"/>
      <c r="C171" s="210" t="s">
        <v>182</v>
      </c>
      <c r="D171" s="154">
        <f>ROUNDUP(+E169/1,0)</f>
        <v>221</v>
      </c>
    </row>
    <row r="172" spans="2:20">
      <c r="B172" s="210"/>
      <c r="C172" s="210"/>
      <c r="K172" s="186"/>
    </row>
    <row r="173" spans="2:20" hidden="1">
      <c r="B173" s="227" t="s">
        <v>179</v>
      </c>
      <c r="C173" s="211" t="s">
        <v>184</v>
      </c>
      <c r="E173" s="184">
        <v>73.25</v>
      </c>
      <c r="G173" s="185">
        <f>+E173*(C67+E67*2+1)</f>
        <v>131.85</v>
      </c>
      <c r="H173" s="185">
        <f>(+E173*(C67+E67*2)*(D67+F67+F67))*50%</f>
        <v>20.51</v>
      </c>
      <c r="I173" s="186">
        <f>+(C67+E67*2)*E173*F67</f>
        <v>2.93</v>
      </c>
      <c r="J173" s="186">
        <f>+E173*((C67+E67*2+0.06)*E67+(D67*E67*2))</f>
        <v>15.089500000000001</v>
      </c>
      <c r="K173" s="186">
        <f>+(D67+(D67+E67))*E173*2</f>
        <v>190.44999999999996</v>
      </c>
      <c r="L173" s="187">
        <f>+(E173)/H67+ IF(E173&gt;0,1,0)</f>
        <v>294</v>
      </c>
      <c r="M173" s="188">
        <f>+ROUNDUP(L173,0)</f>
        <v>294</v>
      </c>
      <c r="N173" s="189">
        <f>+(D67+E67-0.08)*2+(C67+E67*2-0.08)</f>
        <v>1.96</v>
      </c>
      <c r="O173" s="187">
        <f>+N173/J67+1</f>
        <v>8.84</v>
      </c>
      <c r="P173" s="188">
        <f>+ROUNDUP(O173,0)</f>
        <v>9</v>
      </c>
      <c r="Q173" s="188">
        <f>+E173+E173/6*50*(G67/1000)</f>
        <v>79.354166666666671</v>
      </c>
      <c r="R173" s="190">
        <f>+N173*M173+P173*Q173</f>
        <v>1290.4275</v>
      </c>
      <c r="S173" s="186">
        <f>((I67*I67)/162)*R173</f>
        <v>796.56018518518511</v>
      </c>
      <c r="T173" s="154" t="s">
        <v>156</v>
      </c>
    </row>
    <row r="174" spans="2:20" hidden="1">
      <c r="C174" s="154" t="s">
        <v>181</v>
      </c>
      <c r="D174" s="191">
        <f>ROUNDUP(+(E173/SQRT(L67^2+M67^2)),0)</f>
        <v>189</v>
      </c>
      <c r="E174" s="184"/>
      <c r="G174" s="192"/>
      <c r="H174" s="192"/>
      <c r="I174" s="191"/>
      <c r="J174" s="191">
        <f>0.5*(0.075+0.05)*0.075*C67*D174</f>
        <v>0.53156249999999994</v>
      </c>
      <c r="K174" s="191">
        <f>+M67*C67*D174</f>
        <v>31.185000000000002</v>
      </c>
      <c r="L174" s="193"/>
      <c r="M174" s="188">
        <f>+ROUNDUP(L174,0)</f>
        <v>0</v>
      </c>
      <c r="N174" s="194"/>
      <c r="O174" s="193"/>
      <c r="P174" s="195"/>
      <c r="Q174" s="195"/>
      <c r="R174" s="190">
        <f>+N174*M174+P174*Q174</f>
        <v>0</v>
      </c>
      <c r="S174" s="186">
        <f>((I67*I67)/162)*R174</f>
        <v>0</v>
      </c>
    </row>
    <row r="175" spans="2:20" hidden="1">
      <c r="C175" s="154" t="s">
        <v>182</v>
      </c>
      <c r="D175" s="154">
        <f>ROUNDUP(+E173/1,0)</f>
        <v>74</v>
      </c>
    </row>
    <row r="176" spans="2:20" hidden="1"/>
    <row r="177" spans="2:20" hidden="1">
      <c r="B177" s="205" t="s">
        <v>179</v>
      </c>
      <c r="C177" s="178" t="s">
        <v>185</v>
      </c>
      <c r="E177" s="184">
        <v>8.6</v>
      </c>
      <c r="G177" s="196">
        <f>+E177*(C71+E71*2+1)</f>
        <v>17.2</v>
      </c>
      <c r="H177" s="196">
        <f>(+E177*(C71+E71*2)*(D71+F71+F71))*50%</f>
        <v>3.8700000000000006</v>
      </c>
      <c r="I177" s="197">
        <f>+(C71+E71*2)*E177*F71</f>
        <v>0.43</v>
      </c>
      <c r="J177" s="197">
        <f>+E177*((C71+E71*2+0.06)*E71+(D71*E71*2))</f>
        <v>2.2875999999999999</v>
      </c>
      <c r="K177" s="197">
        <f>+(D71+(D71+E71))*E177*2</f>
        <v>29.240000000000002</v>
      </c>
      <c r="L177" s="187">
        <f>+(E177)/H71+ IF(E177&gt;0,1,0)</f>
        <v>35.4</v>
      </c>
      <c r="M177" s="198">
        <f>+ROUNDUP(L177,0)</f>
        <v>36</v>
      </c>
      <c r="N177" s="189">
        <f>+(D71+E71-0.08)*2+(C71+E71*2-0.08)</f>
        <v>2.56</v>
      </c>
      <c r="O177" s="187">
        <f>+N177/J71+1</f>
        <v>11.24</v>
      </c>
      <c r="P177" s="198">
        <f>+ROUNDUP(O177,0)</f>
        <v>12</v>
      </c>
      <c r="Q177" s="188">
        <f>+E177+E177/6*50*(G71/1000)</f>
        <v>9.3166666666666664</v>
      </c>
      <c r="R177" s="190">
        <f>+N177*M177+P177*Q177</f>
        <v>203.95999999999998</v>
      </c>
      <c r="S177" s="197">
        <f>((I71*I71)/162)*R177</f>
        <v>125.90123456790121</v>
      </c>
      <c r="T177" s="154" t="s">
        <v>156</v>
      </c>
    </row>
    <row r="178" spans="2:20" hidden="1">
      <c r="C178" s="154" t="s">
        <v>181</v>
      </c>
      <c r="D178" s="191">
        <f>ROUNDUP(+(E177/SQRT(L71^2+M71^2)),0)</f>
        <v>23</v>
      </c>
      <c r="E178" s="184"/>
      <c r="G178" s="199"/>
      <c r="H178" s="199"/>
      <c r="I178" s="200"/>
      <c r="J178" s="200">
        <f>0.5*(0.075+0.05)*0.075*C71*D178</f>
        <v>8.6249999999999993E-2</v>
      </c>
      <c r="K178" s="200">
        <f>+M71*C71*D178</f>
        <v>5.0600000000000005</v>
      </c>
      <c r="L178" s="193"/>
      <c r="M178" s="198">
        <f>+ROUNDUP(L178,0)</f>
        <v>0</v>
      </c>
      <c r="N178" s="194"/>
      <c r="O178" s="193"/>
      <c r="P178" s="201"/>
      <c r="Q178" s="195"/>
      <c r="R178" s="190">
        <f>+N178*M178+P178*Q178</f>
        <v>0</v>
      </c>
      <c r="S178" s="197">
        <f>((I71*I71)/162)*R178</f>
        <v>0</v>
      </c>
    </row>
    <row r="179" spans="2:20" hidden="1">
      <c r="C179" s="154" t="s">
        <v>182</v>
      </c>
      <c r="D179" s="154">
        <f>ROUNDUP(+E177/1,0)</f>
        <v>9</v>
      </c>
      <c r="H179" s="191"/>
    </row>
    <row r="180" spans="2:20" hidden="1"/>
    <row r="181" spans="2:20" hidden="1">
      <c r="B181" s="212" t="s">
        <v>179</v>
      </c>
      <c r="C181" s="211" t="s">
        <v>186</v>
      </c>
      <c r="D181" s="210"/>
      <c r="E181" s="184">
        <v>13.83</v>
      </c>
      <c r="G181" s="196">
        <f>+E181*(C75+E75*2+1)</f>
        <v>31.1175</v>
      </c>
      <c r="H181" s="196">
        <f>(+E181*(C75+E75*2)*(D75+F75+F75))*50%</f>
        <v>9.5081250000000015</v>
      </c>
      <c r="I181" s="197">
        <f>+(C75+E75*2)*E181*F75</f>
        <v>0.86437500000000012</v>
      </c>
      <c r="J181" s="197">
        <f>+E181*((C75+E75*2+0.06)*E75+(D75*E75*2))</f>
        <v>5.7221625000000005</v>
      </c>
      <c r="K181" s="197">
        <f>+(D75+(D75+E75))*E181*2</f>
        <v>58.777500000000003</v>
      </c>
      <c r="L181" s="187">
        <f>+(E181)/H75+ IF(E181&gt;0,1,0)</f>
        <v>56.32</v>
      </c>
      <c r="M181" s="198">
        <f>+ROUNDUP(L181,0)</f>
        <v>57</v>
      </c>
      <c r="N181" s="189">
        <f>+(D75+E75-0.08)*2+(C75+E75*2-0.08)</f>
        <v>3.26</v>
      </c>
      <c r="O181" s="187">
        <f>+N181/J75+1</f>
        <v>14.04</v>
      </c>
      <c r="P181" s="198">
        <f>+ROUNDUP(O181,0)</f>
        <v>15</v>
      </c>
      <c r="Q181" s="188">
        <f>+E181+E181/6*50*(G75/1000)</f>
        <v>14.9825</v>
      </c>
      <c r="R181" s="190">
        <f>+N181*M181+P181*Q181</f>
        <v>410.5575</v>
      </c>
      <c r="S181" s="197">
        <f>((I75*I75)/162)*R181</f>
        <v>253.43055555555554</v>
      </c>
      <c r="T181" s="154" t="s">
        <v>156</v>
      </c>
    </row>
    <row r="182" spans="2:20" hidden="1">
      <c r="B182" s="210"/>
      <c r="C182" s="210" t="s">
        <v>181</v>
      </c>
      <c r="D182" s="213">
        <f>ROUNDUP(+(E181/SQRT(L75^2+M75^2)),0)</f>
        <v>36</v>
      </c>
      <c r="E182" s="184"/>
      <c r="G182" s="199"/>
      <c r="H182" s="199"/>
      <c r="I182" s="200"/>
      <c r="J182" s="200">
        <f>0.5*(0.075+0.05)*0.075*C75*D182</f>
        <v>0.16874999999999998</v>
      </c>
      <c r="K182" s="200">
        <f>+M75*C75*D182</f>
        <v>9.9</v>
      </c>
      <c r="L182" s="193"/>
      <c r="M182" s="198">
        <f>+ROUNDUP(L182,0)</f>
        <v>0</v>
      </c>
      <c r="N182" s="194"/>
      <c r="O182" s="193"/>
      <c r="P182" s="201"/>
      <c r="Q182" s="195"/>
      <c r="R182" s="190">
        <f>+N182*M182+P182*Q182</f>
        <v>0</v>
      </c>
      <c r="S182" s="197">
        <f>((I75*I75)/162)*R182</f>
        <v>0</v>
      </c>
    </row>
    <row r="183" spans="2:20" hidden="1">
      <c r="C183" s="154" t="s">
        <v>182</v>
      </c>
      <c r="D183" s="154">
        <f>ROUNDUP(+E181/1,0)</f>
        <v>14</v>
      </c>
    </row>
    <row r="184" spans="2:20" hidden="1"/>
    <row r="185" spans="2:20" hidden="1">
      <c r="B185" s="205" t="s">
        <v>187</v>
      </c>
      <c r="C185" s="178" t="s">
        <v>180</v>
      </c>
      <c r="E185" s="184">
        <v>100</v>
      </c>
      <c r="G185" s="196">
        <f>+E185*(C79+E79*2+1)</f>
        <v>165</v>
      </c>
      <c r="H185" s="196">
        <f>0.5*L79*M79*D186</f>
        <v>20.25</v>
      </c>
      <c r="I185" s="197">
        <f>+(L79*(C79+2*E79)*D186*E79)</f>
        <v>5.8500000000000014</v>
      </c>
      <c r="J185" s="197">
        <f>+D186*(L79+M79)*E79*(C79+2*E79)+D186*((L79+M79)*E79*D79)*2</f>
        <v>20.925000000000001</v>
      </c>
      <c r="K185" s="197">
        <f>+(D79+(D79+E79))*E185*2</f>
        <v>200</v>
      </c>
      <c r="L185" s="187">
        <f>+(D186*(L79+M79))/H79+ IF(E185&gt;0,1,0)</f>
        <v>541</v>
      </c>
      <c r="M185" s="198">
        <f>+ROUNDUP(L185,0)</f>
        <v>541</v>
      </c>
      <c r="N185" s="189">
        <f>+(D79+E79-0.08)*2+(C79+E79*2-0.08)</f>
        <v>1.5100000000000002</v>
      </c>
      <c r="O185" s="187">
        <f>+N185/J79+1</f>
        <v>7.0400000000000009</v>
      </c>
      <c r="P185" s="198">
        <f>+ROUNDUP(O185,0)</f>
        <v>8</v>
      </c>
      <c r="Q185" s="188">
        <f>+(L79+M79-2*0.04)*D186+(((L79+M79-2*0.04)*D186)/6*50*(I79/1000))</f>
        <v>137.58333333333334</v>
      </c>
      <c r="R185" s="190">
        <f>+N185*M185+P185*Q185</f>
        <v>1917.5766666666668</v>
      </c>
      <c r="S185" s="197">
        <f>((I79*I79)/162)*R185</f>
        <v>1183.6893004115227</v>
      </c>
      <c r="T185" s="154" t="s">
        <v>156</v>
      </c>
    </row>
    <row r="186" spans="2:20" hidden="1">
      <c r="C186" s="154" t="s">
        <v>181</v>
      </c>
      <c r="D186" s="191">
        <f>ROUNDUP(+(E185/SQRT(L79^2+M79^2)),0)</f>
        <v>100</v>
      </c>
      <c r="E186" s="184"/>
      <c r="G186" s="199"/>
      <c r="H186" s="199"/>
      <c r="I186" s="200"/>
      <c r="J186" s="200"/>
      <c r="K186" s="200"/>
      <c r="L186" s="193"/>
      <c r="M186" s="198"/>
      <c r="N186" s="194"/>
      <c r="O186" s="193"/>
      <c r="P186" s="201"/>
      <c r="Q186" s="195"/>
      <c r="R186" s="190"/>
      <c r="S186" s="197"/>
    </row>
    <row r="187" spans="2:20" hidden="1">
      <c r="C187" s="154" t="s">
        <v>182</v>
      </c>
      <c r="D187" s="154">
        <f>ROUNDUP(+E185/1,0)</f>
        <v>100</v>
      </c>
    </row>
    <row r="188" spans="2:20" hidden="1"/>
    <row r="189" spans="2:20" hidden="1">
      <c r="B189" s="205" t="s">
        <v>187</v>
      </c>
      <c r="C189" s="178" t="s">
        <v>183</v>
      </c>
      <c r="E189" s="184">
        <v>28.19</v>
      </c>
      <c r="G189" s="196">
        <f>+E189*(C83+E83*2+1)</f>
        <v>46.513500000000001</v>
      </c>
      <c r="H189" s="196">
        <f>0.5*L83*M83*D190</f>
        <v>5.8725000000000005</v>
      </c>
      <c r="I189" s="197">
        <f>+(L83*(C83+2*E83)*D190*E83)</f>
        <v>1.6965000000000003</v>
      </c>
      <c r="J189" s="197">
        <f>+D190*(L83+M83)*E83*(C83+2*E83)+D190*((L83+M83)*E83*D83)*2</f>
        <v>7.2427500000000009</v>
      </c>
      <c r="K189" s="197">
        <f>+(D83+(D83+E83))*E189*2</f>
        <v>73.293999999999997</v>
      </c>
      <c r="L189" s="187">
        <f>+(D190*(L83+M83))/H83+ IF(E189&gt;0,1,0)</f>
        <v>157.60000000000002</v>
      </c>
      <c r="M189" s="198">
        <f>+ROUNDUP(L189,0)</f>
        <v>158</v>
      </c>
      <c r="N189" s="189">
        <f>+(D83+E83-0.08)*2+(C83+E83*2-0.08)</f>
        <v>1.81</v>
      </c>
      <c r="O189" s="187">
        <f>+N189/J83+1</f>
        <v>8.24</v>
      </c>
      <c r="P189" s="198">
        <f>+ROUNDUP(O189,0)</f>
        <v>9</v>
      </c>
      <c r="Q189" s="188">
        <f>+(L83+M83-2*0.04)*D190+(((L83+M83-2*0.04)*D190)/6*50*(I83/1000))</f>
        <v>39.899166666666666</v>
      </c>
      <c r="R189" s="190">
        <f>+N189*M189+P189*Q189</f>
        <v>645.07249999999999</v>
      </c>
      <c r="S189" s="197">
        <f>((I83*I83)/162)*R189</f>
        <v>398.1929012345679</v>
      </c>
      <c r="T189" s="154" t="s">
        <v>156</v>
      </c>
    </row>
    <row r="190" spans="2:20" hidden="1">
      <c r="C190" s="154" t="s">
        <v>181</v>
      </c>
      <c r="D190" s="191">
        <f>ROUNDUP(+(E189/SQRT(L83^2+M83^2)),0)</f>
        <v>29</v>
      </c>
      <c r="E190" s="184"/>
      <c r="G190" s="199"/>
      <c r="H190" s="199"/>
      <c r="I190" s="200"/>
      <c r="J190" s="200"/>
      <c r="K190" s="200"/>
      <c r="L190" s="193"/>
      <c r="M190" s="198"/>
      <c r="N190" s="194"/>
      <c r="O190" s="193"/>
      <c r="P190" s="201"/>
      <c r="Q190" s="195"/>
      <c r="R190" s="190"/>
      <c r="S190" s="197"/>
    </row>
    <row r="191" spans="2:20" hidden="1">
      <c r="C191" s="154" t="s">
        <v>182</v>
      </c>
      <c r="D191" s="154">
        <f>ROUNDUP(+E189/1,0)</f>
        <v>29</v>
      </c>
    </row>
    <row r="192" spans="2:20" hidden="1"/>
    <row r="193" spans="2:20" hidden="1">
      <c r="B193" s="205" t="s">
        <v>187</v>
      </c>
      <c r="C193" s="178" t="s">
        <v>184</v>
      </c>
      <c r="E193" s="184">
        <v>100</v>
      </c>
      <c r="G193" s="196">
        <f>+E193*(C87+E87*2+1)</f>
        <v>180</v>
      </c>
      <c r="H193" s="196">
        <f>0.5*L87*M87*D194</f>
        <v>20.25</v>
      </c>
      <c r="I193" s="197">
        <f>+(L87*(C87+2*E87)*D194*E87)</f>
        <v>7.200000000000002</v>
      </c>
      <c r="J193" s="197">
        <f>+D194*(L87+M87)*E87*(C87+2*E87)+D194*((L87+M87)*E87*D87)*2</f>
        <v>27</v>
      </c>
      <c r="K193" s="197">
        <f>+(D87+(D87+E87))*E193*2</f>
        <v>259.99999999999994</v>
      </c>
      <c r="L193" s="187">
        <f>+(D194*(L87+M87))/H87+ IF(E193&gt;0,1,0)</f>
        <v>541</v>
      </c>
      <c r="M193" s="198">
        <f>+ROUNDUP(L193,0)</f>
        <v>541</v>
      </c>
      <c r="N193" s="189">
        <f>+(D87+E87-0.08)*2+(C87+E87*2-0.08)</f>
        <v>1.96</v>
      </c>
      <c r="O193" s="187">
        <f>+N193/J87+1</f>
        <v>8.84</v>
      </c>
      <c r="P193" s="198">
        <f>+ROUNDUP(O193,0)</f>
        <v>9</v>
      </c>
      <c r="Q193" s="188">
        <f>+(L87+M87-2*0.04)*D194+(((L87+M87-2*0.04)*D194)/6*50*(I87/1000))</f>
        <v>137.58333333333334</v>
      </c>
      <c r="R193" s="190">
        <f>+N193*M193+P193*Q193</f>
        <v>2298.6099999999997</v>
      </c>
      <c r="S193" s="197">
        <f>((I87*I87)/162)*R193</f>
        <v>1418.8950617283947</v>
      </c>
      <c r="T193" s="154" t="s">
        <v>156</v>
      </c>
    </row>
    <row r="194" spans="2:20" hidden="1">
      <c r="C194" s="154" t="s">
        <v>181</v>
      </c>
      <c r="D194" s="191">
        <f>ROUNDUP(+(E193/SQRT(L87^2+M87^2)),0)</f>
        <v>100</v>
      </c>
      <c r="E194" s="184"/>
      <c r="G194" s="199"/>
      <c r="H194" s="199"/>
      <c r="I194" s="200"/>
      <c r="J194" s="200"/>
      <c r="K194" s="200"/>
      <c r="L194" s="193"/>
      <c r="M194" s="198"/>
      <c r="N194" s="194"/>
      <c r="O194" s="193"/>
      <c r="P194" s="201"/>
      <c r="Q194" s="195"/>
      <c r="R194" s="190"/>
      <c r="S194" s="197"/>
    </row>
    <row r="195" spans="2:20" hidden="1">
      <c r="C195" s="154" t="s">
        <v>182</v>
      </c>
      <c r="D195" s="154">
        <f>ROUNDUP(+E193/1,0)</f>
        <v>100</v>
      </c>
    </row>
    <row r="196" spans="2:20" hidden="1"/>
    <row r="197" spans="2:20" hidden="1">
      <c r="B197" s="205" t="s">
        <v>187</v>
      </c>
      <c r="C197" s="178" t="s">
        <v>185</v>
      </c>
      <c r="E197" s="184">
        <v>100</v>
      </c>
      <c r="G197" s="196">
        <f>+E197*(C91+E91*2+1)</f>
        <v>200</v>
      </c>
      <c r="H197" s="196">
        <f>0.5*L91*M91*D198</f>
        <v>20.25</v>
      </c>
      <c r="I197" s="197">
        <f>+(L91*(C91+2*E91)*D198*E91)</f>
        <v>9</v>
      </c>
      <c r="J197" s="197">
        <f>+D198*(L91+M91)*E91*(C91+2*E91)+D198*((L91+M91)*E91*D91)*2</f>
        <v>35.1</v>
      </c>
      <c r="K197" s="197">
        <f>+(D91+(D91+E91))*E197*2</f>
        <v>340.00000000000006</v>
      </c>
      <c r="L197" s="187">
        <f>+(D198*(L91+M91))/H91+ IF(E197&gt;0,1,0)</f>
        <v>541</v>
      </c>
      <c r="M197" s="198">
        <f>+ROUNDUP(L197,0)</f>
        <v>541</v>
      </c>
      <c r="N197" s="189">
        <f>+(D91+E91-0.08)*2+(C91+E91*2-0.08)</f>
        <v>2.56</v>
      </c>
      <c r="O197" s="187">
        <f>+N197/J91+1</f>
        <v>11.24</v>
      </c>
      <c r="P197" s="198">
        <f>+ROUNDUP(O197,0)</f>
        <v>12</v>
      </c>
      <c r="Q197" s="188">
        <f>+(L91+M91-2*0.04)*D198+(((L91+M91-2*0.04)*D198)/6*50*(I91/1000))</f>
        <v>137.58333333333334</v>
      </c>
      <c r="R197" s="190">
        <f>+N197*M197+P197*Q197</f>
        <v>3035.96</v>
      </c>
      <c r="S197" s="197">
        <f>((I91*I91)/162)*R197</f>
        <v>1874.0493827160492</v>
      </c>
      <c r="T197" s="154" t="s">
        <v>156</v>
      </c>
    </row>
    <row r="198" spans="2:20" hidden="1">
      <c r="C198" s="154" t="s">
        <v>181</v>
      </c>
      <c r="D198" s="191">
        <f>ROUNDUP(+(E197/SQRT(L91^2+M91^2)),0)</f>
        <v>100</v>
      </c>
      <c r="E198" s="184"/>
      <c r="G198" s="199"/>
      <c r="H198" s="199"/>
      <c r="I198" s="200"/>
      <c r="J198" s="200"/>
      <c r="K198" s="200"/>
      <c r="L198" s="193"/>
      <c r="M198" s="198"/>
      <c r="N198" s="194"/>
      <c r="O198" s="193"/>
      <c r="P198" s="201"/>
      <c r="Q198" s="195"/>
      <c r="R198" s="190"/>
      <c r="S198" s="197"/>
    </row>
    <row r="199" spans="2:20" hidden="1">
      <c r="C199" s="154" t="s">
        <v>182</v>
      </c>
      <c r="D199" s="154">
        <f>ROUNDUP(+E197/1,0)</f>
        <v>100</v>
      </c>
    </row>
    <row r="200" spans="2:20" hidden="1"/>
    <row r="201" spans="2:20" hidden="1">
      <c r="B201" s="205" t="s">
        <v>187</v>
      </c>
      <c r="C201" s="178" t="s">
        <v>188</v>
      </c>
      <c r="E201" s="184">
        <f>(22.38+21.09+22.47+16.84)*1.06418</f>
        <v>88.092820399999994</v>
      </c>
      <c r="G201" s="196">
        <f>+E201*(C95+E95*2+1)</f>
        <v>198.20884589999997</v>
      </c>
      <c r="H201" s="196">
        <f>0.5*L95*M95*D202</f>
        <v>17.82</v>
      </c>
      <c r="I201" s="197">
        <f>+(L95*(C95+2*E95)*D202*E95)</f>
        <v>12.375</v>
      </c>
      <c r="J201" s="197">
        <f>+D202*(L95+M95)*E95*(C95+2*E95)+D202*((L95+M95)*E95*D95)*2</f>
        <v>40.837500000000006</v>
      </c>
      <c r="K201" s="197">
        <f>+(D95+(D95+E95))*E201*2</f>
        <v>286.30166629999997</v>
      </c>
      <c r="L201" s="187">
        <f>+(D202*(L95+M95))/H95+ IF(E201&gt;0,1,0)</f>
        <v>476.20000000000005</v>
      </c>
      <c r="M201" s="198">
        <f>+ROUNDUP(L201,0)</f>
        <v>477</v>
      </c>
      <c r="N201" s="189">
        <f>+(D95+E95-0.08)*2+(C95+E95*2-0.08)</f>
        <v>2.76</v>
      </c>
      <c r="O201" s="187">
        <f>+N201/J95+1</f>
        <v>12.04</v>
      </c>
      <c r="P201" s="198">
        <f>+ROUNDUP(O201,0)</f>
        <v>13</v>
      </c>
      <c r="Q201" s="188">
        <f>+(L95+M95-2*0.04)*D202+(((L95+M95-2*0.04)*D202)/6*50*(I95/1000))</f>
        <v>121.07333333333334</v>
      </c>
      <c r="R201" s="190">
        <f>+N201*M201+P201*Q201</f>
        <v>2890.4733333333334</v>
      </c>
      <c r="S201" s="197">
        <f>((I95*I95)/162)*R201</f>
        <v>1784.2427983539094</v>
      </c>
      <c r="T201" s="154" t="s">
        <v>156</v>
      </c>
    </row>
    <row r="202" spans="2:20" hidden="1">
      <c r="C202" s="154" t="s">
        <v>181</v>
      </c>
      <c r="D202" s="191">
        <f>ROUNDUP(+(E201/SQRT(L95^2+M95^2)),0)</f>
        <v>88</v>
      </c>
      <c r="E202" s="184"/>
      <c r="G202" s="199"/>
      <c r="H202" s="199"/>
      <c r="I202" s="200"/>
      <c r="J202" s="200">
        <f>0.5*(0.075+0.05)*0.075*C95*D202</f>
        <v>0.41249999999999998</v>
      </c>
      <c r="K202" s="200">
        <f>D202*C95*M95</f>
        <v>39.6</v>
      </c>
      <c r="L202" s="193"/>
      <c r="M202" s="198"/>
      <c r="N202" s="194"/>
      <c r="O202" s="193"/>
      <c r="P202" s="201"/>
      <c r="Q202" s="195"/>
      <c r="R202" s="190"/>
      <c r="S202" s="197"/>
    </row>
    <row r="203" spans="2:20" hidden="1">
      <c r="C203" s="154" t="s">
        <v>182</v>
      </c>
      <c r="D203" s="154">
        <f>ROUNDUP(+E201/1,0)</f>
        <v>89</v>
      </c>
    </row>
    <row r="204" spans="2:20" hidden="1">
      <c r="G204" s="206" t="s">
        <v>189</v>
      </c>
      <c r="H204" s="206" t="s">
        <v>190</v>
      </c>
      <c r="I204" s="206" t="s">
        <v>52</v>
      </c>
    </row>
    <row r="205" spans="2:20" hidden="1"/>
    <row r="206" spans="2:20" hidden="1">
      <c r="B206" s="202"/>
      <c r="E206" s="202"/>
    </row>
    <row r="207" spans="2:20" hidden="1"/>
    <row r="208" spans="2:20" hidden="1">
      <c r="E208" s="202"/>
    </row>
    <row r="209" spans="5:5" hidden="1"/>
    <row r="210" spans="5:5" hidden="1">
      <c r="E210" s="202"/>
    </row>
    <row r="211" spans="5:5" hidden="1"/>
    <row r="212" spans="5:5" hidden="1">
      <c r="E212" s="202"/>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4" spans="5:5" hidden="1"/>
    <row r="225" spans="2:7" hidden="1"/>
    <row r="226" spans="2:7" hidden="1"/>
    <row r="227" spans="2:7" hidden="1">
      <c r="B227" s="202" t="s">
        <v>158</v>
      </c>
    </row>
    <row r="228" spans="2:7" ht="28.8" hidden="1">
      <c r="B228" s="207" t="s">
        <v>191</v>
      </c>
      <c r="C228" s="208"/>
    </row>
    <row r="229" spans="2:7" hidden="1"/>
    <row r="230" spans="2:7" hidden="1">
      <c r="B230" s="154" t="s">
        <v>192</v>
      </c>
      <c r="C230" s="191"/>
    </row>
    <row r="231" spans="2:7" hidden="1">
      <c r="B231" s="154" t="s">
        <v>193</v>
      </c>
      <c r="C231" s="154">
        <v>0.5</v>
      </c>
    </row>
    <row r="232" spans="2:7" hidden="1">
      <c r="C232" s="191"/>
    </row>
    <row r="233" spans="2:7" hidden="1">
      <c r="B233" s="154" t="s">
        <v>194</v>
      </c>
      <c r="C233" s="154">
        <f>ROUNDUP(C228/C231,0)</f>
        <v>0</v>
      </c>
    </row>
    <row r="234" spans="2:7" hidden="1"/>
    <row r="235" spans="2:7" hidden="1"/>
    <row r="236" spans="2:7" hidden="1">
      <c r="B236" s="154" t="s">
        <v>195</v>
      </c>
      <c r="C236" s="154">
        <f>C233*0.16*0.5</f>
        <v>0</v>
      </c>
      <c r="E236" s="202" t="s">
        <v>196</v>
      </c>
    </row>
    <row r="237" spans="2:7" hidden="1">
      <c r="B237" s="154" t="s">
        <v>82</v>
      </c>
      <c r="C237" s="154">
        <f>((0.16*2)+(0.15*0.5*2))*C233</f>
        <v>0</v>
      </c>
    </row>
    <row r="238" spans="2:7" hidden="1"/>
    <row r="239" spans="2:7" hidden="1">
      <c r="B239" s="154" t="s">
        <v>197</v>
      </c>
      <c r="C239" s="193">
        <v>2.12</v>
      </c>
      <c r="D239" s="209">
        <f>ROUNDUP(0.5/0.125,0)+1</f>
        <v>5</v>
      </c>
      <c r="E239" s="154">
        <f>C233</f>
        <v>0</v>
      </c>
      <c r="F239" s="154">
        <v>1.1000000000000001</v>
      </c>
      <c r="G239" s="154">
        <f>PRODUCT(C239:F239)</f>
        <v>0</v>
      </c>
    </row>
    <row r="240" spans="2:7" hidden="1">
      <c r="C240" s="154">
        <v>0.5</v>
      </c>
      <c r="D240" s="209">
        <f>ROUNDUP(C239/0.2+1,0)</f>
        <v>12</v>
      </c>
      <c r="E240" s="154">
        <f>C233</f>
        <v>0</v>
      </c>
      <c r="F240" s="154">
        <v>1.1000000000000001</v>
      </c>
      <c r="G240" s="154">
        <f>PRODUCT(C240:F240)</f>
        <v>0</v>
      </c>
    </row>
    <row r="241" spans="2:10" hidden="1"/>
    <row r="242" spans="2:10" hidden="1">
      <c r="G242" s="154">
        <f>SUM(G239:G241)</f>
        <v>0</v>
      </c>
      <c r="H242" s="154">
        <f>ROUND(100/162,3)</f>
        <v>0.61699999999999999</v>
      </c>
      <c r="J242" s="193">
        <f>ROUNDUP(PRODUCT(G242:H242),0)</f>
        <v>0</v>
      </c>
    </row>
    <row r="243" spans="2:10" hidden="1"/>
    <row r="244" spans="2:10" hidden="1"/>
    <row r="245" spans="2:10" hidden="1"/>
    <row r="246" spans="2:10" hidden="1"/>
    <row r="247" spans="2:10" hidden="1"/>
    <row r="248" spans="2:10" hidden="1"/>
    <row r="249" spans="2:10" hidden="1">
      <c r="B249" s="202" t="s">
        <v>198</v>
      </c>
    </row>
    <row r="250" spans="2:10">
      <c r="C250" s="202"/>
      <c r="D250" s="202"/>
      <c r="F250" s="202"/>
    </row>
    <row r="251" spans="2:10">
      <c r="B251" s="202"/>
      <c r="C251" s="191"/>
      <c r="D251" s="191"/>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88</vt:i4>
      </vt:variant>
    </vt:vector>
  </HeadingPairs>
  <TitlesOfParts>
    <vt:vector size="169" baseType="lpstr">
      <vt:lpstr>Grand Summary</vt:lpstr>
      <vt:lpstr>Bill No.Sum </vt:lpstr>
      <vt:lpstr>Bill No 1</vt:lpstr>
      <vt:lpstr>Bill No. 2</vt:lpstr>
      <vt:lpstr>Bill 2.1</vt:lpstr>
      <vt:lpstr>Bill 2.2</vt:lpstr>
      <vt:lpstr>Bill 2.3</vt:lpstr>
      <vt:lpstr>QTY78</vt:lpstr>
      <vt:lpstr>Drains78</vt:lpstr>
      <vt:lpstr>Sheet78</vt:lpstr>
      <vt:lpstr>Bill No. 3</vt:lpstr>
      <vt:lpstr>Bill 3.1</vt:lpstr>
      <vt:lpstr>Bill 3.2</vt:lpstr>
      <vt:lpstr>Bill 3.3</vt:lpstr>
      <vt:lpstr>Bill 3.4</vt:lpstr>
      <vt:lpstr>QTY</vt:lpstr>
      <vt:lpstr>Drains</vt:lpstr>
      <vt:lpstr>Sheet1</vt:lpstr>
      <vt:lpstr>Bill No 4</vt:lpstr>
      <vt:lpstr>Bill No. 4.1</vt:lpstr>
      <vt:lpstr>Bill 4.1.1</vt:lpstr>
      <vt:lpstr>Bill 4.1.2</vt:lpstr>
      <vt:lpstr>Bill 4.1.3</vt:lpstr>
      <vt:lpstr>QTY85l1</vt:lpstr>
      <vt:lpstr>Drains85l1</vt:lpstr>
      <vt:lpstr>Bill No. 4.2</vt:lpstr>
      <vt:lpstr>Bill 4.2.1 </vt:lpstr>
      <vt:lpstr>Bill 4.2.2</vt:lpstr>
      <vt:lpstr>Bill 4.2.3</vt:lpstr>
      <vt:lpstr>Bill 4.2.4</vt:lpstr>
      <vt:lpstr>Bill 4.2.5</vt:lpstr>
      <vt:lpstr>QTY 85l2</vt:lpstr>
      <vt:lpstr>Drains 85l2</vt:lpstr>
      <vt:lpstr>Sheet85l2</vt:lpstr>
      <vt:lpstr>Sheet1 (2)</vt:lpstr>
      <vt:lpstr>Bill No. 5</vt:lpstr>
      <vt:lpstr>Bill 5.1</vt:lpstr>
      <vt:lpstr>Bill 5.2</vt:lpstr>
      <vt:lpstr>Bill 5.3</vt:lpstr>
      <vt:lpstr>QTY86</vt:lpstr>
      <vt:lpstr>Drains86</vt:lpstr>
      <vt:lpstr>Sheet86</vt:lpstr>
      <vt:lpstr>Bill No.6</vt:lpstr>
      <vt:lpstr>Bill 6.1</vt:lpstr>
      <vt:lpstr>Bill 6.2</vt:lpstr>
      <vt:lpstr>Bill 6.3</vt:lpstr>
      <vt:lpstr>Bill 6.4</vt:lpstr>
      <vt:lpstr>QTY88</vt:lpstr>
      <vt:lpstr>Drains88</vt:lpstr>
      <vt:lpstr>Cantilever Walls88</vt:lpstr>
      <vt:lpstr>Bill No. 7</vt:lpstr>
      <vt:lpstr>Bill 7.1</vt:lpstr>
      <vt:lpstr>Bill 7.2</vt:lpstr>
      <vt:lpstr>Bill 7.3</vt:lpstr>
      <vt:lpstr>Bill 7.4</vt:lpstr>
      <vt:lpstr>QTY112</vt:lpstr>
      <vt:lpstr>Drains112</vt:lpstr>
      <vt:lpstr>Bill No.8</vt:lpstr>
      <vt:lpstr>Bill No.8.1 </vt:lpstr>
      <vt:lpstr>Bill No 8.1.1</vt:lpstr>
      <vt:lpstr>Bill No 8.1.2 </vt:lpstr>
      <vt:lpstr>Bill No 8.1.3</vt:lpstr>
      <vt:lpstr>Bill No 8.1.4</vt:lpstr>
      <vt:lpstr>QTY 83.1</vt:lpstr>
      <vt:lpstr>Drains 83.1</vt:lpstr>
      <vt:lpstr>Bill No.8.2</vt:lpstr>
      <vt:lpstr>Bill No 8.2.1 </vt:lpstr>
      <vt:lpstr>Bill No 8.2.2</vt:lpstr>
      <vt:lpstr>Bill No 8.2.3 </vt:lpstr>
      <vt:lpstr>QTY83.2</vt:lpstr>
      <vt:lpstr>Drains83.2</vt:lpstr>
      <vt:lpstr>Sheet83.1</vt:lpstr>
      <vt:lpstr>Sheet2</vt:lpstr>
      <vt:lpstr>Bill No. 9</vt:lpstr>
      <vt:lpstr>Bill 9.1</vt:lpstr>
      <vt:lpstr>Bill 9.2</vt:lpstr>
      <vt:lpstr>Bill 9.3</vt:lpstr>
      <vt:lpstr>QTY115</vt:lpstr>
      <vt:lpstr>Drains115</vt:lpstr>
      <vt:lpstr>Sheet115</vt:lpstr>
      <vt:lpstr>Bill No.Dayworks</vt:lpstr>
      <vt:lpstr>'Bill 2.1'!Print_Area</vt:lpstr>
      <vt:lpstr>'Bill 2.2'!Print_Area</vt:lpstr>
      <vt:lpstr>'Bill 2.3'!Print_Area</vt:lpstr>
      <vt:lpstr>'Bill 3.1'!Print_Area</vt:lpstr>
      <vt:lpstr>'Bill 3.2'!Print_Area</vt:lpstr>
      <vt:lpstr>'Bill 3.3'!Print_Area</vt:lpstr>
      <vt:lpstr>'Bill 3.4'!Print_Area</vt:lpstr>
      <vt:lpstr>'Bill 4.1.1'!Print_Area</vt:lpstr>
      <vt:lpstr>'Bill 4.1.2'!Print_Area</vt:lpstr>
      <vt:lpstr>'Bill 4.1.3'!Print_Area</vt:lpstr>
      <vt:lpstr>'Bill 4.2.1 '!Print_Area</vt:lpstr>
      <vt:lpstr>'Bill 4.2.2'!Print_Area</vt:lpstr>
      <vt:lpstr>'Bill 4.2.3'!Print_Area</vt:lpstr>
      <vt:lpstr>'Bill 4.2.4'!Print_Area</vt:lpstr>
      <vt:lpstr>'Bill 4.2.5'!Print_Area</vt:lpstr>
      <vt:lpstr>'Bill 5.1'!Print_Area</vt:lpstr>
      <vt:lpstr>'Bill 5.2'!Print_Area</vt:lpstr>
      <vt:lpstr>'Bill 5.3'!Print_Area</vt:lpstr>
      <vt:lpstr>'Bill 6.1'!Print_Area</vt:lpstr>
      <vt:lpstr>'Bill 6.2'!Print_Area</vt:lpstr>
      <vt:lpstr>'Bill 6.3'!Print_Area</vt:lpstr>
      <vt:lpstr>'Bill 6.4'!Print_Area</vt:lpstr>
      <vt:lpstr>'Bill 7.1'!Print_Area</vt:lpstr>
      <vt:lpstr>'Bill 7.2'!Print_Area</vt:lpstr>
      <vt:lpstr>'Bill 7.3'!Print_Area</vt:lpstr>
      <vt:lpstr>'Bill 7.4'!Print_Area</vt:lpstr>
      <vt:lpstr>'Bill 9.1'!Print_Area</vt:lpstr>
      <vt:lpstr>'Bill 9.2'!Print_Area</vt:lpstr>
      <vt:lpstr>'Bill 9.3'!Print_Area</vt:lpstr>
      <vt:lpstr>'Bill No 1'!Print_Area</vt:lpstr>
      <vt:lpstr>'Bill No 4'!Print_Area</vt:lpstr>
      <vt:lpstr>'Bill No 8.1.1'!Print_Area</vt:lpstr>
      <vt:lpstr>'Bill No 8.1.2 '!Print_Area</vt:lpstr>
      <vt:lpstr>'Bill No 8.1.3'!Print_Area</vt:lpstr>
      <vt:lpstr>'Bill No 8.1.4'!Print_Area</vt:lpstr>
      <vt:lpstr>'Bill No 8.2.1 '!Print_Area</vt:lpstr>
      <vt:lpstr>'Bill No 8.2.2'!Print_Area</vt:lpstr>
      <vt:lpstr>'Bill No 8.2.3 '!Print_Area</vt:lpstr>
      <vt:lpstr>'Bill No. 2'!Print_Area</vt:lpstr>
      <vt:lpstr>'Bill No. 3'!Print_Area</vt:lpstr>
      <vt:lpstr>'Bill No. 4.1'!Print_Area</vt:lpstr>
      <vt:lpstr>'Bill No. 4.2'!Print_Area</vt:lpstr>
      <vt:lpstr>'Bill No. 5'!Print_Area</vt:lpstr>
      <vt:lpstr>'Bill No. 7'!Print_Area</vt:lpstr>
      <vt:lpstr>'Bill No. 9'!Print_Area</vt:lpstr>
      <vt:lpstr>'Bill No.6'!Print_Area</vt:lpstr>
      <vt:lpstr>'Bill No.8'!Print_Area</vt:lpstr>
      <vt:lpstr>'Bill No.8.1 '!Print_Area</vt:lpstr>
      <vt:lpstr>'Bill No.8.2'!Print_Area</vt:lpstr>
      <vt:lpstr>'Bill No.Dayworks'!Print_Area</vt:lpstr>
      <vt:lpstr>'Bill No.Sum '!Print_Area</vt:lpstr>
      <vt:lpstr>'Grand Summary'!Print_Area</vt:lpstr>
      <vt:lpstr>QTY!Print_Area</vt:lpstr>
      <vt:lpstr>'QTY 83.1'!Print_Area</vt:lpstr>
      <vt:lpstr>'QTY 85l2'!Print_Area</vt:lpstr>
      <vt:lpstr>'QTY112'!Print_Area</vt:lpstr>
      <vt:lpstr>'QTY115'!Print_Area</vt:lpstr>
      <vt:lpstr>'QTY78'!Print_Area</vt:lpstr>
      <vt:lpstr>QTY83.2!Print_Area</vt:lpstr>
      <vt:lpstr>QTY85l1!Print_Area</vt:lpstr>
      <vt:lpstr>'QTY86'!Print_Area</vt:lpstr>
      <vt:lpstr>'QTY88'!Print_Area</vt:lpstr>
      <vt:lpstr>'Bill 2.3'!Print_Titles</vt:lpstr>
      <vt:lpstr>'Bill 3.3'!Print_Titles</vt:lpstr>
      <vt:lpstr>'Bill 4.1.3'!Print_Titles</vt:lpstr>
      <vt:lpstr>'Bill 4.2.3'!Print_Titles</vt:lpstr>
      <vt:lpstr>'Bill 5.3'!Print_Titles</vt:lpstr>
      <vt:lpstr>'Bill 6.3'!Print_Titles</vt:lpstr>
      <vt:lpstr>'Bill 7.3'!Print_Titles</vt:lpstr>
      <vt:lpstr>'Bill 9.3'!Print_Titles</vt:lpstr>
      <vt:lpstr>'Bill No 1'!Print_Titles</vt:lpstr>
      <vt:lpstr>'Bill No 4'!Print_Titles</vt:lpstr>
      <vt:lpstr>'Bill No 8.1.3'!Print_Titles</vt:lpstr>
      <vt:lpstr>'Bill No 8.1.4'!Print_Titles</vt:lpstr>
      <vt:lpstr>'Bill No 8.2.3 '!Print_Titles</vt:lpstr>
      <vt:lpstr>'Bill No. 2'!Print_Titles</vt:lpstr>
      <vt:lpstr>'Bill No. 3'!Print_Titles</vt:lpstr>
      <vt:lpstr>'Bill No. 4.1'!Print_Titles</vt:lpstr>
      <vt:lpstr>'Bill No. 4.2'!Print_Titles</vt:lpstr>
      <vt:lpstr>'Bill No. 5'!Print_Titles</vt:lpstr>
      <vt:lpstr>'Bill No. 7'!Print_Titles</vt:lpstr>
      <vt:lpstr>'Bill No. 9'!Print_Titles</vt:lpstr>
      <vt:lpstr>'Bill No.6'!Print_Titles</vt:lpstr>
      <vt:lpstr>'Bill No.8'!Print_Titles</vt:lpstr>
      <vt:lpstr>'Bill No.8.1 '!Print_Titles</vt:lpstr>
      <vt:lpstr>'Bill No.8.2'!Print_Titles</vt:lpstr>
      <vt:lpstr>'Bill No.Sum '!Print_Titles</vt:lpstr>
      <vt:lpstr>'Grand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Amila Bandara</dc:creator>
  <cp:lastModifiedBy>Gihan</cp:lastModifiedBy>
  <cp:lastPrinted>2021-12-03T05:34:35Z</cp:lastPrinted>
  <dcterms:created xsi:type="dcterms:W3CDTF">2021-05-12T08:27:21Z</dcterms:created>
  <dcterms:modified xsi:type="dcterms:W3CDTF">2021-12-15T05:54:16Z</dcterms:modified>
</cp:coreProperties>
</file>