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IIB new\Group 03 new\FINAL DOCS to TEC 10.11.2021\Final to print  for TD Approvel -TEC P7\BOQs\Blank BOQs excel\"/>
    </mc:Choice>
  </mc:AlternateContent>
  <xr:revisionPtr revIDLastSave="0" documentId="13_ncr:1_{B4C9AB6A-A892-44C6-9DB1-95163530D275}" xr6:coauthVersionLast="47" xr6:coauthVersionMax="47" xr10:uidLastSave="{00000000-0000-0000-0000-000000000000}"/>
  <bookViews>
    <workbookView xWindow="-108" yWindow="-108" windowWidth="23256" windowHeight="12576" tabRatio="813" firstSheet="35" activeTab="56" xr2:uid="{C85EA6F4-3D72-4743-8C75-54635C88C55A}"/>
  </bookViews>
  <sheets>
    <sheet name="Grand Summary" sheetId="36" r:id="rId1"/>
    <sheet name="Bill No.Sum " sheetId="64" r:id="rId2"/>
    <sheet name="Bill No 1" sheetId="37" r:id="rId3"/>
    <sheet name="QTY78" sheetId="8" state="hidden" r:id="rId4"/>
    <sheet name="Drains78" sheetId="9" state="hidden" r:id="rId5"/>
    <sheet name="Sheet78" sheetId="1" state="hidden" r:id="rId6"/>
    <sheet name="Bill No. 2" sheetId="10" r:id="rId7"/>
    <sheet name="Bill 2.1" sheetId="11" r:id="rId8"/>
    <sheet name="Bill 2.2" sheetId="12" r:id="rId9"/>
    <sheet name="Bill 2.3" sheetId="13" r:id="rId10"/>
    <sheet name="Bill 2.4" sheetId="14" r:id="rId11"/>
    <sheet name="QTY80" sheetId="15" state="hidden" r:id="rId12"/>
    <sheet name="Drains80" sheetId="16" state="hidden" r:id="rId13"/>
    <sheet name="Sheet80" sheetId="17" state="hidden" r:id="rId14"/>
    <sheet name="Bill No. 3" sheetId="18" r:id="rId15"/>
    <sheet name="Bill 3.1" sheetId="19" r:id="rId16"/>
    <sheet name="Bill 3.2" sheetId="20" r:id="rId17"/>
    <sheet name="Bill 3.3" sheetId="21" r:id="rId18"/>
    <sheet name="Bill 3.4" sheetId="22" r:id="rId19"/>
    <sheet name="Bill 3.5" sheetId="23" r:id="rId20"/>
    <sheet name="QTY84" sheetId="24" state="hidden" r:id="rId21"/>
    <sheet name="Drains84" sheetId="25" state="hidden" r:id="rId22"/>
    <sheet name="Sheet84" sheetId="26" state="hidden" r:id="rId23"/>
    <sheet name="Bill No. 4" sheetId="27" r:id="rId24"/>
    <sheet name="Bill 4.1" sheetId="28" r:id="rId25"/>
    <sheet name="Bill 4.2" sheetId="29" r:id="rId26"/>
    <sheet name="Bill4.3" sheetId="30" r:id="rId27"/>
    <sheet name="Bill 4.4" sheetId="31" r:id="rId28"/>
    <sheet name="Bill 4.5" sheetId="32" r:id="rId29"/>
    <sheet name="QTY87" sheetId="33" state="hidden" r:id="rId30"/>
    <sheet name="Drains87" sheetId="34" state="hidden" r:id="rId31"/>
    <sheet name="Sheet87" sheetId="35" state="hidden" r:id="rId32"/>
    <sheet name="Bill No. 5" sheetId="39" r:id="rId33"/>
    <sheet name="Bill 5.1" sheetId="40" r:id="rId34"/>
    <sheet name="Bill 5.2" sheetId="41" r:id="rId35"/>
    <sheet name="Bill 5.3" sheetId="42" r:id="rId36"/>
    <sheet name="Drain Qty89" sheetId="44" state="hidden" r:id="rId37"/>
    <sheet name="Resting Type wall89" sheetId="45" state="hidden" r:id="rId38"/>
    <sheet name="QTY89" sheetId="46" state="hidden" r:id="rId39"/>
    <sheet name="Bill No. 6" sheetId="47" r:id="rId40"/>
    <sheet name="Bill No. 6.1" sheetId="48" r:id="rId41"/>
    <sheet name="Bill 6.1.1" sheetId="49" r:id="rId42"/>
    <sheet name="Bill 6.1.2" sheetId="50" r:id="rId43"/>
    <sheet name="Bill 6.1.3" sheetId="51" r:id="rId44"/>
    <sheet name="Bill 6.1.4" sheetId="52" r:id="rId45"/>
    <sheet name="Bill 6.1.5" sheetId="53" r:id="rId46"/>
    <sheet name="QTY90" sheetId="54" state="hidden" r:id="rId47"/>
    <sheet name="Drains90" sheetId="55" state="hidden" r:id="rId48"/>
    <sheet name="Sheet90" sheetId="56" state="hidden" r:id="rId49"/>
    <sheet name="Bill No. 6.2" sheetId="57" r:id="rId50"/>
    <sheet name="Bill 6.2.1" sheetId="58" r:id="rId51"/>
    <sheet name="Bill 6.2.2" sheetId="59" r:id="rId52"/>
    <sheet name="Bill 6.2.3" sheetId="60" r:id="rId53"/>
    <sheet name="QTY 90(2)" sheetId="61" state="hidden" r:id="rId54"/>
    <sheet name="Drains 90(2)" sheetId="62" state="hidden" r:id="rId55"/>
    <sheet name="Sheet90(2)" sheetId="63" state="hidden" r:id="rId56"/>
    <sheet name="Bill No.7 Dayworks" sheetId="38" r:id="rId57"/>
  </sheets>
  <externalReferences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A" localSheetId="33">#REF!</definedName>
    <definedName name="A" localSheetId="34">#REF!</definedName>
    <definedName name="A" localSheetId="35">#REF!</definedName>
    <definedName name="A" localSheetId="45">#REF!</definedName>
    <definedName name="A" localSheetId="2">#REF!</definedName>
    <definedName name="A" localSheetId="6">#REF!</definedName>
    <definedName name="A" localSheetId="14">#REF!</definedName>
    <definedName name="A" localSheetId="23">#REF!</definedName>
    <definedName name="A" localSheetId="32">#REF!</definedName>
    <definedName name="A" localSheetId="39">#REF!</definedName>
    <definedName name="A" localSheetId="40">#REF!</definedName>
    <definedName name="A" localSheetId="49">#REF!</definedName>
    <definedName name="A" localSheetId="56">#REF!</definedName>
    <definedName name="A" localSheetId="1">#REF!</definedName>
    <definedName name="A" localSheetId="54">#REF!</definedName>
    <definedName name="A" localSheetId="4">#REF!</definedName>
    <definedName name="A" localSheetId="12">#REF!</definedName>
    <definedName name="A" localSheetId="21">#REF!</definedName>
    <definedName name="A" localSheetId="30">#REF!</definedName>
    <definedName name="A" localSheetId="47">#REF!</definedName>
    <definedName name="A" localSheetId="0">#REF!</definedName>
    <definedName name="A" localSheetId="53">#REF!</definedName>
    <definedName name="A" localSheetId="3">#REF!</definedName>
    <definedName name="A" localSheetId="11">#REF!</definedName>
    <definedName name="A" localSheetId="20">#REF!</definedName>
    <definedName name="A" localSheetId="29">#REF!</definedName>
    <definedName name="A" localSheetId="38">#REF!</definedName>
    <definedName name="A" localSheetId="46">#REF!</definedName>
    <definedName name="A">#REF!</definedName>
    <definedName name="aa" localSheetId="33">#REF!</definedName>
    <definedName name="aa" localSheetId="34">#REF!</definedName>
    <definedName name="aa" localSheetId="35">#REF!</definedName>
    <definedName name="aa" localSheetId="45">#REF!</definedName>
    <definedName name="aa" localSheetId="2">#REF!</definedName>
    <definedName name="aa" localSheetId="6">#REF!</definedName>
    <definedName name="aa" localSheetId="14">#REF!</definedName>
    <definedName name="aa" localSheetId="23">#REF!</definedName>
    <definedName name="aa" localSheetId="32">#REF!</definedName>
    <definedName name="aa" localSheetId="39">#REF!</definedName>
    <definedName name="aa" localSheetId="40">#REF!</definedName>
    <definedName name="aa" localSheetId="49">#REF!</definedName>
    <definedName name="aa" localSheetId="56">#REF!</definedName>
    <definedName name="aa" localSheetId="1">#REF!</definedName>
    <definedName name="aa" localSheetId="54">#REF!</definedName>
    <definedName name="aa" localSheetId="4">#REF!</definedName>
    <definedName name="aa" localSheetId="12">#REF!</definedName>
    <definedName name="aa" localSheetId="21">#REF!</definedName>
    <definedName name="aa" localSheetId="30">#REF!</definedName>
    <definedName name="aa" localSheetId="47">#REF!</definedName>
    <definedName name="aa" localSheetId="53">#REF!</definedName>
    <definedName name="aa" localSheetId="3">#REF!</definedName>
    <definedName name="aa" localSheetId="11">#REF!</definedName>
    <definedName name="aa" localSheetId="20">#REF!</definedName>
    <definedName name="aa" localSheetId="29">#REF!</definedName>
    <definedName name="aa" localSheetId="38">#REF!</definedName>
    <definedName name="aa" localSheetId="46">#REF!</definedName>
    <definedName name="aa">#REF!</definedName>
    <definedName name="athula" localSheetId="33">#REF!</definedName>
    <definedName name="athula" localSheetId="34">#REF!</definedName>
    <definedName name="athula" localSheetId="35">#REF!</definedName>
    <definedName name="athula" localSheetId="45">#REF!</definedName>
    <definedName name="athula" localSheetId="2">#REF!</definedName>
    <definedName name="athula" localSheetId="6">#REF!</definedName>
    <definedName name="athula" localSheetId="14">#REF!</definedName>
    <definedName name="athula" localSheetId="23">#REF!</definedName>
    <definedName name="athula" localSheetId="32">#REF!</definedName>
    <definedName name="athula" localSheetId="39">#REF!</definedName>
    <definedName name="athula" localSheetId="40">#REF!</definedName>
    <definedName name="athula" localSheetId="49">#REF!</definedName>
    <definedName name="athula" localSheetId="56">#REF!</definedName>
    <definedName name="athula" localSheetId="1">#REF!</definedName>
    <definedName name="athula" localSheetId="54">#REF!</definedName>
    <definedName name="athula" localSheetId="4">#REF!</definedName>
    <definedName name="athula" localSheetId="12">#REF!</definedName>
    <definedName name="athula" localSheetId="21">#REF!</definedName>
    <definedName name="athula" localSheetId="30">#REF!</definedName>
    <definedName name="athula" localSheetId="47">#REF!</definedName>
    <definedName name="athula" localSheetId="53">#REF!</definedName>
    <definedName name="athula" localSheetId="3">#REF!</definedName>
    <definedName name="athula" localSheetId="11">#REF!</definedName>
    <definedName name="athula" localSheetId="20">#REF!</definedName>
    <definedName name="athula" localSheetId="29">#REF!</definedName>
    <definedName name="athula" localSheetId="38">#REF!</definedName>
    <definedName name="athula" localSheetId="46">#REF!</definedName>
    <definedName name="athula">#REF!</definedName>
    <definedName name="B" localSheetId="33">#REF!</definedName>
    <definedName name="B" localSheetId="34">#REF!</definedName>
    <definedName name="B" localSheetId="35">#REF!</definedName>
    <definedName name="B" localSheetId="45">#REF!</definedName>
    <definedName name="B" localSheetId="2">#REF!</definedName>
    <definedName name="B" localSheetId="6">#REF!</definedName>
    <definedName name="B" localSheetId="14">#REF!</definedName>
    <definedName name="B" localSheetId="23">#REF!</definedName>
    <definedName name="B" localSheetId="32">#REF!</definedName>
    <definedName name="B" localSheetId="39">#REF!</definedName>
    <definedName name="B" localSheetId="40">#REF!</definedName>
    <definedName name="B" localSheetId="49">#REF!</definedName>
    <definedName name="B" localSheetId="56">#REF!</definedName>
    <definedName name="B" localSheetId="1">#REF!</definedName>
    <definedName name="B" localSheetId="54">#REF!</definedName>
    <definedName name="B" localSheetId="4">#REF!</definedName>
    <definedName name="B" localSheetId="12">#REF!</definedName>
    <definedName name="B" localSheetId="21">#REF!</definedName>
    <definedName name="B" localSheetId="30">#REF!</definedName>
    <definedName name="B" localSheetId="47">#REF!</definedName>
    <definedName name="B" localSheetId="53">#REF!</definedName>
    <definedName name="B" localSheetId="3">#REF!</definedName>
    <definedName name="B" localSheetId="11">#REF!</definedName>
    <definedName name="B" localSheetId="20">#REF!</definedName>
    <definedName name="B" localSheetId="29">#REF!</definedName>
    <definedName name="B" localSheetId="38">#REF!</definedName>
    <definedName name="B" localSheetId="46">#REF!</definedName>
    <definedName name="B">#REF!</definedName>
    <definedName name="bbb" localSheetId="33">#REF!</definedName>
    <definedName name="bbb" localSheetId="34">#REF!</definedName>
    <definedName name="bbb" localSheetId="35">#REF!</definedName>
    <definedName name="bbb" localSheetId="45">#REF!</definedName>
    <definedName name="bbb" localSheetId="2">#REF!</definedName>
    <definedName name="bbb" localSheetId="6">#REF!</definedName>
    <definedName name="bbb" localSheetId="14">#REF!</definedName>
    <definedName name="bbb" localSheetId="23">#REF!</definedName>
    <definedName name="bbb" localSheetId="32">#REF!</definedName>
    <definedName name="bbb" localSheetId="39">#REF!</definedName>
    <definedName name="bbb" localSheetId="40">#REF!</definedName>
    <definedName name="bbb" localSheetId="49">#REF!</definedName>
    <definedName name="bbb" localSheetId="56">#REF!</definedName>
    <definedName name="bbb" localSheetId="1">#REF!</definedName>
    <definedName name="bbb" localSheetId="54">#REF!</definedName>
    <definedName name="bbb" localSheetId="4">#REF!</definedName>
    <definedName name="bbb" localSheetId="12">#REF!</definedName>
    <definedName name="bbb" localSheetId="21">#REF!</definedName>
    <definedName name="bbb" localSheetId="30">#REF!</definedName>
    <definedName name="bbb" localSheetId="47">#REF!</definedName>
    <definedName name="bbb" localSheetId="53">#REF!</definedName>
    <definedName name="bbb" localSheetId="3">#REF!</definedName>
    <definedName name="bbb" localSheetId="11">#REF!</definedName>
    <definedName name="bbb" localSheetId="20">#REF!</definedName>
    <definedName name="bbb" localSheetId="29">#REF!</definedName>
    <definedName name="bbb" localSheetId="38">#REF!</definedName>
    <definedName name="bbb" localSheetId="46">#REF!</definedName>
    <definedName name="bbb">#REF!</definedName>
    <definedName name="bill1" localSheetId="33">#REF!</definedName>
    <definedName name="bill1" localSheetId="34">#REF!</definedName>
    <definedName name="bill1" localSheetId="35">#REF!</definedName>
    <definedName name="bill1" localSheetId="45">#REF!</definedName>
    <definedName name="bill1" localSheetId="2">#REF!</definedName>
    <definedName name="bill1" localSheetId="6">#REF!</definedName>
    <definedName name="bill1" localSheetId="14">#REF!</definedName>
    <definedName name="bill1" localSheetId="23">#REF!</definedName>
    <definedName name="bill1" localSheetId="32">#REF!</definedName>
    <definedName name="bill1" localSheetId="39">#REF!</definedName>
    <definedName name="bill1" localSheetId="40">#REF!</definedName>
    <definedName name="bill1" localSheetId="49">#REF!</definedName>
    <definedName name="bill1" localSheetId="56">#REF!</definedName>
    <definedName name="bill1" localSheetId="1">#REF!</definedName>
    <definedName name="bill1" localSheetId="54">#REF!</definedName>
    <definedName name="bill1" localSheetId="4">#REF!</definedName>
    <definedName name="bill1" localSheetId="12">#REF!</definedName>
    <definedName name="bill1" localSheetId="21">#REF!</definedName>
    <definedName name="bill1" localSheetId="30">#REF!</definedName>
    <definedName name="bill1" localSheetId="47">#REF!</definedName>
    <definedName name="bill1" localSheetId="53">#REF!</definedName>
    <definedName name="bill1" localSheetId="3">#REF!</definedName>
    <definedName name="bill1" localSheetId="11">#REF!</definedName>
    <definedName name="bill1" localSheetId="20">#REF!</definedName>
    <definedName name="bill1" localSheetId="29">#REF!</definedName>
    <definedName name="bill1" localSheetId="38">#REF!</definedName>
    <definedName name="bill1" localSheetId="46">#REF!</definedName>
    <definedName name="bill1">#REF!</definedName>
    <definedName name="C_" localSheetId="33">#REF!</definedName>
    <definedName name="C_" localSheetId="34">#REF!</definedName>
    <definedName name="C_" localSheetId="35">#REF!</definedName>
    <definedName name="C_" localSheetId="45">#REF!</definedName>
    <definedName name="C_" localSheetId="2">#REF!</definedName>
    <definedName name="C_" localSheetId="6">#REF!</definedName>
    <definedName name="C_" localSheetId="14">#REF!</definedName>
    <definedName name="C_" localSheetId="23">#REF!</definedName>
    <definedName name="C_" localSheetId="32">#REF!</definedName>
    <definedName name="C_" localSheetId="39">#REF!</definedName>
    <definedName name="C_" localSheetId="40">#REF!</definedName>
    <definedName name="C_" localSheetId="49">#REF!</definedName>
    <definedName name="C_" localSheetId="56">#REF!</definedName>
    <definedName name="C_" localSheetId="1">#REF!</definedName>
    <definedName name="C_" localSheetId="54">#REF!</definedName>
    <definedName name="C_" localSheetId="4">#REF!</definedName>
    <definedName name="C_" localSheetId="12">#REF!</definedName>
    <definedName name="C_" localSheetId="21">#REF!</definedName>
    <definedName name="C_" localSheetId="30">#REF!</definedName>
    <definedName name="C_" localSheetId="47">#REF!</definedName>
    <definedName name="C_" localSheetId="53">#REF!</definedName>
    <definedName name="C_" localSheetId="3">#REF!</definedName>
    <definedName name="C_" localSheetId="11">#REF!</definedName>
    <definedName name="C_" localSheetId="20">#REF!</definedName>
    <definedName name="C_" localSheetId="29">#REF!</definedName>
    <definedName name="C_" localSheetId="38">#REF!</definedName>
    <definedName name="C_" localSheetId="46">#REF!</definedName>
    <definedName name="C_">#REF!</definedName>
    <definedName name="Columns">[1]Schedules!$A$5:$E$25</definedName>
    <definedName name="d" localSheetId="33">#REF!</definedName>
    <definedName name="d" localSheetId="34">#REF!</definedName>
    <definedName name="d" localSheetId="35">#REF!</definedName>
    <definedName name="d" localSheetId="45">#REF!</definedName>
    <definedName name="d" localSheetId="2">#REF!</definedName>
    <definedName name="d" localSheetId="6">#REF!</definedName>
    <definedName name="d" localSheetId="14">#REF!</definedName>
    <definedName name="d" localSheetId="23">#REF!</definedName>
    <definedName name="d" localSheetId="32">#REF!</definedName>
    <definedName name="d" localSheetId="39">#REF!</definedName>
    <definedName name="d" localSheetId="40">#REF!</definedName>
    <definedName name="d" localSheetId="49">#REF!</definedName>
    <definedName name="d" localSheetId="56">#REF!</definedName>
    <definedName name="d" localSheetId="1">#REF!</definedName>
    <definedName name="d" localSheetId="54">#REF!</definedName>
    <definedName name="d" localSheetId="4">#REF!</definedName>
    <definedName name="d" localSheetId="12">#REF!</definedName>
    <definedName name="d" localSheetId="21">#REF!</definedName>
    <definedName name="d" localSheetId="30">#REF!</definedName>
    <definedName name="d" localSheetId="47">#REF!</definedName>
    <definedName name="d" localSheetId="0">#REF!</definedName>
    <definedName name="d" localSheetId="53">#REF!</definedName>
    <definedName name="d" localSheetId="3">#REF!</definedName>
    <definedName name="d" localSheetId="11">#REF!</definedName>
    <definedName name="d" localSheetId="20">#REF!</definedName>
    <definedName name="d" localSheetId="29">#REF!</definedName>
    <definedName name="d" localSheetId="38">#REF!</definedName>
    <definedName name="d" localSheetId="46">#REF!</definedName>
    <definedName name="d">#REF!</definedName>
    <definedName name="Excel_BuiltIn_Print_Area_12_1">"$#REF!.$A$2:$R$18"</definedName>
    <definedName name="Excel_BuiltIn_Print_Area_12_1_1">"$#REF!.$A$2:$R$12"</definedName>
    <definedName name="Excel_BuiltIn_Print_Area_12_1_1_1">"$#REF!.$A$2:$C$18"</definedName>
    <definedName name="Excel_BuiltIn_Print_Titles_2_1_1">"$#REF!.$A$4:$AMJ$6"</definedName>
    <definedName name="f" localSheetId="33">#REF!</definedName>
    <definedName name="f" localSheetId="34">#REF!</definedName>
    <definedName name="f" localSheetId="35">#REF!</definedName>
    <definedName name="f" localSheetId="45">#REF!</definedName>
    <definedName name="f" localSheetId="2">#REF!</definedName>
    <definedName name="f" localSheetId="6">#REF!</definedName>
    <definedName name="f" localSheetId="14">#REF!</definedName>
    <definedName name="f" localSheetId="23">#REF!</definedName>
    <definedName name="f" localSheetId="32">#REF!</definedName>
    <definedName name="f" localSheetId="39">#REF!</definedName>
    <definedName name="f" localSheetId="40">#REF!</definedName>
    <definedName name="f" localSheetId="49">#REF!</definedName>
    <definedName name="f" localSheetId="56">#REF!</definedName>
    <definedName name="f" localSheetId="1">#REF!</definedName>
    <definedName name="f" localSheetId="54">#REF!</definedName>
    <definedName name="f" localSheetId="4">#REF!</definedName>
    <definedName name="f" localSheetId="12">#REF!</definedName>
    <definedName name="f" localSheetId="21">#REF!</definedName>
    <definedName name="f" localSheetId="30">#REF!</definedName>
    <definedName name="f" localSheetId="47">#REF!</definedName>
    <definedName name="f" localSheetId="0">#REF!</definedName>
    <definedName name="f" localSheetId="53">#REF!</definedName>
    <definedName name="f" localSheetId="3">#REF!</definedName>
    <definedName name="f" localSheetId="11">#REF!</definedName>
    <definedName name="f" localSheetId="20">#REF!</definedName>
    <definedName name="f" localSheetId="29">#REF!</definedName>
    <definedName name="f" localSheetId="38">#REF!</definedName>
    <definedName name="f" localSheetId="46">#REF!</definedName>
    <definedName name="f">#REF!</definedName>
    <definedName name="fg" localSheetId="33">#REF!</definedName>
    <definedName name="fg" localSheetId="34">#REF!</definedName>
    <definedName name="fg" localSheetId="35">#REF!</definedName>
    <definedName name="fg" localSheetId="45">#REF!</definedName>
    <definedName name="fg" localSheetId="2">#REF!</definedName>
    <definedName name="fg" localSheetId="6">#REF!</definedName>
    <definedName name="fg" localSheetId="14">#REF!</definedName>
    <definedName name="fg" localSheetId="23">#REF!</definedName>
    <definedName name="fg" localSheetId="32">#REF!</definedName>
    <definedName name="fg" localSheetId="39">#REF!</definedName>
    <definedName name="fg" localSheetId="40">#REF!</definedName>
    <definedName name="fg" localSheetId="49">#REF!</definedName>
    <definedName name="fg" localSheetId="56">#REF!</definedName>
    <definedName name="fg" localSheetId="1">#REF!</definedName>
    <definedName name="fg" localSheetId="54">#REF!</definedName>
    <definedName name="fg" localSheetId="4">#REF!</definedName>
    <definedName name="fg" localSheetId="12">#REF!</definedName>
    <definedName name="fg" localSheetId="21">#REF!</definedName>
    <definedName name="fg" localSheetId="30">#REF!</definedName>
    <definedName name="fg" localSheetId="47">#REF!</definedName>
    <definedName name="fg" localSheetId="53">#REF!</definedName>
    <definedName name="fg" localSheetId="3">#REF!</definedName>
    <definedName name="fg" localSheetId="11">#REF!</definedName>
    <definedName name="fg" localSheetId="20">#REF!</definedName>
    <definedName name="fg" localSheetId="29">#REF!</definedName>
    <definedName name="fg" localSheetId="38">#REF!</definedName>
    <definedName name="fg" localSheetId="46">#REF!</definedName>
    <definedName name="fg">#REF!</definedName>
    <definedName name="g" localSheetId="33">#REF!</definedName>
    <definedName name="g" localSheetId="34">#REF!</definedName>
    <definedName name="g" localSheetId="35">#REF!</definedName>
    <definedName name="g" localSheetId="45">#REF!</definedName>
    <definedName name="g" localSheetId="2">#REF!</definedName>
    <definedName name="g" localSheetId="6">#REF!</definedName>
    <definedName name="g" localSheetId="14">#REF!</definedName>
    <definedName name="g" localSheetId="23">#REF!</definedName>
    <definedName name="g" localSheetId="32">#REF!</definedName>
    <definedName name="g" localSheetId="39">#REF!</definedName>
    <definedName name="g" localSheetId="40">#REF!</definedName>
    <definedName name="g" localSheetId="49">#REF!</definedName>
    <definedName name="g" localSheetId="56">#REF!</definedName>
    <definedName name="g" localSheetId="1">#REF!</definedName>
    <definedName name="g" localSheetId="54">#REF!</definedName>
    <definedName name="g" localSheetId="4">#REF!</definedName>
    <definedName name="g" localSheetId="12">#REF!</definedName>
    <definedName name="g" localSheetId="21">#REF!</definedName>
    <definedName name="g" localSheetId="30">#REF!</definedName>
    <definedName name="g" localSheetId="47">#REF!</definedName>
    <definedName name="g" localSheetId="53">#REF!</definedName>
    <definedName name="g" localSheetId="3">#REF!</definedName>
    <definedName name="g" localSheetId="11">#REF!</definedName>
    <definedName name="g" localSheetId="20">#REF!</definedName>
    <definedName name="g" localSheetId="29">#REF!</definedName>
    <definedName name="g" localSheetId="38">#REF!</definedName>
    <definedName name="g" localSheetId="46">#REF!</definedName>
    <definedName name="g">#REF!</definedName>
    <definedName name="H" localSheetId="33">#REF!</definedName>
    <definedName name="H" localSheetId="34">#REF!</definedName>
    <definedName name="H" localSheetId="35">#REF!</definedName>
    <definedName name="H" localSheetId="45">#REF!</definedName>
    <definedName name="H" localSheetId="2">#REF!</definedName>
    <definedName name="H" localSheetId="6">#REF!</definedName>
    <definedName name="H" localSheetId="14">#REF!</definedName>
    <definedName name="H" localSheetId="23">#REF!</definedName>
    <definedName name="H" localSheetId="32">#REF!</definedName>
    <definedName name="H" localSheetId="39">#REF!</definedName>
    <definedName name="H" localSheetId="40">#REF!</definedName>
    <definedName name="H" localSheetId="49">#REF!</definedName>
    <definedName name="H" localSheetId="56">#REF!</definedName>
    <definedName name="H" localSheetId="1">#REF!</definedName>
    <definedName name="H" localSheetId="54">#REF!</definedName>
    <definedName name="H" localSheetId="4">#REF!</definedName>
    <definedName name="H" localSheetId="12">#REF!</definedName>
    <definedName name="H" localSheetId="21">#REF!</definedName>
    <definedName name="H" localSheetId="30">#REF!</definedName>
    <definedName name="H" localSheetId="47">#REF!</definedName>
    <definedName name="H" localSheetId="53">#REF!</definedName>
    <definedName name="H" localSheetId="3">#REF!</definedName>
    <definedName name="H" localSheetId="11">#REF!</definedName>
    <definedName name="H" localSheetId="20">#REF!</definedName>
    <definedName name="H" localSheetId="29">#REF!</definedName>
    <definedName name="H" localSheetId="38">#REF!</definedName>
    <definedName name="H" localSheetId="46">#REF!</definedName>
    <definedName name="H">#REF!</definedName>
    <definedName name="I" localSheetId="33">#REF!</definedName>
    <definedName name="I" localSheetId="34">#REF!</definedName>
    <definedName name="I" localSheetId="35">#REF!</definedName>
    <definedName name="I" localSheetId="45">#REF!</definedName>
    <definedName name="I" localSheetId="2">#REF!</definedName>
    <definedName name="I" localSheetId="6">#REF!</definedName>
    <definedName name="I" localSheetId="14">#REF!</definedName>
    <definedName name="I" localSheetId="23">#REF!</definedName>
    <definedName name="I" localSheetId="32">#REF!</definedName>
    <definedName name="I" localSheetId="39">#REF!</definedName>
    <definedName name="I" localSheetId="40">#REF!</definedName>
    <definedName name="I" localSheetId="49">#REF!</definedName>
    <definedName name="I" localSheetId="56">#REF!</definedName>
    <definedName name="I" localSheetId="1">#REF!</definedName>
    <definedName name="I" localSheetId="54">#REF!</definedName>
    <definedName name="I" localSheetId="4">#REF!</definedName>
    <definedName name="I" localSheetId="12">#REF!</definedName>
    <definedName name="I" localSheetId="21">#REF!</definedName>
    <definedName name="I" localSheetId="30">#REF!</definedName>
    <definedName name="I" localSheetId="47">#REF!</definedName>
    <definedName name="I" localSheetId="53">#REF!</definedName>
    <definedName name="I" localSheetId="3">#REF!</definedName>
    <definedName name="I" localSheetId="11">#REF!</definedName>
    <definedName name="I" localSheetId="20">#REF!</definedName>
    <definedName name="I" localSheetId="29">#REF!</definedName>
    <definedName name="I" localSheetId="38">#REF!</definedName>
    <definedName name="I" localSheetId="46">#REF!</definedName>
    <definedName name="I">#REF!</definedName>
    <definedName name="InsD1" localSheetId="33">#REF!</definedName>
    <definedName name="InsD1" localSheetId="34">#REF!</definedName>
    <definedName name="InsD1" localSheetId="35">#REF!</definedName>
    <definedName name="InsD1" localSheetId="45">#REF!</definedName>
    <definedName name="InsD1" localSheetId="2">#REF!</definedName>
    <definedName name="InsD1" localSheetId="6">#REF!</definedName>
    <definedName name="InsD1" localSheetId="14">#REF!</definedName>
    <definedName name="InsD1" localSheetId="23">#REF!</definedName>
    <definedName name="InsD1" localSheetId="32">#REF!</definedName>
    <definedName name="InsD1" localSheetId="39">#REF!</definedName>
    <definedName name="InsD1" localSheetId="40">#REF!</definedName>
    <definedName name="InsD1" localSheetId="49">#REF!</definedName>
    <definedName name="InsD1" localSheetId="56">#REF!</definedName>
    <definedName name="InsD1" localSheetId="1">#REF!</definedName>
    <definedName name="InsD1" localSheetId="54">#REF!</definedName>
    <definedName name="InsD1" localSheetId="4">#REF!</definedName>
    <definedName name="InsD1" localSheetId="12">#REF!</definedName>
    <definedName name="InsD1" localSheetId="21">#REF!</definedName>
    <definedName name="InsD1" localSheetId="30">#REF!</definedName>
    <definedName name="InsD1" localSheetId="47">#REF!</definedName>
    <definedName name="InsD1" localSheetId="53">#REF!</definedName>
    <definedName name="InsD1" localSheetId="3">#REF!</definedName>
    <definedName name="InsD1" localSheetId="11">#REF!</definedName>
    <definedName name="InsD1" localSheetId="20">#REF!</definedName>
    <definedName name="InsD1" localSheetId="29">#REF!</definedName>
    <definedName name="InsD1" localSheetId="38">#REF!</definedName>
    <definedName name="InsD1" localSheetId="46">#REF!</definedName>
    <definedName name="InsD1">#REF!</definedName>
    <definedName name="InsD2" localSheetId="33">#REF!</definedName>
    <definedName name="InsD2" localSheetId="34">#REF!</definedName>
    <definedName name="InsD2" localSheetId="35">#REF!</definedName>
    <definedName name="InsD2" localSheetId="45">#REF!</definedName>
    <definedName name="InsD2" localSheetId="2">#REF!</definedName>
    <definedName name="InsD2" localSheetId="6">#REF!</definedName>
    <definedName name="InsD2" localSheetId="14">#REF!</definedName>
    <definedName name="InsD2" localSheetId="23">#REF!</definedName>
    <definedName name="InsD2" localSheetId="32">#REF!</definedName>
    <definedName name="InsD2" localSheetId="39">#REF!</definedName>
    <definedName name="InsD2" localSheetId="40">#REF!</definedName>
    <definedName name="InsD2" localSheetId="49">#REF!</definedName>
    <definedName name="InsD2" localSheetId="56">#REF!</definedName>
    <definedName name="InsD2" localSheetId="1">#REF!</definedName>
    <definedName name="InsD2" localSheetId="54">#REF!</definedName>
    <definedName name="InsD2" localSheetId="4">#REF!</definedName>
    <definedName name="InsD2" localSheetId="12">#REF!</definedName>
    <definedName name="InsD2" localSheetId="21">#REF!</definedName>
    <definedName name="InsD2" localSheetId="30">#REF!</definedName>
    <definedName name="InsD2" localSheetId="47">#REF!</definedName>
    <definedName name="InsD2" localSheetId="53">#REF!</definedName>
    <definedName name="InsD2" localSheetId="3">#REF!</definedName>
    <definedName name="InsD2" localSheetId="11">#REF!</definedName>
    <definedName name="InsD2" localSheetId="20">#REF!</definedName>
    <definedName name="InsD2" localSheetId="29">#REF!</definedName>
    <definedName name="InsD2" localSheetId="38">#REF!</definedName>
    <definedName name="InsD2" localSheetId="46">#REF!</definedName>
    <definedName name="InsD2">#REF!</definedName>
    <definedName name="j" localSheetId="33">#REF!</definedName>
    <definedName name="j" localSheetId="34">#REF!</definedName>
    <definedName name="j" localSheetId="35">#REF!</definedName>
    <definedName name="j" localSheetId="45">#REF!</definedName>
    <definedName name="j" localSheetId="2">#REF!</definedName>
    <definedName name="j" localSheetId="6">#REF!</definedName>
    <definedName name="j" localSheetId="14">#REF!</definedName>
    <definedName name="j" localSheetId="23">#REF!</definedName>
    <definedName name="j" localSheetId="32">#REF!</definedName>
    <definedName name="j" localSheetId="39">#REF!</definedName>
    <definedName name="j" localSheetId="40">#REF!</definedName>
    <definedName name="j" localSheetId="49">#REF!</definedName>
    <definedName name="j" localSheetId="56">#REF!</definedName>
    <definedName name="j" localSheetId="1">#REF!</definedName>
    <definedName name="j" localSheetId="54">#REF!</definedName>
    <definedName name="j" localSheetId="4">#REF!</definedName>
    <definedName name="j" localSheetId="12">#REF!</definedName>
    <definedName name="j" localSheetId="21">#REF!</definedName>
    <definedName name="j" localSheetId="30">#REF!</definedName>
    <definedName name="j" localSheetId="47">#REF!</definedName>
    <definedName name="j" localSheetId="53">#REF!</definedName>
    <definedName name="j" localSheetId="3">#REF!</definedName>
    <definedName name="j" localSheetId="11">#REF!</definedName>
    <definedName name="j" localSheetId="20">#REF!</definedName>
    <definedName name="j" localSheetId="29">#REF!</definedName>
    <definedName name="j" localSheetId="38">#REF!</definedName>
    <definedName name="j" localSheetId="46">#REF!</definedName>
    <definedName name="j">#REF!</definedName>
    <definedName name="plumb">[2]Schedules!$A$5:$E$25</definedName>
    <definedName name="_xlnm.Print_Area" localSheetId="7">'Bill 2.1'!$A$1:$G$14</definedName>
    <definedName name="_xlnm.Print_Area" localSheetId="8">'Bill 2.2'!$A$1:$G$15</definedName>
    <definedName name="_xlnm.Print_Area" localSheetId="9">'Bill 2.3'!$A$1:$G$29</definedName>
    <definedName name="_xlnm.Print_Area" localSheetId="10">'Bill 2.4'!$A$1:$G$18</definedName>
    <definedName name="_xlnm.Print_Area" localSheetId="15">'Bill 3.1'!$A$1:$G$14</definedName>
    <definedName name="_xlnm.Print_Area" localSheetId="16">'Bill 3.2'!$A$1:$G$15</definedName>
    <definedName name="_xlnm.Print_Area" localSheetId="17">'Bill 3.3'!$A$1:$G$33</definedName>
    <definedName name="_xlnm.Print_Area" localSheetId="18">'Bill 3.4'!$A$1:$G$14</definedName>
    <definedName name="_xlnm.Print_Area" localSheetId="19">'Bill 3.5'!$A$1:$G$7</definedName>
    <definedName name="_xlnm.Print_Area" localSheetId="24">'Bill 4.1'!$A$1:$G$14</definedName>
    <definedName name="_xlnm.Print_Area" localSheetId="25">'Bill 4.2'!$A$1:$G$15</definedName>
    <definedName name="_xlnm.Print_Area" localSheetId="27">'Bill 4.4'!$A$1:$G$14</definedName>
    <definedName name="_xlnm.Print_Area" localSheetId="28">'Bill 4.5'!$A$1:$G$7</definedName>
    <definedName name="_xlnm.Print_Area" localSheetId="33">'Bill 5.1'!$A$1:$G$14</definedName>
    <definedName name="_xlnm.Print_Area" localSheetId="34">'Bill 5.2'!$A$1:$G$15</definedName>
    <definedName name="_xlnm.Print_Area" localSheetId="35">'Bill 5.3'!$A$1:$G$41</definedName>
    <definedName name="_xlnm.Print_Area" localSheetId="41">'Bill 6.1.1'!$A$1:$G$14</definedName>
    <definedName name="_xlnm.Print_Area" localSheetId="42">'Bill 6.1.2'!$A$1:$G$13</definedName>
    <definedName name="_xlnm.Print_Area" localSheetId="43">'Bill 6.1.3'!$A$1:$G$20</definedName>
    <definedName name="_xlnm.Print_Area" localSheetId="44">'Bill 6.1.4'!$A$1:$G$14</definedName>
    <definedName name="_xlnm.Print_Area" localSheetId="45">'Bill 6.1.5'!$A$1:$G$7</definedName>
    <definedName name="_xlnm.Print_Area" localSheetId="50">'Bill 6.2.1'!$A$1:$G$14</definedName>
    <definedName name="_xlnm.Print_Area" localSheetId="51">'Bill 6.2.2'!$A$1:$G$15</definedName>
    <definedName name="_xlnm.Print_Area" localSheetId="52">'Bill 6.2.3'!$A$1:$G$44</definedName>
    <definedName name="_xlnm.Print_Area" localSheetId="2">'Bill No 1'!$A$1:$G$49</definedName>
    <definedName name="_xlnm.Print_Area" localSheetId="6">'Bill No. 2'!$A$1:$F$8</definedName>
    <definedName name="_xlnm.Print_Area" localSheetId="14">'Bill No. 3'!$A$1:$F$10</definedName>
    <definedName name="_xlnm.Print_Area" localSheetId="23">'Bill No. 4'!$A$1:$F$10</definedName>
    <definedName name="_xlnm.Print_Area" localSheetId="32">'Bill No. 5'!$A$1:$F$8</definedName>
    <definedName name="_xlnm.Print_Area" localSheetId="39">'Bill No. 6'!$A$1:$F$6</definedName>
    <definedName name="_xlnm.Print_Area" localSheetId="40">'Bill No. 6.1'!$A$1:$F$11</definedName>
    <definedName name="_xlnm.Print_Area" localSheetId="49">'Bill No. 6.2'!$A$1:$F$8</definedName>
    <definedName name="_xlnm.Print_Area" localSheetId="56">'Bill No.7 Dayworks'!$A$1:$F$48</definedName>
    <definedName name="_xlnm.Print_Area" localSheetId="1">'Bill No.Sum '!$A$1:$F$6</definedName>
    <definedName name="_xlnm.Print_Area" localSheetId="26">Bill4.3!$A$1:$G$29</definedName>
    <definedName name="_xlnm.Print_Area" localSheetId="0">'Grand Summary'!$A$1:$H$26</definedName>
    <definedName name="_xlnm.Print_Area" localSheetId="53">'QTY 90(2)'!$A$1:$J$163</definedName>
    <definedName name="_xlnm.Print_Area" localSheetId="3">'QTY78'!$A$1:$J$111</definedName>
    <definedName name="_xlnm.Print_Area" localSheetId="11">'QTY80'!$A$1:$J$110</definedName>
    <definedName name="_xlnm.Print_Area" localSheetId="20">'QTY84'!$A$1:$J$127</definedName>
    <definedName name="_xlnm.Print_Area" localSheetId="29">'QTY87'!$A$1:$J$135</definedName>
    <definedName name="_xlnm.Print_Area" localSheetId="38">'QTY89'!$A$1:$J$392</definedName>
    <definedName name="_xlnm.Print_Area" localSheetId="46">'QTY90'!$A$1:$J$124</definedName>
    <definedName name="PRINT_AREA_MI">#N/A</definedName>
    <definedName name="_xlnm.Print_Titles" localSheetId="9">'Bill 2.3'!$1:$2</definedName>
    <definedName name="_xlnm.Print_Titles" localSheetId="17">'Bill 3.3'!$1:$2</definedName>
    <definedName name="_xlnm.Print_Titles" localSheetId="33">#REF!</definedName>
    <definedName name="_xlnm.Print_Titles" localSheetId="34">#REF!</definedName>
    <definedName name="_xlnm.Print_Titles" localSheetId="35">'Bill 5.3'!$1:$2</definedName>
    <definedName name="_xlnm.Print_Titles" localSheetId="43">'Bill 6.1.3'!$1:$2</definedName>
    <definedName name="_xlnm.Print_Titles" localSheetId="45">#REF!</definedName>
    <definedName name="_xlnm.Print_Titles" localSheetId="52">'Bill 6.2.3'!$1:$2</definedName>
    <definedName name="_xlnm.Print_Titles" localSheetId="2">'Bill No 1'!$1:$3</definedName>
    <definedName name="_xlnm.Print_Titles" localSheetId="6">'Bill No. 2'!$2:$3</definedName>
    <definedName name="_xlnm.Print_Titles" localSheetId="14">'Bill No. 3'!$2:$4</definedName>
    <definedName name="_xlnm.Print_Titles" localSheetId="23">'Bill No. 4'!$2:$4</definedName>
    <definedName name="_xlnm.Print_Titles" localSheetId="32">'Bill No. 5'!$2:$4</definedName>
    <definedName name="_xlnm.Print_Titles" localSheetId="39">'Bill No. 6'!$2:$3</definedName>
    <definedName name="_xlnm.Print_Titles" localSheetId="40">'Bill No. 6.1'!$2:$4</definedName>
    <definedName name="_xlnm.Print_Titles" localSheetId="49">'Bill No. 6.2'!$2:$4</definedName>
    <definedName name="_xlnm.Print_Titles" localSheetId="1">'Bill No.Sum '!$2:$4</definedName>
    <definedName name="_xlnm.Print_Titles" localSheetId="26">Bill4.3!$1:$2</definedName>
    <definedName name="_xlnm.Print_Titles" localSheetId="54">#REF!</definedName>
    <definedName name="_xlnm.Print_Titles" localSheetId="4">#REF!</definedName>
    <definedName name="_xlnm.Print_Titles" localSheetId="12">#REF!</definedName>
    <definedName name="_xlnm.Print_Titles" localSheetId="21">#REF!</definedName>
    <definedName name="_xlnm.Print_Titles" localSheetId="30">#REF!</definedName>
    <definedName name="_xlnm.Print_Titles" localSheetId="47">#REF!</definedName>
    <definedName name="_xlnm.Print_Titles" localSheetId="0">'Grand Summary'!$2:$10</definedName>
    <definedName name="_xlnm.Print_Titles" localSheetId="53">#REF!</definedName>
    <definedName name="_xlnm.Print_Titles" localSheetId="3">#REF!</definedName>
    <definedName name="_xlnm.Print_Titles" localSheetId="11">#REF!</definedName>
    <definedName name="_xlnm.Print_Titles" localSheetId="20">#REF!</definedName>
    <definedName name="_xlnm.Print_Titles" localSheetId="29">#REF!</definedName>
    <definedName name="_xlnm.Print_Titles" localSheetId="38">#REF!</definedName>
    <definedName name="_xlnm.Print_Titles" localSheetId="46">#REF!</definedName>
    <definedName name="_xlnm.Print_Titles">#REF!</definedName>
    <definedName name="PRINT_TITLES_MI" localSheetId="33">#REF!</definedName>
    <definedName name="PRINT_TITLES_MI" localSheetId="34">#REF!</definedName>
    <definedName name="PRINT_TITLES_MI" localSheetId="35">#REF!</definedName>
    <definedName name="PRINT_TITLES_MI" localSheetId="45">#REF!</definedName>
    <definedName name="PRINT_TITLES_MI" localSheetId="2">#REF!</definedName>
    <definedName name="PRINT_TITLES_MI" localSheetId="6">#REF!</definedName>
    <definedName name="PRINT_TITLES_MI" localSheetId="14">#REF!</definedName>
    <definedName name="PRINT_TITLES_MI" localSheetId="23">#REF!</definedName>
    <definedName name="PRINT_TITLES_MI" localSheetId="32">#REF!</definedName>
    <definedName name="PRINT_TITLES_MI" localSheetId="39">#REF!</definedName>
    <definedName name="PRINT_TITLES_MI" localSheetId="40">#REF!</definedName>
    <definedName name="PRINT_TITLES_MI" localSheetId="49">#REF!</definedName>
    <definedName name="PRINT_TITLES_MI" localSheetId="56">#REF!</definedName>
    <definedName name="PRINT_TITLES_MI" localSheetId="1">#REF!</definedName>
    <definedName name="PRINT_TITLES_MI" localSheetId="54">#REF!</definedName>
    <definedName name="PRINT_TITLES_MI" localSheetId="4">#REF!</definedName>
    <definedName name="PRINT_TITLES_MI" localSheetId="12">#REF!</definedName>
    <definedName name="PRINT_TITLES_MI" localSheetId="21">#REF!</definedName>
    <definedName name="PRINT_TITLES_MI" localSheetId="30">#REF!</definedName>
    <definedName name="PRINT_TITLES_MI" localSheetId="47">#REF!</definedName>
    <definedName name="PRINT_TITLES_MI" localSheetId="53">#REF!</definedName>
    <definedName name="PRINT_TITLES_MI" localSheetId="3">#REF!</definedName>
    <definedName name="PRINT_TITLES_MI" localSheetId="11">#REF!</definedName>
    <definedName name="PRINT_TITLES_MI" localSheetId="20">#REF!</definedName>
    <definedName name="PRINT_TITLES_MI" localSheetId="29">#REF!</definedName>
    <definedName name="PRINT_TITLES_MI" localSheetId="38">#REF!</definedName>
    <definedName name="PRINT_TITLES_MI" localSheetId="46">#REF!</definedName>
    <definedName name="PRINT_TITLES_MI">#REF!</definedName>
    <definedName name="QTY" localSheetId="33">#REF!</definedName>
    <definedName name="QTY" localSheetId="34">#REF!</definedName>
    <definedName name="QTY" localSheetId="35">#REF!</definedName>
    <definedName name="QTY" localSheetId="45">#REF!</definedName>
    <definedName name="QTY" localSheetId="2">#REF!</definedName>
    <definedName name="QTY" localSheetId="6">#REF!</definedName>
    <definedName name="QTY" localSheetId="14">#REF!</definedName>
    <definedName name="QTY" localSheetId="23">#REF!</definedName>
    <definedName name="QTY" localSheetId="32">#REF!</definedName>
    <definedName name="QTY" localSheetId="39">#REF!</definedName>
    <definedName name="QTY" localSheetId="40">#REF!</definedName>
    <definedName name="QTY" localSheetId="49">#REF!</definedName>
    <definedName name="QTY" localSheetId="56">#REF!</definedName>
    <definedName name="QTY" localSheetId="1">#REF!</definedName>
    <definedName name="QTY" localSheetId="54">#REF!</definedName>
    <definedName name="QTY" localSheetId="4">#REF!</definedName>
    <definedName name="QTY" localSheetId="12">#REF!</definedName>
    <definedName name="QTY" localSheetId="21">#REF!</definedName>
    <definedName name="QTY" localSheetId="30">#REF!</definedName>
    <definedName name="QTY" localSheetId="47">#REF!</definedName>
    <definedName name="QTY" localSheetId="53">#REF!</definedName>
    <definedName name="QTY" localSheetId="3">#REF!</definedName>
    <definedName name="QTY" localSheetId="11">#REF!</definedName>
    <definedName name="QTY" localSheetId="20">#REF!</definedName>
    <definedName name="QTY" localSheetId="29">#REF!</definedName>
    <definedName name="QTY" localSheetId="38">#REF!</definedName>
    <definedName name="QTY" localSheetId="46">#REF!</definedName>
    <definedName name="QTY">#REF!</definedName>
    <definedName name="s" localSheetId="33">#REF!</definedName>
    <definedName name="s" localSheetId="34">#REF!</definedName>
    <definedName name="s" localSheetId="35">#REF!</definedName>
    <definedName name="s" localSheetId="45">#REF!</definedName>
    <definedName name="s" localSheetId="2">#REF!</definedName>
    <definedName name="s" localSheetId="6">#REF!</definedName>
    <definedName name="s" localSheetId="14">#REF!</definedName>
    <definedName name="s" localSheetId="23">#REF!</definedName>
    <definedName name="s" localSheetId="32">#REF!</definedName>
    <definedName name="s" localSheetId="39">#REF!</definedName>
    <definedName name="s" localSheetId="40">#REF!</definedName>
    <definedName name="s" localSheetId="49">#REF!</definedName>
    <definedName name="s" localSheetId="56">#REF!</definedName>
    <definedName name="s" localSheetId="1">#REF!</definedName>
    <definedName name="s" localSheetId="54">#REF!</definedName>
    <definedName name="s" localSheetId="4">#REF!</definedName>
    <definedName name="s" localSheetId="12">#REF!</definedName>
    <definedName name="s" localSheetId="21">#REF!</definedName>
    <definedName name="s" localSheetId="30">#REF!</definedName>
    <definedName name="s" localSheetId="47">#REF!</definedName>
    <definedName name="s" localSheetId="53">#REF!</definedName>
    <definedName name="s" localSheetId="3">#REF!</definedName>
    <definedName name="s" localSheetId="11">#REF!</definedName>
    <definedName name="s" localSheetId="20">#REF!</definedName>
    <definedName name="s" localSheetId="29">#REF!</definedName>
    <definedName name="s" localSheetId="38">#REF!</definedName>
    <definedName name="s" localSheetId="46">#REF!</definedName>
    <definedName name="s">#REF!</definedName>
    <definedName name="Stmms">[3]Schedules!$A$5:$E$25</definedName>
    <definedName name="Sum" localSheetId="33">#REF!</definedName>
    <definedName name="Sum" localSheetId="34">#REF!</definedName>
    <definedName name="Sum" localSheetId="35">#REF!</definedName>
    <definedName name="Sum" localSheetId="45">#REF!</definedName>
    <definedName name="Sum" localSheetId="2">#REF!</definedName>
    <definedName name="Sum" localSheetId="6">#REF!</definedName>
    <definedName name="Sum" localSheetId="14">#REF!</definedName>
    <definedName name="Sum" localSheetId="23">#REF!</definedName>
    <definedName name="Sum" localSheetId="32">#REF!</definedName>
    <definedName name="Sum" localSheetId="39">#REF!</definedName>
    <definedName name="Sum" localSheetId="40">#REF!</definedName>
    <definedName name="Sum" localSheetId="49">#REF!</definedName>
    <definedName name="Sum" localSheetId="56">#REF!</definedName>
    <definedName name="Sum" localSheetId="1">#REF!</definedName>
    <definedName name="Sum" localSheetId="54">#REF!</definedName>
    <definedName name="Sum" localSheetId="4">#REF!</definedName>
    <definedName name="Sum" localSheetId="12">#REF!</definedName>
    <definedName name="Sum" localSheetId="21">#REF!</definedName>
    <definedName name="Sum" localSheetId="30">#REF!</definedName>
    <definedName name="Sum" localSheetId="47">#REF!</definedName>
    <definedName name="Sum" localSheetId="0">#REF!</definedName>
    <definedName name="Sum" localSheetId="53">#REF!</definedName>
    <definedName name="Sum" localSheetId="3">#REF!</definedName>
    <definedName name="Sum" localSheetId="11">#REF!</definedName>
    <definedName name="Sum" localSheetId="20">#REF!</definedName>
    <definedName name="Sum" localSheetId="29">#REF!</definedName>
    <definedName name="Sum" localSheetId="38">#REF!</definedName>
    <definedName name="Sum" localSheetId="46">#REF!</definedName>
    <definedName name="Sum">#REF!</definedName>
    <definedName name="SupD1" localSheetId="33">#REF!</definedName>
    <definedName name="SupD1" localSheetId="34">#REF!</definedName>
    <definedName name="SupD1" localSheetId="35">#REF!</definedName>
    <definedName name="SupD1" localSheetId="45">#REF!</definedName>
    <definedName name="SupD1" localSheetId="2">#REF!</definedName>
    <definedName name="SupD1" localSheetId="6">#REF!</definedName>
    <definedName name="SupD1" localSheetId="14">#REF!</definedName>
    <definedName name="SupD1" localSheetId="23">#REF!</definedName>
    <definedName name="SupD1" localSheetId="32">#REF!</definedName>
    <definedName name="SupD1" localSheetId="39">#REF!</definedName>
    <definedName name="SupD1" localSheetId="40">#REF!</definedName>
    <definedName name="SupD1" localSheetId="49">#REF!</definedName>
    <definedName name="SupD1" localSheetId="56">#REF!</definedName>
    <definedName name="SupD1" localSheetId="1">#REF!</definedName>
    <definedName name="SupD1" localSheetId="54">#REF!</definedName>
    <definedName name="SupD1" localSheetId="4">#REF!</definedName>
    <definedName name="SupD1" localSheetId="12">#REF!</definedName>
    <definedName name="SupD1" localSheetId="21">#REF!</definedName>
    <definedName name="SupD1" localSheetId="30">#REF!</definedName>
    <definedName name="SupD1" localSheetId="47">#REF!</definedName>
    <definedName name="SupD1" localSheetId="53">#REF!</definedName>
    <definedName name="SupD1" localSheetId="3">#REF!</definedName>
    <definedName name="SupD1" localSheetId="11">#REF!</definedName>
    <definedName name="SupD1" localSheetId="20">#REF!</definedName>
    <definedName name="SupD1" localSheetId="29">#REF!</definedName>
    <definedName name="SupD1" localSheetId="38">#REF!</definedName>
    <definedName name="SupD1" localSheetId="46">#REF!</definedName>
    <definedName name="SupD1">#REF!</definedName>
    <definedName name="SupD2" localSheetId="33">#REF!</definedName>
    <definedName name="SupD2" localSheetId="34">#REF!</definedName>
    <definedName name="SupD2" localSheetId="35">#REF!</definedName>
    <definedName name="SupD2" localSheetId="45">#REF!</definedName>
    <definedName name="SupD2" localSheetId="2">#REF!</definedName>
    <definedName name="SupD2" localSheetId="6">#REF!</definedName>
    <definedName name="SupD2" localSheetId="14">#REF!</definedName>
    <definedName name="SupD2" localSheetId="23">#REF!</definedName>
    <definedName name="SupD2" localSheetId="32">#REF!</definedName>
    <definedName name="SupD2" localSheetId="39">#REF!</definedName>
    <definedName name="SupD2" localSheetId="40">#REF!</definedName>
    <definedName name="SupD2" localSheetId="49">#REF!</definedName>
    <definedName name="SupD2" localSheetId="56">#REF!</definedName>
    <definedName name="SupD2" localSheetId="1">#REF!</definedName>
    <definedName name="SupD2" localSheetId="54">#REF!</definedName>
    <definedName name="SupD2" localSheetId="4">#REF!</definedName>
    <definedName name="SupD2" localSheetId="12">#REF!</definedName>
    <definedName name="SupD2" localSheetId="21">#REF!</definedName>
    <definedName name="SupD2" localSheetId="30">#REF!</definedName>
    <definedName name="SupD2" localSheetId="47">#REF!</definedName>
    <definedName name="SupD2" localSheetId="53">#REF!</definedName>
    <definedName name="SupD2" localSheetId="3">#REF!</definedName>
    <definedName name="SupD2" localSheetId="11">#REF!</definedName>
    <definedName name="SupD2" localSheetId="20">#REF!</definedName>
    <definedName name="SupD2" localSheetId="29">#REF!</definedName>
    <definedName name="SupD2" localSheetId="38">#REF!</definedName>
    <definedName name="SupD2" localSheetId="46">#REF!</definedName>
    <definedName name="SupD2">#REF!</definedName>
    <definedName name="w" localSheetId="33">#REF!</definedName>
    <definedName name="w" localSheetId="34">#REF!</definedName>
    <definedName name="w" localSheetId="35">#REF!</definedName>
    <definedName name="w" localSheetId="45">#REF!</definedName>
    <definedName name="w" localSheetId="2">#REF!</definedName>
    <definedName name="w" localSheetId="6">#REF!</definedName>
    <definedName name="w" localSheetId="14">#REF!</definedName>
    <definedName name="w" localSheetId="23">#REF!</definedName>
    <definedName name="w" localSheetId="32">#REF!</definedName>
    <definedName name="w" localSheetId="39">#REF!</definedName>
    <definedName name="w" localSheetId="40">#REF!</definedName>
    <definedName name="w" localSheetId="49">#REF!</definedName>
    <definedName name="w" localSheetId="56">#REF!</definedName>
    <definedName name="w" localSheetId="1">#REF!</definedName>
    <definedName name="w" localSheetId="54">#REF!</definedName>
    <definedName name="w" localSheetId="4">#REF!</definedName>
    <definedName name="w" localSheetId="12">#REF!</definedName>
    <definedName name="w" localSheetId="21">#REF!</definedName>
    <definedName name="w" localSheetId="30">#REF!</definedName>
    <definedName name="w" localSheetId="47">#REF!</definedName>
    <definedName name="w" localSheetId="53">#REF!</definedName>
    <definedName name="w" localSheetId="3">#REF!</definedName>
    <definedName name="w" localSheetId="11">#REF!</definedName>
    <definedName name="w" localSheetId="20">#REF!</definedName>
    <definedName name="w" localSheetId="29">#REF!</definedName>
    <definedName name="w" localSheetId="38">#REF!</definedName>
    <definedName name="w" localSheetId="46">#REF!</definedName>
    <definedName name="w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7" l="1"/>
  <c r="B9" i="27"/>
  <c r="B8" i="27"/>
  <c r="B7" i="27"/>
  <c r="B6" i="27"/>
  <c r="B5" i="57"/>
  <c r="B7" i="57"/>
  <c r="B6" i="57"/>
  <c r="B10" i="48"/>
  <c r="B9" i="48"/>
  <c r="B8" i="48"/>
  <c r="B7" i="48"/>
  <c r="B6" i="48"/>
  <c r="H11" i="31" l="1"/>
  <c r="H11" i="14"/>
  <c r="H11" i="52"/>
  <c r="B12" i="63" l="1"/>
  <c r="L11" i="63"/>
  <c r="K11" i="63"/>
  <c r="J11" i="63"/>
  <c r="I11" i="63"/>
  <c r="H11" i="63"/>
  <c r="B10" i="63"/>
  <c r="B7" i="63"/>
  <c r="L6" i="63"/>
  <c r="L5" i="63" s="1"/>
  <c r="B6" i="63"/>
  <c r="K5" i="63"/>
  <c r="J5" i="63"/>
  <c r="I5" i="63"/>
  <c r="I6" i="63" s="1"/>
  <c r="H5" i="63"/>
  <c r="B5" i="63"/>
  <c r="B4" i="63"/>
  <c r="B3" i="63"/>
  <c r="D250" i="62"/>
  <c r="H241" i="62"/>
  <c r="D239" i="62"/>
  <c r="D238" i="62"/>
  <c r="C232" i="62"/>
  <c r="C236" i="62" s="1"/>
  <c r="N200" i="62"/>
  <c r="E200" i="62"/>
  <c r="D202" i="62" s="1"/>
  <c r="D198" i="62"/>
  <c r="D197" i="62"/>
  <c r="J196" i="62" s="1"/>
  <c r="N196" i="62"/>
  <c r="K196" i="62"/>
  <c r="G196" i="62"/>
  <c r="D194" i="62"/>
  <c r="D193" i="62"/>
  <c r="Q192" i="62" s="1"/>
  <c r="O192" i="62"/>
  <c r="P192" i="62" s="1"/>
  <c r="N192" i="62"/>
  <c r="K192" i="62"/>
  <c r="G192" i="62"/>
  <c r="D190" i="62"/>
  <c r="D189" i="62"/>
  <c r="H188" i="62" s="1"/>
  <c r="N188" i="62"/>
  <c r="O188" i="62" s="1"/>
  <c r="P188" i="62" s="1"/>
  <c r="K188" i="62"/>
  <c r="G188" i="62"/>
  <c r="D186" i="62"/>
  <c r="D185" i="62"/>
  <c r="Q184" i="62" s="1"/>
  <c r="N184" i="62"/>
  <c r="O184" i="62" s="1"/>
  <c r="P184" i="62" s="1"/>
  <c r="K184" i="62"/>
  <c r="G184" i="62"/>
  <c r="D182" i="62"/>
  <c r="M181" i="62"/>
  <c r="R181" i="62" s="1"/>
  <c r="S181" i="62" s="1"/>
  <c r="D181" i="62"/>
  <c r="Q180" i="62"/>
  <c r="N180" i="62"/>
  <c r="L180" i="62"/>
  <c r="M180" i="62" s="1"/>
  <c r="K180" i="62"/>
  <c r="J180" i="62"/>
  <c r="I180" i="62"/>
  <c r="H180" i="62"/>
  <c r="G180" i="62"/>
  <c r="M177" i="62"/>
  <c r="R177" i="62" s="1"/>
  <c r="S177" i="62" s="1"/>
  <c r="N176" i="62"/>
  <c r="O176" i="62" s="1"/>
  <c r="P176" i="62" s="1"/>
  <c r="E176" i="62"/>
  <c r="H176" i="62" s="1"/>
  <c r="M173" i="62"/>
  <c r="R173" i="62" s="1"/>
  <c r="S173" i="62" s="1"/>
  <c r="D173" i="62"/>
  <c r="K173" i="62" s="1"/>
  <c r="N172" i="62"/>
  <c r="O172" i="62" s="1"/>
  <c r="P172" i="62" s="1"/>
  <c r="I172" i="62"/>
  <c r="H19" i="60" s="1"/>
  <c r="E172" i="62"/>
  <c r="D174" i="62" s="1"/>
  <c r="D170" i="62"/>
  <c r="M169" i="62"/>
  <c r="R169" i="62" s="1"/>
  <c r="S169" i="62" s="1"/>
  <c r="D169" i="62"/>
  <c r="Q168" i="62"/>
  <c r="N168" i="62"/>
  <c r="O168" i="62" s="1"/>
  <c r="P168" i="62" s="1"/>
  <c r="L168" i="62"/>
  <c r="M168" i="62" s="1"/>
  <c r="K168" i="62"/>
  <c r="J168" i="62"/>
  <c r="I168" i="62"/>
  <c r="H168" i="62"/>
  <c r="G168" i="62"/>
  <c r="D166" i="62"/>
  <c r="M165" i="62"/>
  <c r="R165" i="62" s="1"/>
  <c r="S165" i="62" s="1"/>
  <c r="D165" i="62"/>
  <c r="J165" i="62" s="1"/>
  <c r="Q164" i="62"/>
  <c r="N164" i="62"/>
  <c r="O164" i="62" s="1"/>
  <c r="P164" i="62" s="1"/>
  <c r="L164" i="62"/>
  <c r="M164" i="62" s="1"/>
  <c r="K164" i="62"/>
  <c r="J164" i="62"/>
  <c r="I164" i="62"/>
  <c r="H164" i="62"/>
  <c r="G164" i="62"/>
  <c r="N162" i="62"/>
  <c r="D162" i="62"/>
  <c r="L162" i="62" s="1"/>
  <c r="M162" i="62" s="1"/>
  <c r="Q161" i="62"/>
  <c r="O161" i="62"/>
  <c r="P161" i="62" s="1"/>
  <c r="N161" i="62"/>
  <c r="L161" i="62"/>
  <c r="M161" i="62" s="1"/>
  <c r="K161" i="62"/>
  <c r="J161" i="62"/>
  <c r="I161" i="62"/>
  <c r="H161" i="62"/>
  <c r="G161" i="62"/>
  <c r="N159" i="62"/>
  <c r="D159" i="62"/>
  <c r="L159" i="62" s="1"/>
  <c r="M159" i="62" s="1"/>
  <c r="Q158" i="62"/>
  <c r="O158" i="62"/>
  <c r="P158" i="62" s="1"/>
  <c r="N158" i="62"/>
  <c r="L158" i="62"/>
  <c r="M158" i="62" s="1"/>
  <c r="K158" i="62"/>
  <c r="J158" i="62"/>
  <c r="I158" i="62"/>
  <c r="H158" i="62"/>
  <c r="G158" i="62"/>
  <c r="N156" i="62"/>
  <c r="D156" i="62"/>
  <c r="K156" i="62" s="1"/>
  <c r="Q155" i="62"/>
  <c r="N155" i="62"/>
  <c r="O155" i="62" s="1"/>
  <c r="P155" i="62" s="1"/>
  <c r="L155" i="62"/>
  <c r="M155" i="62" s="1"/>
  <c r="K155" i="62"/>
  <c r="J155" i="62"/>
  <c r="I155" i="62"/>
  <c r="H155" i="62"/>
  <c r="G155" i="62"/>
  <c r="N153" i="62"/>
  <c r="D153" i="62"/>
  <c r="Q152" i="62"/>
  <c r="N152" i="62"/>
  <c r="O152" i="62" s="1"/>
  <c r="P152" i="62" s="1"/>
  <c r="L152" i="62"/>
  <c r="M152" i="62" s="1"/>
  <c r="K152" i="62"/>
  <c r="J152" i="62"/>
  <c r="I152" i="62"/>
  <c r="H152" i="62"/>
  <c r="G152" i="62"/>
  <c r="Q150" i="62"/>
  <c r="O150" i="62"/>
  <c r="P150" i="62" s="1"/>
  <c r="N150" i="62"/>
  <c r="L150" i="62"/>
  <c r="M150" i="62" s="1"/>
  <c r="K150" i="62"/>
  <c r="J150" i="62"/>
  <c r="I150" i="62"/>
  <c r="H150" i="62"/>
  <c r="G150" i="62"/>
  <c r="Q148" i="62"/>
  <c r="O148" i="62"/>
  <c r="P148" i="62" s="1"/>
  <c r="N148" i="62"/>
  <c r="L148" i="62"/>
  <c r="M148" i="62" s="1"/>
  <c r="K148" i="62"/>
  <c r="J148" i="62"/>
  <c r="I148" i="62"/>
  <c r="H148" i="62"/>
  <c r="G148" i="62"/>
  <c r="Q146" i="62"/>
  <c r="N146" i="62"/>
  <c r="O146" i="62" s="1"/>
  <c r="P146" i="62" s="1"/>
  <c r="L146" i="62"/>
  <c r="M146" i="62" s="1"/>
  <c r="K146" i="62"/>
  <c r="J146" i="62"/>
  <c r="I146" i="62"/>
  <c r="H146" i="62"/>
  <c r="G146" i="62"/>
  <c r="Q144" i="62"/>
  <c r="N144" i="62"/>
  <c r="O144" i="62" s="1"/>
  <c r="P144" i="62" s="1"/>
  <c r="L144" i="62"/>
  <c r="M144" i="62" s="1"/>
  <c r="K144" i="62"/>
  <c r="J144" i="62"/>
  <c r="I144" i="62"/>
  <c r="H144" i="62"/>
  <c r="G144" i="62"/>
  <c r="Q142" i="62"/>
  <c r="N142" i="62"/>
  <c r="L142" i="62"/>
  <c r="M142" i="62" s="1"/>
  <c r="K142" i="62"/>
  <c r="J142" i="62"/>
  <c r="H142" i="62"/>
  <c r="G142" i="62"/>
  <c r="Q141" i="62"/>
  <c r="N141" i="62"/>
  <c r="O141" i="62" s="1"/>
  <c r="P141" i="62" s="1"/>
  <c r="L141" i="62"/>
  <c r="M141" i="62" s="1"/>
  <c r="K141" i="62"/>
  <c r="J141" i="62"/>
  <c r="I141" i="62"/>
  <c r="H141" i="62"/>
  <c r="G141" i="62"/>
  <c r="Q139" i="62"/>
  <c r="N139" i="62"/>
  <c r="L139" i="62"/>
  <c r="M139" i="62" s="1"/>
  <c r="K139" i="62"/>
  <c r="J139" i="62"/>
  <c r="H139" i="62"/>
  <c r="G139" i="62"/>
  <c r="Q138" i="62"/>
  <c r="N138" i="62"/>
  <c r="O138" i="62" s="1"/>
  <c r="P138" i="62" s="1"/>
  <c r="L138" i="62"/>
  <c r="M138" i="62" s="1"/>
  <c r="K138" i="62"/>
  <c r="J138" i="62"/>
  <c r="I138" i="62"/>
  <c r="H138" i="62"/>
  <c r="G138" i="62"/>
  <c r="Q136" i="62"/>
  <c r="O136" i="62"/>
  <c r="P136" i="62" s="1"/>
  <c r="N136" i="62"/>
  <c r="L136" i="62"/>
  <c r="M136" i="62" s="1"/>
  <c r="K136" i="62"/>
  <c r="J136" i="62"/>
  <c r="H136" i="62"/>
  <c r="G136" i="62"/>
  <c r="Q135" i="62"/>
  <c r="N135" i="62"/>
  <c r="O135" i="62" s="1"/>
  <c r="P135" i="62" s="1"/>
  <c r="L135" i="62"/>
  <c r="M135" i="62" s="1"/>
  <c r="K135" i="62"/>
  <c r="J135" i="62"/>
  <c r="I135" i="62"/>
  <c r="H135" i="62"/>
  <c r="G135" i="62"/>
  <c r="N133" i="62"/>
  <c r="M133" i="62"/>
  <c r="D133" i="62"/>
  <c r="L133" i="62" s="1"/>
  <c r="Q132" i="62"/>
  <c r="N132" i="62"/>
  <c r="O132" i="62" s="1"/>
  <c r="P132" i="62" s="1"/>
  <c r="L132" i="62"/>
  <c r="M132" i="62" s="1"/>
  <c r="K132" i="62"/>
  <c r="J132" i="62"/>
  <c r="I132" i="62"/>
  <c r="H132" i="62"/>
  <c r="G132" i="62"/>
  <c r="N130" i="62"/>
  <c r="D130" i="62"/>
  <c r="L130" i="62" s="1"/>
  <c r="M130" i="62" s="1"/>
  <c r="Q129" i="62"/>
  <c r="N129" i="62"/>
  <c r="M129" i="62"/>
  <c r="L129" i="62"/>
  <c r="K129" i="62"/>
  <c r="J129" i="62"/>
  <c r="I129" i="62"/>
  <c r="H129" i="62"/>
  <c r="G129" i="62"/>
  <c r="N127" i="62"/>
  <c r="D127" i="62"/>
  <c r="L127" i="62" s="1"/>
  <c r="M127" i="62" s="1"/>
  <c r="Q126" i="62"/>
  <c r="N126" i="62"/>
  <c r="O126" i="62" s="1"/>
  <c r="P126" i="62" s="1"/>
  <c r="L126" i="62"/>
  <c r="M126" i="62" s="1"/>
  <c r="K126" i="62"/>
  <c r="J126" i="62"/>
  <c r="I126" i="62"/>
  <c r="H126" i="62"/>
  <c r="G126" i="62"/>
  <c r="N124" i="62"/>
  <c r="D124" i="62"/>
  <c r="K124" i="62" s="1"/>
  <c r="Q123" i="62"/>
  <c r="N123" i="62"/>
  <c r="O123" i="62" s="1"/>
  <c r="P123" i="62" s="1"/>
  <c r="L123" i="62"/>
  <c r="M123" i="62" s="1"/>
  <c r="K123" i="62"/>
  <c r="J123" i="62"/>
  <c r="I123" i="62"/>
  <c r="H123" i="62"/>
  <c r="G123" i="62"/>
  <c r="N118" i="62"/>
  <c r="N117" i="62"/>
  <c r="E117" i="62"/>
  <c r="D118" i="62" s="1"/>
  <c r="J118" i="62" s="1"/>
  <c r="N116" i="62"/>
  <c r="D116" i="62"/>
  <c r="Q115" i="62"/>
  <c r="N115" i="62"/>
  <c r="O115" i="62" s="1"/>
  <c r="P115" i="62" s="1"/>
  <c r="L115" i="62"/>
  <c r="M115" i="62" s="1"/>
  <c r="K115" i="62"/>
  <c r="J115" i="62"/>
  <c r="I115" i="62"/>
  <c r="H115" i="62"/>
  <c r="G115" i="62"/>
  <c r="N113" i="62"/>
  <c r="N112" i="62"/>
  <c r="O112" i="62" s="1"/>
  <c r="P112" i="62" s="1"/>
  <c r="E112" i="62"/>
  <c r="J112" i="62" s="1"/>
  <c r="N110" i="62"/>
  <c r="D110" i="62"/>
  <c r="L110" i="62" s="1"/>
  <c r="M110" i="62" s="1"/>
  <c r="Q109" i="62"/>
  <c r="N109" i="62"/>
  <c r="O109" i="62" s="1"/>
  <c r="P109" i="62" s="1"/>
  <c r="L109" i="62"/>
  <c r="M109" i="62" s="1"/>
  <c r="K109" i="62"/>
  <c r="J109" i="62"/>
  <c r="I109" i="62"/>
  <c r="H109" i="62"/>
  <c r="G109" i="62"/>
  <c r="N107" i="62"/>
  <c r="N106" i="62"/>
  <c r="O106" i="62" s="1"/>
  <c r="P106" i="62" s="1"/>
  <c r="E106" i="62"/>
  <c r="D107" i="62" s="1"/>
  <c r="F159" i="61"/>
  <c r="G159" i="61" s="1"/>
  <c r="I159" i="61" s="1"/>
  <c r="J159" i="61" s="1"/>
  <c r="F140" i="61"/>
  <c r="I140" i="61" s="1"/>
  <c r="J140" i="61" s="1"/>
  <c r="F134" i="61"/>
  <c r="J134" i="61" s="1"/>
  <c r="J136" i="61" s="1"/>
  <c r="F130" i="61"/>
  <c r="G130" i="61" s="1"/>
  <c r="I130" i="61" s="1"/>
  <c r="J130" i="61" s="1"/>
  <c r="F129" i="61"/>
  <c r="G129" i="61" s="1"/>
  <c r="I129" i="61" s="1"/>
  <c r="J129" i="61" s="1"/>
  <c r="J131" i="61" s="1"/>
  <c r="F124" i="61"/>
  <c r="J124" i="61" s="1"/>
  <c r="J126" i="61" s="1"/>
  <c r="F114" i="61"/>
  <c r="J114" i="61" s="1"/>
  <c r="F113" i="61"/>
  <c r="J113" i="61" s="1"/>
  <c r="F112" i="61"/>
  <c r="J112" i="61" s="1"/>
  <c r="F108" i="61"/>
  <c r="J108" i="61" s="1"/>
  <c r="F107" i="61"/>
  <c r="J107" i="61" s="1"/>
  <c r="F106" i="61"/>
  <c r="J106" i="61" s="1"/>
  <c r="B86" i="61"/>
  <c r="F86" i="61" s="1"/>
  <c r="G86" i="61" s="1"/>
  <c r="I86" i="61" s="1"/>
  <c r="J86" i="61" s="1"/>
  <c r="H38" i="60" s="1"/>
  <c r="C83" i="61"/>
  <c r="B83" i="61"/>
  <c r="C82" i="61"/>
  <c r="B82" i="61"/>
  <c r="C81" i="61"/>
  <c r="F81" i="61" s="1"/>
  <c r="G81" i="61" s="1"/>
  <c r="I81" i="61" s="1"/>
  <c r="J81" i="61" s="1"/>
  <c r="B78" i="61"/>
  <c r="F78" i="61" s="1"/>
  <c r="G78" i="61" s="1"/>
  <c r="I78" i="61" s="1"/>
  <c r="J78" i="61" s="1"/>
  <c r="F77" i="61"/>
  <c r="G77" i="61" s="1"/>
  <c r="I77" i="61" s="1"/>
  <c r="J77" i="61" s="1"/>
  <c r="F75" i="61"/>
  <c r="G75" i="61" s="1"/>
  <c r="I75" i="61" s="1"/>
  <c r="J75" i="61" s="1"/>
  <c r="H39" i="60" s="1"/>
  <c r="F74" i="61"/>
  <c r="G74" i="61" s="1"/>
  <c r="I74" i="61" s="1"/>
  <c r="J74" i="61" s="1"/>
  <c r="H37" i="60" s="1"/>
  <c r="F73" i="61"/>
  <c r="G73" i="61" s="1"/>
  <c r="I73" i="61" s="1"/>
  <c r="J73" i="61" s="1"/>
  <c r="H36" i="60" s="1"/>
  <c r="F72" i="61"/>
  <c r="G72" i="61" s="1"/>
  <c r="I72" i="61" s="1"/>
  <c r="J72" i="61" s="1"/>
  <c r="H33" i="60" s="1"/>
  <c r="F71" i="61"/>
  <c r="G71" i="61" s="1"/>
  <c r="I71" i="61" s="1"/>
  <c r="J71" i="61" s="1"/>
  <c r="H32" i="60" s="1"/>
  <c r="F70" i="61"/>
  <c r="G70" i="61" s="1"/>
  <c r="I70" i="61" s="1"/>
  <c r="J70" i="61" s="1"/>
  <c r="H31" i="60" s="1"/>
  <c r="B33" i="61"/>
  <c r="B48" i="61" s="1"/>
  <c r="B59" i="61" s="1"/>
  <c r="F59" i="61" s="1"/>
  <c r="G59" i="61" s="1"/>
  <c r="I59" i="61" s="1"/>
  <c r="J59" i="61" s="1"/>
  <c r="A33" i="61"/>
  <c r="A48" i="61" s="1"/>
  <c r="A59" i="61" s="1"/>
  <c r="B32" i="61"/>
  <c r="F32" i="61" s="1"/>
  <c r="I32" i="61" s="1"/>
  <c r="J32" i="61" s="1"/>
  <c r="A32" i="61"/>
  <c r="A47" i="61" s="1"/>
  <c r="A58" i="61" s="1"/>
  <c r="B31" i="61"/>
  <c r="B46" i="61" s="1"/>
  <c r="A31" i="61"/>
  <c r="A46" i="61" s="1"/>
  <c r="A57" i="61" s="1"/>
  <c r="F30" i="61"/>
  <c r="I30" i="61" s="1"/>
  <c r="B29" i="61"/>
  <c r="B44" i="61" s="1"/>
  <c r="A29" i="61"/>
  <c r="A44" i="61" s="1"/>
  <c r="A55" i="61" s="1"/>
  <c r="B28" i="61"/>
  <c r="B43" i="61" s="1"/>
  <c r="B54" i="61" s="1"/>
  <c r="F54" i="61" s="1"/>
  <c r="G54" i="61" s="1"/>
  <c r="I54" i="61" s="1"/>
  <c r="J54" i="61" s="1"/>
  <c r="A28" i="61"/>
  <c r="A43" i="61" s="1"/>
  <c r="A54" i="61" s="1"/>
  <c r="B27" i="61"/>
  <c r="A27" i="61"/>
  <c r="A42" i="61" s="1"/>
  <c r="A53" i="61" s="1"/>
  <c r="I11" i="61"/>
  <c r="J11" i="61" s="1"/>
  <c r="F11" i="61"/>
  <c r="F10" i="61"/>
  <c r="I10" i="61" s="1"/>
  <c r="J10" i="61" s="1"/>
  <c r="F9" i="61"/>
  <c r="I9" i="61" s="1"/>
  <c r="J9" i="61" s="1"/>
  <c r="F7" i="61"/>
  <c r="I7" i="61" s="1"/>
  <c r="J7" i="61" s="1"/>
  <c r="F6" i="61"/>
  <c r="I6" i="61" s="1"/>
  <c r="J6" i="61" s="1"/>
  <c r="F5" i="61"/>
  <c r="I5" i="61" s="1"/>
  <c r="J5" i="61" s="1"/>
  <c r="H41" i="60"/>
  <c r="H14" i="59"/>
  <c r="H7" i="59"/>
  <c r="D1" i="58"/>
  <c r="D1" i="60" s="1"/>
  <c r="J8" i="56"/>
  <c r="I8" i="56"/>
  <c r="O7" i="56"/>
  <c r="N7" i="56"/>
  <c r="J7" i="56"/>
  <c r="I7" i="56"/>
  <c r="O6" i="56"/>
  <c r="N6" i="56"/>
  <c r="J6" i="56"/>
  <c r="I6" i="56"/>
  <c r="B6" i="56"/>
  <c r="N5" i="56"/>
  <c r="B5" i="56"/>
  <c r="B4" i="56"/>
  <c r="D250" i="55"/>
  <c r="C250" i="55"/>
  <c r="H241" i="55"/>
  <c r="D239" i="55"/>
  <c r="D238" i="55"/>
  <c r="C232" i="55"/>
  <c r="E238" i="55" s="1"/>
  <c r="N200" i="55"/>
  <c r="O200" i="55" s="1"/>
  <c r="P200" i="55" s="1"/>
  <c r="E200" i="55"/>
  <c r="D201" i="55" s="1"/>
  <c r="J201" i="55" s="1"/>
  <c r="D198" i="55"/>
  <c r="D197" i="55"/>
  <c r="J196" i="55" s="1"/>
  <c r="N196" i="55"/>
  <c r="O196" i="55" s="1"/>
  <c r="P196" i="55" s="1"/>
  <c r="K196" i="55"/>
  <c r="G196" i="55"/>
  <c r="D194" i="55"/>
  <c r="D193" i="55"/>
  <c r="L192" i="55" s="1"/>
  <c r="M192" i="55" s="1"/>
  <c r="N192" i="55"/>
  <c r="K192" i="55"/>
  <c r="G192" i="55"/>
  <c r="D190" i="55"/>
  <c r="D189" i="55"/>
  <c r="H188" i="55" s="1"/>
  <c r="Q188" i="55"/>
  <c r="N188" i="55"/>
  <c r="K188" i="55"/>
  <c r="G188" i="55"/>
  <c r="D186" i="55"/>
  <c r="D185" i="55"/>
  <c r="L184" i="55" s="1"/>
  <c r="M184" i="55" s="1"/>
  <c r="N184" i="55"/>
  <c r="O184" i="55" s="1"/>
  <c r="P184" i="55" s="1"/>
  <c r="K184" i="55"/>
  <c r="G184" i="55"/>
  <c r="D182" i="55"/>
  <c r="M181" i="55"/>
  <c r="R181" i="55" s="1"/>
  <c r="S181" i="55" s="1"/>
  <c r="D181" i="55"/>
  <c r="K181" i="55" s="1"/>
  <c r="Q180" i="55"/>
  <c r="N180" i="55"/>
  <c r="O180" i="55" s="1"/>
  <c r="P180" i="55" s="1"/>
  <c r="L180" i="55"/>
  <c r="M180" i="55" s="1"/>
  <c r="K180" i="55"/>
  <c r="J180" i="55"/>
  <c r="I180" i="55"/>
  <c r="H180" i="55"/>
  <c r="G180" i="55"/>
  <c r="D178" i="55"/>
  <c r="M177" i="55"/>
  <c r="R177" i="55" s="1"/>
  <c r="S177" i="55" s="1"/>
  <c r="D177" i="55"/>
  <c r="Q176" i="55"/>
  <c r="N176" i="55"/>
  <c r="O176" i="55" s="1"/>
  <c r="P176" i="55" s="1"/>
  <c r="L176" i="55"/>
  <c r="M176" i="55" s="1"/>
  <c r="K176" i="55"/>
  <c r="J176" i="55"/>
  <c r="I176" i="55"/>
  <c r="H176" i="55"/>
  <c r="G176" i="55"/>
  <c r="D174" i="55"/>
  <c r="M173" i="55"/>
  <c r="R173" i="55" s="1"/>
  <c r="S173" i="55" s="1"/>
  <c r="D173" i="55"/>
  <c r="K173" i="55" s="1"/>
  <c r="Q172" i="55"/>
  <c r="N172" i="55"/>
  <c r="O172" i="55" s="1"/>
  <c r="P172" i="55" s="1"/>
  <c r="L172" i="55"/>
  <c r="M172" i="55" s="1"/>
  <c r="K172" i="55"/>
  <c r="J172" i="55"/>
  <c r="I172" i="55"/>
  <c r="H172" i="55"/>
  <c r="G172" i="55"/>
  <c r="M169" i="55"/>
  <c r="R169" i="55" s="1"/>
  <c r="S169" i="55" s="1"/>
  <c r="N168" i="55"/>
  <c r="E168" i="55"/>
  <c r="K168" i="55" s="1"/>
  <c r="D166" i="55"/>
  <c r="H19" i="51" s="1"/>
  <c r="M165" i="55"/>
  <c r="R165" i="55" s="1"/>
  <c r="S165" i="55" s="1"/>
  <c r="D165" i="55"/>
  <c r="K165" i="55" s="1"/>
  <c r="Q164" i="55"/>
  <c r="N164" i="55"/>
  <c r="O164" i="55" s="1"/>
  <c r="P164" i="55" s="1"/>
  <c r="L164" i="55"/>
  <c r="M164" i="55" s="1"/>
  <c r="K164" i="55"/>
  <c r="J164" i="55"/>
  <c r="I164" i="55"/>
  <c r="H14" i="51" s="1"/>
  <c r="H164" i="55"/>
  <c r="G164" i="55"/>
  <c r="N162" i="55"/>
  <c r="D162" i="55"/>
  <c r="K162" i="55" s="1"/>
  <c r="Q161" i="55"/>
  <c r="O161" i="55"/>
  <c r="P161" i="55" s="1"/>
  <c r="N161" i="55"/>
  <c r="L161" i="55"/>
  <c r="M161" i="55" s="1"/>
  <c r="K161" i="55"/>
  <c r="J161" i="55"/>
  <c r="I161" i="55"/>
  <c r="H161" i="55"/>
  <c r="G161" i="55"/>
  <c r="N159" i="55"/>
  <c r="D159" i="55"/>
  <c r="Q158" i="55"/>
  <c r="O158" i="55"/>
  <c r="P158" i="55" s="1"/>
  <c r="N158" i="55"/>
  <c r="L158" i="55"/>
  <c r="M158" i="55" s="1"/>
  <c r="K158" i="55"/>
  <c r="J158" i="55"/>
  <c r="I158" i="55"/>
  <c r="H158" i="55"/>
  <c r="G158" i="55"/>
  <c r="N156" i="55"/>
  <c r="D156" i="55"/>
  <c r="L156" i="55" s="1"/>
  <c r="M156" i="55" s="1"/>
  <c r="Q155" i="55"/>
  <c r="N155" i="55"/>
  <c r="O155" i="55" s="1"/>
  <c r="P155" i="55" s="1"/>
  <c r="L155" i="55"/>
  <c r="M155" i="55" s="1"/>
  <c r="K155" i="55"/>
  <c r="J155" i="55"/>
  <c r="I155" i="55"/>
  <c r="H155" i="55"/>
  <c r="G155" i="55"/>
  <c r="N153" i="55"/>
  <c r="D153" i="55"/>
  <c r="L153" i="55" s="1"/>
  <c r="M153" i="55" s="1"/>
  <c r="Q152" i="55"/>
  <c r="N152" i="55"/>
  <c r="L152" i="55"/>
  <c r="M152" i="55" s="1"/>
  <c r="K152" i="55"/>
  <c r="J152" i="55"/>
  <c r="I152" i="55"/>
  <c r="H152" i="55"/>
  <c r="G152" i="55"/>
  <c r="Q150" i="55"/>
  <c r="P150" i="55"/>
  <c r="O150" i="55"/>
  <c r="N150" i="55"/>
  <c r="L150" i="55"/>
  <c r="M150" i="55" s="1"/>
  <c r="K150" i="55"/>
  <c r="J150" i="55"/>
  <c r="I150" i="55"/>
  <c r="H150" i="55"/>
  <c r="G150" i="55"/>
  <c r="Q148" i="55"/>
  <c r="O148" i="55"/>
  <c r="P148" i="55" s="1"/>
  <c r="N148" i="55"/>
  <c r="L148" i="55"/>
  <c r="M148" i="55" s="1"/>
  <c r="K148" i="55"/>
  <c r="J148" i="55"/>
  <c r="I148" i="55"/>
  <c r="H148" i="55"/>
  <c r="G148" i="55"/>
  <c r="Q146" i="55"/>
  <c r="N146" i="55"/>
  <c r="L146" i="55"/>
  <c r="M146" i="55" s="1"/>
  <c r="K146" i="55"/>
  <c r="J146" i="55"/>
  <c r="I146" i="55"/>
  <c r="H146" i="55"/>
  <c r="G146" i="55"/>
  <c r="Q144" i="55"/>
  <c r="N144" i="55"/>
  <c r="O144" i="55" s="1"/>
  <c r="P144" i="55" s="1"/>
  <c r="L144" i="55"/>
  <c r="M144" i="55" s="1"/>
  <c r="K144" i="55"/>
  <c r="J144" i="55"/>
  <c r="I144" i="55"/>
  <c r="H144" i="55"/>
  <c r="G144" i="55"/>
  <c r="Q142" i="55"/>
  <c r="N142" i="55"/>
  <c r="O142" i="55" s="1"/>
  <c r="P142" i="55" s="1"/>
  <c r="L142" i="55"/>
  <c r="M142" i="55" s="1"/>
  <c r="K142" i="55"/>
  <c r="J142" i="55"/>
  <c r="H142" i="55"/>
  <c r="G142" i="55"/>
  <c r="Q141" i="55"/>
  <c r="N141" i="55"/>
  <c r="L141" i="55"/>
  <c r="M141" i="55" s="1"/>
  <c r="K141" i="55"/>
  <c r="J141" i="55"/>
  <c r="I141" i="55"/>
  <c r="H141" i="55"/>
  <c r="G141" i="55"/>
  <c r="Q139" i="55"/>
  <c r="N139" i="55"/>
  <c r="O139" i="55" s="1"/>
  <c r="P139" i="55" s="1"/>
  <c r="L139" i="55"/>
  <c r="M139" i="55" s="1"/>
  <c r="K139" i="55"/>
  <c r="J139" i="55"/>
  <c r="H139" i="55"/>
  <c r="G139" i="55"/>
  <c r="Q138" i="55"/>
  <c r="N138" i="55"/>
  <c r="O138" i="55" s="1"/>
  <c r="P138" i="55" s="1"/>
  <c r="L138" i="55"/>
  <c r="M138" i="55" s="1"/>
  <c r="K138" i="55"/>
  <c r="J138" i="55"/>
  <c r="I138" i="55"/>
  <c r="H138" i="55"/>
  <c r="G138" i="55"/>
  <c r="Q136" i="55"/>
  <c r="N136" i="55"/>
  <c r="O136" i="55" s="1"/>
  <c r="P136" i="55" s="1"/>
  <c r="L136" i="55"/>
  <c r="M136" i="55" s="1"/>
  <c r="K136" i="55"/>
  <c r="J136" i="55"/>
  <c r="H136" i="55"/>
  <c r="G136" i="55"/>
  <c r="Q135" i="55"/>
  <c r="N135" i="55"/>
  <c r="L135" i="55"/>
  <c r="M135" i="55" s="1"/>
  <c r="K135" i="55"/>
  <c r="J135" i="55"/>
  <c r="I135" i="55"/>
  <c r="H135" i="55"/>
  <c r="G135" i="55"/>
  <c r="N133" i="55"/>
  <c r="D133" i="55"/>
  <c r="L133" i="55" s="1"/>
  <c r="M133" i="55" s="1"/>
  <c r="Q132" i="55"/>
  <c r="N132" i="55"/>
  <c r="O132" i="55" s="1"/>
  <c r="P132" i="55" s="1"/>
  <c r="L132" i="55"/>
  <c r="M132" i="55" s="1"/>
  <c r="K132" i="55"/>
  <c r="J132" i="55"/>
  <c r="I132" i="55"/>
  <c r="H132" i="55"/>
  <c r="G132" i="55"/>
  <c r="N130" i="55"/>
  <c r="D130" i="55"/>
  <c r="K130" i="55" s="1"/>
  <c r="Q129" i="55"/>
  <c r="N129" i="55"/>
  <c r="O129" i="55" s="1"/>
  <c r="P129" i="55" s="1"/>
  <c r="L129" i="55"/>
  <c r="M129" i="55" s="1"/>
  <c r="K129" i="55"/>
  <c r="J129" i="55"/>
  <c r="I129" i="55"/>
  <c r="H129" i="55"/>
  <c r="G129" i="55"/>
  <c r="N127" i="55"/>
  <c r="D127" i="55"/>
  <c r="Q126" i="55"/>
  <c r="N126" i="55"/>
  <c r="L126" i="55"/>
  <c r="M126" i="55" s="1"/>
  <c r="K126" i="55"/>
  <c r="J126" i="55"/>
  <c r="I126" i="55"/>
  <c r="H126" i="55"/>
  <c r="G126" i="55"/>
  <c r="N124" i="55"/>
  <c r="D124" i="55"/>
  <c r="L124" i="55" s="1"/>
  <c r="M124" i="55" s="1"/>
  <c r="Q123" i="55"/>
  <c r="N123" i="55"/>
  <c r="O123" i="55" s="1"/>
  <c r="P123" i="55" s="1"/>
  <c r="L123" i="55"/>
  <c r="M123" i="55" s="1"/>
  <c r="K123" i="55"/>
  <c r="J123" i="55"/>
  <c r="I123" i="55"/>
  <c r="H123" i="55"/>
  <c r="G123" i="55"/>
  <c r="N118" i="55"/>
  <c r="D118" i="55"/>
  <c r="L118" i="55" s="1"/>
  <c r="M118" i="55" s="1"/>
  <c r="Q117" i="55"/>
  <c r="N117" i="55"/>
  <c r="L117" i="55"/>
  <c r="M117" i="55" s="1"/>
  <c r="K117" i="55"/>
  <c r="J117" i="55"/>
  <c r="I117" i="55"/>
  <c r="H117" i="55"/>
  <c r="G117" i="55"/>
  <c r="N116" i="55"/>
  <c r="D116" i="55"/>
  <c r="Q115" i="55"/>
  <c r="N115" i="55"/>
  <c r="O115" i="55" s="1"/>
  <c r="P115" i="55" s="1"/>
  <c r="L115" i="55"/>
  <c r="M115" i="55" s="1"/>
  <c r="K115" i="55"/>
  <c r="J115" i="55"/>
  <c r="I115" i="55"/>
  <c r="H115" i="55"/>
  <c r="G115" i="55"/>
  <c r="N113" i="55"/>
  <c r="H113" i="55"/>
  <c r="D113" i="55"/>
  <c r="Q112" i="55"/>
  <c r="N112" i="55"/>
  <c r="L112" i="55"/>
  <c r="M112" i="55" s="1"/>
  <c r="K112" i="55"/>
  <c r="J112" i="55"/>
  <c r="I112" i="55"/>
  <c r="H112" i="55"/>
  <c r="G112" i="55"/>
  <c r="N110" i="55"/>
  <c r="D110" i="55"/>
  <c r="L110" i="55" s="1"/>
  <c r="M110" i="55" s="1"/>
  <c r="Q109" i="55"/>
  <c r="N109" i="55"/>
  <c r="O109" i="55" s="1"/>
  <c r="P109" i="55" s="1"/>
  <c r="L109" i="55"/>
  <c r="M109" i="55" s="1"/>
  <c r="K109" i="55"/>
  <c r="J109" i="55"/>
  <c r="I109" i="55"/>
  <c r="H9" i="51" s="1"/>
  <c r="H109" i="55"/>
  <c r="G109" i="55"/>
  <c r="N107" i="55"/>
  <c r="D107" i="55"/>
  <c r="K107" i="55" s="1"/>
  <c r="Q106" i="55"/>
  <c r="N106" i="55"/>
  <c r="O106" i="55" s="1"/>
  <c r="P106" i="55" s="1"/>
  <c r="L106" i="55"/>
  <c r="M106" i="55" s="1"/>
  <c r="K106" i="55"/>
  <c r="J106" i="55"/>
  <c r="I106" i="55"/>
  <c r="H106" i="55"/>
  <c r="G106" i="55"/>
  <c r="F120" i="54"/>
  <c r="G120" i="54" s="1"/>
  <c r="I120" i="54" s="1"/>
  <c r="J120" i="54" s="1"/>
  <c r="F101" i="54"/>
  <c r="I101" i="54" s="1"/>
  <c r="J101" i="54" s="1"/>
  <c r="H9" i="52" s="1"/>
  <c r="F95" i="54"/>
  <c r="J95" i="54" s="1"/>
  <c r="J97" i="54" s="1"/>
  <c r="H13" i="52" s="1"/>
  <c r="F91" i="54"/>
  <c r="G91" i="54" s="1"/>
  <c r="I91" i="54" s="1"/>
  <c r="J91" i="54" s="1"/>
  <c r="F90" i="54"/>
  <c r="G90" i="54" s="1"/>
  <c r="I90" i="54" s="1"/>
  <c r="J90" i="54" s="1"/>
  <c r="F85" i="54"/>
  <c r="J85" i="54" s="1"/>
  <c r="J87" i="54" s="1"/>
  <c r="H6" i="52" s="1"/>
  <c r="F75" i="54"/>
  <c r="J75" i="54" s="1"/>
  <c r="F74" i="54"/>
  <c r="J74" i="54" s="1"/>
  <c r="F73" i="54"/>
  <c r="J73" i="54" s="1"/>
  <c r="F72" i="54"/>
  <c r="J72" i="54" s="1"/>
  <c r="F52" i="54"/>
  <c r="G52" i="54" s="1"/>
  <c r="I52" i="54" s="1"/>
  <c r="J52" i="54" s="1"/>
  <c r="F51" i="54"/>
  <c r="G51" i="54" s="1"/>
  <c r="I51" i="54" s="1"/>
  <c r="J51" i="54" s="1"/>
  <c r="F50" i="54"/>
  <c r="G50" i="54" s="1"/>
  <c r="I50" i="54" s="1"/>
  <c r="J50" i="54" s="1"/>
  <c r="F39" i="54"/>
  <c r="G39" i="54" s="1"/>
  <c r="I39" i="54" s="1"/>
  <c r="J39" i="54" s="1"/>
  <c r="F38" i="54"/>
  <c r="G38" i="54" s="1"/>
  <c r="I38" i="54" s="1"/>
  <c r="J38" i="54" s="1"/>
  <c r="F37" i="54"/>
  <c r="G37" i="54" s="1"/>
  <c r="I37" i="54" s="1"/>
  <c r="J37" i="54" s="1"/>
  <c r="F32" i="54"/>
  <c r="G32" i="54" s="1"/>
  <c r="I32" i="54" s="1"/>
  <c r="J32" i="54" s="1"/>
  <c r="F31" i="54"/>
  <c r="G31" i="54" s="1"/>
  <c r="I31" i="54" s="1"/>
  <c r="J31" i="54" s="1"/>
  <c r="F30" i="54"/>
  <c r="G30" i="54" s="1"/>
  <c r="I30" i="54" s="1"/>
  <c r="J30" i="54" s="1"/>
  <c r="B22" i="54"/>
  <c r="F22" i="54" s="1"/>
  <c r="I22" i="54" s="1"/>
  <c r="J22" i="54" s="1"/>
  <c r="A22" i="54"/>
  <c r="B21" i="54"/>
  <c r="F21" i="54" s="1"/>
  <c r="I21" i="54" s="1"/>
  <c r="J21" i="54" s="1"/>
  <c r="A21" i="54"/>
  <c r="B20" i="54"/>
  <c r="F20" i="54" s="1"/>
  <c r="I20" i="54" s="1"/>
  <c r="J20" i="54" s="1"/>
  <c r="A20" i="54"/>
  <c r="B19" i="54"/>
  <c r="F19" i="54" s="1"/>
  <c r="I19" i="54" s="1"/>
  <c r="J19" i="54" s="1"/>
  <c r="A19" i="54"/>
  <c r="F9" i="54"/>
  <c r="I9" i="54" s="1"/>
  <c r="J9" i="54" s="1"/>
  <c r="F8" i="54"/>
  <c r="I8" i="54" s="1"/>
  <c r="J8" i="54" s="1"/>
  <c r="F7" i="54"/>
  <c r="I7" i="54" s="1"/>
  <c r="J7" i="54" s="1"/>
  <c r="F6" i="54"/>
  <c r="I6" i="54" s="1"/>
  <c r="J6" i="54" s="1"/>
  <c r="H7" i="51"/>
  <c r="H4" i="51"/>
  <c r="H12" i="50"/>
  <c r="H7" i="50"/>
  <c r="Q112" i="62" l="1"/>
  <c r="R159" i="62"/>
  <c r="S159" i="62" s="1"/>
  <c r="D113" i="62"/>
  <c r="L113" i="62" s="1"/>
  <c r="M113" i="62" s="1"/>
  <c r="R113" i="62" s="1"/>
  <c r="S113" i="62" s="1"/>
  <c r="R127" i="62"/>
  <c r="S127" i="62" s="1"/>
  <c r="D1" i="52"/>
  <c r="D1" i="53"/>
  <c r="D1" i="50"/>
  <c r="J115" i="61"/>
  <c r="R115" i="62"/>
  <c r="S115" i="62" s="1"/>
  <c r="R141" i="62"/>
  <c r="S141" i="62" s="1"/>
  <c r="R110" i="55"/>
  <c r="S110" i="55" s="1"/>
  <c r="K118" i="55"/>
  <c r="I188" i="55"/>
  <c r="G200" i="55"/>
  <c r="R130" i="62"/>
  <c r="S130" i="62" s="1"/>
  <c r="R148" i="55"/>
  <c r="S148" i="55" s="1"/>
  <c r="F82" i="61"/>
  <c r="G82" i="61" s="1"/>
  <c r="I82" i="61" s="1"/>
  <c r="J82" i="61" s="1"/>
  <c r="R123" i="55"/>
  <c r="S123" i="55" s="1"/>
  <c r="H196" i="55"/>
  <c r="H106" i="62"/>
  <c r="G112" i="62"/>
  <c r="H113" i="62"/>
  <c r="R126" i="62"/>
  <c r="S126" i="62" s="1"/>
  <c r="K130" i="62"/>
  <c r="I188" i="62"/>
  <c r="J192" i="62"/>
  <c r="F83" i="61"/>
  <c r="G83" i="61" s="1"/>
  <c r="I83" i="61" s="1"/>
  <c r="J83" i="61" s="1"/>
  <c r="J84" i="61" s="1"/>
  <c r="H35" i="60" s="1"/>
  <c r="J130" i="62"/>
  <c r="H9" i="50"/>
  <c r="I196" i="55"/>
  <c r="F48" i="61"/>
  <c r="G48" i="61" s="1"/>
  <c r="I48" i="61" s="1"/>
  <c r="J48" i="61" s="1"/>
  <c r="I106" i="62"/>
  <c r="H4" i="60" s="1"/>
  <c r="H112" i="62"/>
  <c r="H184" i="62"/>
  <c r="J188" i="62"/>
  <c r="J92" i="54"/>
  <c r="H8" i="52" s="1"/>
  <c r="J109" i="61"/>
  <c r="I112" i="62"/>
  <c r="H9" i="60" s="1"/>
  <c r="L130" i="55"/>
  <c r="M130" i="55" s="1"/>
  <c r="R130" i="55" s="1"/>
  <c r="S130" i="55" s="1"/>
  <c r="I4" i="49"/>
  <c r="D169" i="55"/>
  <c r="L196" i="55"/>
  <c r="M196" i="55" s="1"/>
  <c r="F250" i="55"/>
  <c r="H250" i="55" s="1"/>
  <c r="Q106" i="62"/>
  <c r="K112" i="62"/>
  <c r="L184" i="62"/>
  <c r="M184" i="62" s="1"/>
  <c r="R184" i="62" s="1"/>
  <c r="S184" i="62" s="1"/>
  <c r="R110" i="62"/>
  <c r="S110" i="62" s="1"/>
  <c r="J76" i="54"/>
  <c r="H7" i="52" s="1"/>
  <c r="H4" i="53" s="1"/>
  <c r="H5" i="53" s="1"/>
  <c r="J118" i="55"/>
  <c r="L162" i="55"/>
  <c r="M162" i="55" s="1"/>
  <c r="L112" i="62"/>
  <c r="M112" i="62" s="1"/>
  <c r="R138" i="62"/>
  <c r="S138" i="62" s="1"/>
  <c r="Q188" i="62"/>
  <c r="R180" i="55"/>
  <c r="S180" i="55" s="1"/>
  <c r="R132" i="55"/>
  <c r="S132" i="55" s="1"/>
  <c r="R158" i="62"/>
  <c r="S158" i="62" s="1"/>
  <c r="J23" i="54"/>
  <c r="H4" i="50" s="1"/>
  <c r="K4" i="50" s="1"/>
  <c r="R142" i="55"/>
  <c r="S142" i="55" s="1"/>
  <c r="K176" i="62"/>
  <c r="Q176" i="62"/>
  <c r="R109" i="55"/>
  <c r="S109" i="55" s="1"/>
  <c r="U110" i="55" s="1"/>
  <c r="H11" i="51" s="1"/>
  <c r="J153" i="55"/>
  <c r="J124" i="62"/>
  <c r="J162" i="62"/>
  <c r="J172" i="62"/>
  <c r="J173" i="62"/>
  <c r="G176" i="62"/>
  <c r="L176" i="62"/>
  <c r="M176" i="62" s="1"/>
  <c r="D177" i="62"/>
  <c r="K177" i="62" s="1"/>
  <c r="I184" i="62"/>
  <c r="L196" i="62"/>
  <c r="M196" i="62" s="1"/>
  <c r="D1" i="51"/>
  <c r="R124" i="55"/>
  <c r="S124" i="55" s="1"/>
  <c r="R133" i="55"/>
  <c r="S133" i="55" s="1"/>
  <c r="R136" i="55"/>
  <c r="S136" i="55" s="1"/>
  <c r="R144" i="55"/>
  <c r="S144" i="55" s="1"/>
  <c r="R150" i="55"/>
  <c r="S150" i="55" s="1"/>
  <c r="K153" i="55"/>
  <c r="R156" i="55"/>
  <c r="S156" i="55" s="1"/>
  <c r="H17" i="51"/>
  <c r="L168" i="55"/>
  <c r="M168" i="55" s="1"/>
  <c r="D202" i="55"/>
  <c r="E239" i="55"/>
  <c r="G239" i="55" s="1"/>
  <c r="F28" i="61"/>
  <c r="I28" i="61" s="1"/>
  <c r="J28" i="61" s="1"/>
  <c r="F43" i="61"/>
  <c r="G43" i="61" s="1"/>
  <c r="I43" i="61" s="1"/>
  <c r="J43" i="61" s="1"/>
  <c r="J106" i="62"/>
  <c r="R109" i="62"/>
  <c r="S109" i="62" s="1"/>
  <c r="U110" i="62" s="1"/>
  <c r="K117" i="62"/>
  <c r="L124" i="62"/>
  <c r="M124" i="62" s="1"/>
  <c r="J133" i="62"/>
  <c r="R136" i="62"/>
  <c r="S136" i="62" s="1"/>
  <c r="J156" i="62"/>
  <c r="K162" i="62"/>
  <c r="K165" i="62"/>
  <c r="G172" i="62"/>
  <c r="K172" i="62"/>
  <c r="H22" i="60" s="1"/>
  <c r="I176" i="62"/>
  <c r="H24" i="60" s="1"/>
  <c r="J184" i="62"/>
  <c r="L188" i="62"/>
  <c r="M188" i="62" s="1"/>
  <c r="L192" i="62"/>
  <c r="M192" i="62" s="1"/>
  <c r="R192" i="62" s="1"/>
  <c r="S192" i="62" s="1"/>
  <c r="K200" i="62"/>
  <c r="E238" i="62"/>
  <c r="G238" i="62" s="1"/>
  <c r="L107" i="55"/>
  <c r="M107" i="55" s="1"/>
  <c r="R107" i="55" s="1"/>
  <c r="S107" i="55" s="1"/>
  <c r="R118" i="55"/>
  <c r="S118" i="55" s="1"/>
  <c r="J133" i="55"/>
  <c r="R161" i="55"/>
  <c r="S161" i="55" s="1"/>
  <c r="R164" i="55"/>
  <c r="S164" i="55" s="1"/>
  <c r="U165" i="55" s="1"/>
  <c r="H16" i="51" s="1"/>
  <c r="J181" i="55"/>
  <c r="G238" i="55"/>
  <c r="G241" i="55" s="1"/>
  <c r="J241" i="55" s="1"/>
  <c r="D1" i="59"/>
  <c r="K133" i="62"/>
  <c r="R150" i="62"/>
  <c r="S150" i="62" s="1"/>
  <c r="L156" i="62"/>
  <c r="M156" i="62" s="1"/>
  <c r="R168" i="62"/>
  <c r="S168" i="62" s="1"/>
  <c r="H172" i="62"/>
  <c r="L172" i="62"/>
  <c r="M172" i="62" s="1"/>
  <c r="Q172" i="62"/>
  <c r="R172" i="62" s="1"/>
  <c r="S172" i="62" s="1"/>
  <c r="U173" i="62" s="1"/>
  <c r="H21" i="60" s="1"/>
  <c r="J176" i="62"/>
  <c r="D178" i="62"/>
  <c r="H29" i="60" s="1"/>
  <c r="J40" i="54"/>
  <c r="R115" i="55"/>
  <c r="S115" i="55" s="1"/>
  <c r="R139" i="55"/>
  <c r="S139" i="55" s="1"/>
  <c r="L107" i="62"/>
  <c r="M107" i="62" s="1"/>
  <c r="R107" i="62" s="1"/>
  <c r="S107" i="62" s="1"/>
  <c r="K107" i="62"/>
  <c r="J107" i="62"/>
  <c r="R155" i="55"/>
  <c r="S155" i="55" s="1"/>
  <c r="R106" i="55"/>
  <c r="S106" i="55" s="1"/>
  <c r="O146" i="55"/>
  <c r="P146" i="55" s="1"/>
  <c r="R146" i="55" s="1"/>
  <c r="S146" i="55" s="1"/>
  <c r="J33" i="54"/>
  <c r="R176" i="55"/>
  <c r="S176" i="55" s="1"/>
  <c r="O188" i="55"/>
  <c r="P188" i="55" s="1"/>
  <c r="L116" i="55"/>
  <c r="M116" i="55" s="1"/>
  <c r="R116" i="55" s="1"/>
  <c r="S116" i="55" s="1"/>
  <c r="K116" i="55"/>
  <c r="L127" i="55"/>
  <c r="M127" i="55" s="1"/>
  <c r="R127" i="55" s="1"/>
  <c r="S127" i="55" s="1"/>
  <c r="K127" i="55"/>
  <c r="R129" i="55"/>
  <c r="S129" i="55" s="1"/>
  <c r="R153" i="55"/>
  <c r="S153" i="55" s="1"/>
  <c r="F46" i="61"/>
  <c r="G46" i="61" s="1"/>
  <c r="I46" i="61" s="1"/>
  <c r="J46" i="61" s="1"/>
  <c r="B57" i="61"/>
  <c r="F57" i="61" s="1"/>
  <c r="G57" i="61" s="1"/>
  <c r="I57" i="61" s="1"/>
  <c r="J57" i="61" s="1"/>
  <c r="O117" i="55"/>
  <c r="P117" i="55" s="1"/>
  <c r="R117" i="55" s="1"/>
  <c r="S117" i="55" s="1"/>
  <c r="L159" i="55"/>
  <c r="M159" i="55" s="1"/>
  <c r="R159" i="55" s="1"/>
  <c r="S159" i="55" s="1"/>
  <c r="J159" i="55"/>
  <c r="K159" i="55"/>
  <c r="J10" i="54"/>
  <c r="J4" i="49" s="1"/>
  <c r="L113" i="55"/>
  <c r="M113" i="55" s="1"/>
  <c r="R113" i="55" s="1"/>
  <c r="S113" i="55" s="1"/>
  <c r="K113" i="55"/>
  <c r="J113" i="55"/>
  <c r="J116" i="55"/>
  <c r="J127" i="55"/>
  <c r="O135" i="55"/>
  <c r="P135" i="55" s="1"/>
  <c r="R135" i="55" s="1"/>
  <c r="S135" i="55" s="1"/>
  <c r="R158" i="55"/>
  <c r="S158" i="55" s="1"/>
  <c r="R162" i="55"/>
  <c r="S162" i="55" s="1"/>
  <c r="R172" i="55"/>
  <c r="S172" i="55" s="1"/>
  <c r="R138" i="55"/>
  <c r="S138" i="55" s="1"/>
  <c r="O152" i="55"/>
  <c r="P152" i="55" s="1"/>
  <c r="R152" i="55" s="1"/>
  <c r="S152" i="55" s="1"/>
  <c r="J169" i="55"/>
  <c r="K169" i="55"/>
  <c r="J177" i="55"/>
  <c r="K177" i="55"/>
  <c r="J184" i="55"/>
  <c r="Q184" i="55"/>
  <c r="R184" i="55" s="1"/>
  <c r="S184" i="55" s="1"/>
  <c r="I184" i="55"/>
  <c r="H184" i="55"/>
  <c r="R156" i="62"/>
  <c r="S156" i="62" s="1"/>
  <c r="K201" i="55"/>
  <c r="L200" i="55"/>
  <c r="M200" i="55" s="1"/>
  <c r="J200" i="55"/>
  <c r="Q200" i="55"/>
  <c r="I200" i="55"/>
  <c r="R124" i="62"/>
  <c r="S124" i="62" s="1"/>
  <c r="R135" i="62"/>
  <c r="S135" i="62" s="1"/>
  <c r="R146" i="62"/>
  <c r="S146" i="62" s="1"/>
  <c r="L153" i="62"/>
  <c r="M153" i="62" s="1"/>
  <c r="R153" i="62" s="1"/>
  <c r="S153" i="62" s="1"/>
  <c r="K153" i="62"/>
  <c r="J153" i="62"/>
  <c r="O126" i="55"/>
  <c r="P126" i="55" s="1"/>
  <c r="R126" i="55" s="1"/>
  <c r="S126" i="55" s="1"/>
  <c r="J165" i="55"/>
  <c r="H15" i="51" s="1"/>
  <c r="G168" i="55"/>
  <c r="O168" i="55"/>
  <c r="P168" i="55" s="1"/>
  <c r="O192" i="55"/>
  <c r="P192" i="55" s="1"/>
  <c r="J79" i="61"/>
  <c r="H34" i="60" s="1"/>
  <c r="R112" i="62"/>
  <c r="S112" i="62" s="1"/>
  <c r="U113" i="62" s="1"/>
  <c r="H11" i="60" s="1"/>
  <c r="R133" i="62"/>
  <c r="S133" i="62" s="1"/>
  <c r="R155" i="62"/>
  <c r="S155" i="62" s="1"/>
  <c r="J110" i="55"/>
  <c r="H10" i="51" s="1"/>
  <c r="O112" i="55"/>
  <c r="P112" i="55" s="1"/>
  <c r="R112" i="55" s="1"/>
  <c r="S112" i="55" s="1"/>
  <c r="U113" i="55" s="1"/>
  <c r="J124" i="55"/>
  <c r="K133" i="55"/>
  <c r="O141" i="55"/>
  <c r="P141" i="55" s="1"/>
  <c r="R141" i="55" s="1"/>
  <c r="S141" i="55" s="1"/>
  <c r="J156" i="55"/>
  <c r="H168" i="55"/>
  <c r="J188" i="55"/>
  <c r="H200" i="55"/>
  <c r="J12" i="61"/>
  <c r="J4" i="58" s="1"/>
  <c r="L116" i="62"/>
  <c r="M116" i="62" s="1"/>
  <c r="R116" i="62" s="1"/>
  <c r="S116" i="62" s="1"/>
  <c r="U116" i="62" s="1"/>
  <c r="K116" i="62"/>
  <c r="J116" i="62"/>
  <c r="R123" i="62"/>
  <c r="S123" i="62" s="1"/>
  <c r="K181" i="62"/>
  <c r="J181" i="62"/>
  <c r="K110" i="55"/>
  <c r="H12" i="51" s="1"/>
  <c r="K124" i="55"/>
  <c r="K156" i="55"/>
  <c r="I168" i="55"/>
  <c r="Q168" i="55"/>
  <c r="J173" i="55"/>
  <c r="Q192" i="55"/>
  <c r="I192" i="55"/>
  <c r="H192" i="55"/>
  <c r="F44" i="61"/>
  <c r="G44" i="61" s="1"/>
  <c r="I44" i="61" s="1"/>
  <c r="J44" i="61" s="1"/>
  <c r="B55" i="61"/>
  <c r="F55" i="61" s="1"/>
  <c r="G55" i="61" s="1"/>
  <c r="I55" i="61" s="1"/>
  <c r="J55" i="61" s="1"/>
  <c r="R148" i="62"/>
  <c r="S148" i="62" s="1"/>
  <c r="K169" i="62"/>
  <c r="J169" i="62"/>
  <c r="J107" i="55"/>
  <c r="H5" i="51" s="1"/>
  <c r="J130" i="55"/>
  <c r="J162" i="55"/>
  <c r="J168" i="55"/>
  <c r="D170" i="55"/>
  <c r="L188" i="55"/>
  <c r="M188" i="55" s="1"/>
  <c r="R188" i="55" s="1"/>
  <c r="S188" i="55" s="1"/>
  <c r="J192" i="55"/>
  <c r="O139" i="62"/>
  <c r="P139" i="62" s="1"/>
  <c r="R139" i="62" s="1"/>
  <c r="S139" i="62" s="1"/>
  <c r="R162" i="62"/>
  <c r="S162" i="62" s="1"/>
  <c r="B42" i="61"/>
  <c r="F27" i="61"/>
  <c r="I27" i="61" s="1"/>
  <c r="J27" i="61" s="1"/>
  <c r="L118" i="62"/>
  <c r="M118" i="62" s="1"/>
  <c r="R118" i="62" s="1"/>
  <c r="S118" i="62" s="1"/>
  <c r="K118" i="62"/>
  <c r="R152" i="62"/>
  <c r="S152" i="62" s="1"/>
  <c r="R161" i="62"/>
  <c r="S161" i="62" s="1"/>
  <c r="B47" i="61"/>
  <c r="D201" i="62"/>
  <c r="C250" i="62"/>
  <c r="F250" i="62" s="1"/>
  <c r="H250" i="62" s="1"/>
  <c r="Q196" i="55"/>
  <c r="C235" i="55"/>
  <c r="F31" i="61"/>
  <c r="I31" i="61" s="1"/>
  <c r="J31" i="61" s="1"/>
  <c r="G117" i="62"/>
  <c r="O117" i="62"/>
  <c r="P117" i="62" s="1"/>
  <c r="O129" i="62"/>
  <c r="P129" i="62" s="1"/>
  <c r="R129" i="62" s="1"/>
  <c r="S129" i="62" s="1"/>
  <c r="R132" i="62"/>
  <c r="S132" i="62" s="1"/>
  <c r="O142" i="62"/>
  <c r="P142" i="62" s="1"/>
  <c r="R142" i="62" s="1"/>
  <c r="S142" i="62" s="1"/>
  <c r="R144" i="62"/>
  <c r="S144" i="62" s="1"/>
  <c r="R164" i="62"/>
  <c r="S164" i="62" s="1"/>
  <c r="C236" i="55"/>
  <c r="F29" i="61"/>
  <c r="I29" i="61" s="1"/>
  <c r="J29" i="61" s="1"/>
  <c r="K106" i="62"/>
  <c r="J110" i="62"/>
  <c r="J113" i="62"/>
  <c r="H10" i="60" s="1"/>
  <c r="H117" i="62"/>
  <c r="J127" i="62"/>
  <c r="J159" i="62"/>
  <c r="O180" i="62"/>
  <c r="P180" i="62" s="1"/>
  <c r="R180" i="62" s="1"/>
  <c r="S180" i="62" s="1"/>
  <c r="K200" i="55"/>
  <c r="F33" i="61"/>
  <c r="I33" i="61" s="1"/>
  <c r="J33" i="61" s="1"/>
  <c r="L106" i="62"/>
  <c r="M106" i="62" s="1"/>
  <c r="R106" i="62" s="1"/>
  <c r="S106" i="62" s="1"/>
  <c r="U107" i="62" s="1"/>
  <c r="H6" i="60" s="1"/>
  <c r="K110" i="62"/>
  <c r="K113" i="62"/>
  <c r="I117" i="62"/>
  <c r="H14" i="60" s="1"/>
  <c r="Q117" i="62"/>
  <c r="K127" i="62"/>
  <c r="K159" i="62"/>
  <c r="O196" i="62"/>
  <c r="P196" i="62" s="1"/>
  <c r="G200" i="62"/>
  <c r="O200" i="62"/>
  <c r="P200" i="62" s="1"/>
  <c r="E239" i="62"/>
  <c r="G239" i="62" s="1"/>
  <c r="J117" i="62"/>
  <c r="H15" i="60" s="1"/>
  <c r="H196" i="62"/>
  <c r="H192" i="62"/>
  <c r="I196" i="62"/>
  <c r="Q196" i="62"/>
  <c r="C235" i="62"/>
  <c r="L117" i="62"/>
  <c r="M117" i="62" s="1"/>
  <c r="I192" i="62"/>
  <c r="H27" i="60" l="1"/>
  <c r="R188" i="62"/>
  <c r="S188" i="62" s="1"/>
  <c r="H17" i="60"/>
  <c r="R196" i="55"/>
  <c r="S196" i="55" s="1"/>
  <c r="H12" i="60"/>
  <c r="H20" i="60"/>
  <c r="J177" i="62"/>
  <c r="H25" i="60" s="1"/>
  <c r="R168" i="55"/>
  <c r="S168" i="55" s="1"/>
  <c r="H5" i="60"/>
  <c r="H9" i="59"/>
  <c r="U107" i="55"/>
  <c r="H6" i="51" s="1"/>
  <c r="R117" i="62"/>
  <c r="S117" i="62" s="1"/>
  <c r="U118" i="62" s="1"/>
  <c r="H16" i="60" s="1"/>
  <c r="R200" i="55"/>
  <c r="S200" i="55" s="1"/>
  <c r="I4" i="58"/>
  <c r="M4" i="58" s="1"/>
  <c r="M4" i="49"/>
  <c r="R192" i="55"/>
  <c r="S192" i="55" s="1"/>
  <c r="G241" i="62"/>
  <c r="J241" i="62" s="1"/>
  <c r="R196" i="62"/>
  <c r="S196" i="62" s="1"/>
  <c r="R176" i="62"/>
  <c r="S176" i="62" s="1"/>
  <c r="U177" i="62" s="1"/>
  <c r="H26" i="60" s="1"/>
  <c r="H7" i="60"/>
  <c r="J200" i="62"/>
  <c r="Q200" i="62"/>
  <c r="I200" i="62"/>
  <c r="H200" i="62"/>
  <c r="K201" i="62"/>
  <c r="J201" i="62"/>
  <c r="L200" i="62"/>
  <c r="M200" i="62" s="1"/>
  <c r="B58" i="61"/>
  <c r="F58" i="61" s="1"/>
  <c r="G58" i="61" s="1"/>
  <c r="I58" i="61" s="1"/>
  <c r="J58" i="61" s="1"/>
  <c r="F47" i="61"/>
  <c r="G47" i="61" s="1"/>
  <c r="I47" i="61" s="1"/>
  <c r="J47" i="61" s="1"/>
  <c r="J35" i="61"/>
  <c r="H4" i="59" s="1"/>
  <c r="K4" i="59" s="1"/>
  <c r="B53" i="61"/>
  <c r="F53" i="61" s="1"/>
  <c r="G53" i="61" s="1"/>
  <c r="I53" i="61" s="1"/>
  <c r="J53" i="61" s="1"/>
  <c r="F42" i="61"/>
  <c r="G42" i="61" s="1"/>
  <c r="I42" i="61" s="1"/>
  <c r="J42" i="61" s="1"/>
  <c r="U116" i="55"/>
  <c r="J60" i="61" l="1"/>
  <c r="H11" i="59" s="1"/>
  <c r="R200" i="62"/>
  <c r="S200" i="62" s="1"/>
  <c r="J49" i="61"/>
  <c r="H10" i="59" s="1"/>
  <c r="D1" i="40" l="1"/>
  <c r="D1" i="41" s="1"/>
  <c r="D1" i="42" s="1"/>
  <c r="B7" i="39"/>
  <c r="B6" i="39"/>
  <c r="B5" i="39"/>
  <c r="I390" i="46"/>
  <c r="J390" i="46" s="1"/>
  <c r="B386" i="46"/>
  <c r="E385" i="46"/>
  <c r="B385" i="46"/>
  <c r="E386" i="46" s="1"/>
  <c r="F383" i="46"/>
  <c r="G383" i="46" s="1"/>
  <c r="I383" i="46" s="1"/>
  <c r="F382" i="46"/>
  <c r="G382" i="46" s="1"/>
  <c r="I382" i="46" s="1"/>
  <c r="F381" i="46"/>
  <c r="G381" i="46" s="1"/>
  <c r="I381" i="46" s="1"/>
  <c r="J381" i="46" s="1"/>
  <c r="H36" i="42" s="1"/>
  <c r="L374" i="46"/>
  <c r="F361" i="46"/>
  <c r="G361" i="46" s="1"/>
  <c r="I361" i="46" s="1"/>
  <c r="B359" i="46"/>
  <c r="E358" i="46"/>
  <c r="B356" i="46"/>
  <c r="E355" i="46"/>
  <c r="B355" i="46"/>
  <c r="E356" i="46" s="1"/>
  <c r="B353" i="46"/>
  <c r="E352" i="46"/>
  <c r="B352" i="46"/>
  <c r="B350" i="46"/>
  <c r="E349" i="46"/>
  <c r="B349" i="46"/>
  <c r="B347" i="46"/>
  <c r="E346" i="46"/>
  <c r="B346" i="46"/>
  <c r="L342" i="46"/>
  <c r="B341" i="46"/>
  <c r="E340" i="46"/>
  <c r="B340" i="46"/>
  <c r="F340" i="46" s="1"/>
  <c r="G340" i="46" s="1"/>
  <c r="I340" i="46" s="1"/>
  <c r="B338" i="46"/>
  <c r="E337" i="46"/>
  <c r="B337" i="46"/>
  <c r="E338" i="46" s="1"/>
  <c r="B335" i="46"/>
  <c r="E334" i="46"/>
  <c r="B334" i="46"/>
  <c r="E335" i="46" s="1"/>
  <c r="B329" i="46"/>
  <c r="E328" i="46"/>
  <c r="B328" i="46"/>
  <c r="E329" i="46" s="1"/>
  <c r="B326" i="46"/>
  <c r="E325" i="46"/>
  <c r="B325" i="46"/>
  <c r="E326" i="46" s="1"/>
  <c r="B323" i="46"/>
  <c r="E322" i="46"/>
  <c r="B322" i="46"/>
  <c r="B315" i="46"/>
  <c r="E314" i="46"/>
  <c r="B314" i="46"/>
  <c r="E315" i="46" s="1"/>
  <c r="B312" i="46"/>
  <c r="E311" i="46"/>
  <c r="B311" i="46"/>
  <c r="E312" i="46" s="1"/>
  <c r="B305" i="46"/>
  <c r="L302" i="46"/>
  <c r="B301" i="46"/>
  <c r="B373" i="46" s="1"/>
  <c r="F373" i="46" s="1"/>
  <c r="G373" i="46" s="1"/>
  <c r="I373" i="46" s="1"/>
  <c r="B297" i="46"/>
  <c r="F297" i="46" s="1"/>
  <c r="G297" i="46" s="1"/>
  <c r="I297" i="46" s="1"/>
  <c r="B293" i="46"/>
  <c r="B365" i="46" s="1"/>
  <c r="F365" i="46" s="1"/>
  <c r="G365" i="46" s="1"/>
  <c r="I365" i="46" s="1"/>
  <c r="B290" i="46"/>
  <c r="F290" i="46" s="1"/>
  <c r="G290" i="46" s="1"/>
  <c r="I290" i="46" s="1"/>
  <c r="J290" i="46" s="1"/>
  <c r="B288" i="46"/>
  <c r="F288" i="46" s="1"/>
  <c r="G288" i="46" s="1"/>
  <c r="I288" i="46" s="1"/>
  <c r="L285" i="46"/>
  <c r="B284" i="46"/>
  <c r="F284" i="46" s="1"/>
  <c r="G284" i="46" s="1"/>
  <c r="I284" i="46" s="1"/>
  <c r="B280" i="46"/>
  <c r="F280" i="46" s="1"/>
  <c r="G280" i="46" s="1"/>
  <c r="I280" i="46" s="1"/>
  <c r="B276" i="46"/>
  <c r="F276" i="46" s="1"/>
  <c r="G276" i="46" s="1"/>
  <c r="I276" i="46" s="1"/>
  <c r="E270" i="46"/>
  <c r="F270" i="46" s="1"/>
  <c r="G270" i="46" s="1"/>
  <c r="I270" i="46" s="1"/>
  <c r="L267" i="46"/>
  <c r="E266" i="46"/>
  <c r="F266" i="46" s="1"/>
  <c r="G266" i="46" s="1"/>
  <c r="I266" i="46" s="1"/>
  <c r="E262" i="46"/>
  <c r="F262" i="46" s="1"/>
  <c r="G262" i="46" s="1"/>
  <c r="I262" i="46" s="1"/>
  <c r="E258" i="46"/>
  <c r="F258" i="46" s="1"/>
  <c r="G258" i="46" s="1"/>
  <c r="I258" i="46" s="1"/>
  <c r="F253" i="46"/>
  <c r="G253" i="46" s="1"/>
  <c r="I253" i="46" s="1"/>
  <c r="M251" i="46"/>
  <c r="F251" i="46"/>
  <c r="G251" i="46" s="1"/>
  <c r="I251" i="46" s="1"/>
  <c r="F249" i="46"/>
  <c r="G249" i="46" s="1"/>
  <c r="I249" i="46" s="1"/>
  <c r="F247" i="46"/>
  <c r="G247" i="46" s="1"/>
  <c r="I247" i="46" s="1"/>
  <c r="F245" i="46"/>
  <c r="G245" i="46" s="1"/>
  <c r="I245" i="46" s="1"/>
  <c r="L241" i="46"/>
  <c r="F240" i="46"/>
  <c r="G240" i="46" s="1"/>
  <c r="I240" i="46" s="1"/>
  <c r="F238" i="46"/>
  <c r="G238" i="46" s="1"/>
  <c r="I238" i="46" s="1"/>
  <c r="F236" i="46"/>
  <c r="G236" i="46" s="1"/>
  <c r="I236" i="46" s="1"/>
  <c r="F231" i="46"/>
  <c r="G231" i="46" s="1"/>
  <c r="I231" i="46" s="1"/>
  <c r="F229" i="46"/>
  <c r="G229" i="46" s="1"/>
  <c r="I229" i="46" s="1"/>
  <c r="F227" i="46"/>
  <c r="G227" i="46" s="1"/>
  <c r="I227" i="46" s="1"/>
  <c r="F222" i="46"/>
  <c r="G222" i="46" s="1"/>
  <c r="I222" i="46" s="1"/>
  <c r="F221" i="46"/>
  <c r="G221" i="46" s="1"/>
  <c r="I221" i="46" s="1"/>
  <c r="F219" i="46"/>
  <c r="G219" i="46" s="1"/>
  <c r="I219" i="46" s="1"/>
  <c r="F218" i="46"/>
  <c r="G218" i="46" s="1"/>
  <c r="I218" i="46" s="1"/>
  <c r="C214" i="46"/>
  <c r="B358" i="46" s="1"/>
  <c r="M212" i="46"/>
  <c r="F212" i="46"/>
  <c r="G212" i="46" s="1"/>
  <c r="I212" i="46" s="1"/>
  <c r="F210" i="46"/>
  <c r="G210" i="46" s="1"/>
  <c r="I210" i="46" s="1"/>
  <c r="F208" i="46"/>
  <c r="G208" i="46" s="1"/>
  <c r="I208" i="46" s="1"/>
  <c r="F206" i="46"/>
  <c r="G206" i="46" s="1"/>
  <c r="I206" i="46" s="1"/>
  <c r="L202" i="46"/>
  <c r="F201" i="46"/>
  <c r="G201" i="46" s="1"/>
  <c r="I201" i="46" s="1"/>
  <c r="F199" i="46"/>
  <c r="G199" i="46" s="1"/>
  <c r="I199" i="46" s="1"/>
  <c r="F197" i="46"/>
  <c r="G197" i="46" s="1"/>
  <c r="I197" i="46" s="1"/>
  <c r="F192" i="46"/>
  <c r="G192" i="46" s="1"/>
  <c r="I192" i="46" s="1"/>
  <c r="F190" i="46"/>
  <c r="G190" i="46" s="1"/>
  <c r="I190" i="46" s="1"/>
  <c r="F188" i="46"/>
  <c r="G188" i="46" s="1"/>
  <c r="I188" i="46" s="1"/>
  <c r="F183" i="46"/>
  <c r="G183" i="46" s="1"/>
  <c r="I183" i="46" s="1"/>
  <c r="F182" i="46"/>
  <c r="G182" i="46" s="1"/>
  <c r="I182" i="46" s="1"/>
  <c r="F180" i="46"/>
  <c r="G180" i="46" s="1"/>
  <c r="I180" i="46" s="1"/>
  <c r="F179" i="46"/>
  <c r="G179" i="46" s="1"/>
  <c r="I179" i="46" s="1"/>
  <c r="C173" i="46"/>
  <c r="F173" i="46" s="1"/>
  <c r="G173" i="46" s="1"/>
  <c r="I173" i="46" s="1"/>
  <c r="M171" i="46"/>
  <c r="F171" i="46"/>
  <c r="G171" i="46" s="1"/>
  <c r="I171" i="46" s="1"/>
  <c r="F169" i="46"/>
  <c r="G169" i="46" s="1"/>
  <c r="I169" i="46" s="1"/>
  <c r="F167" i="46"/>
  <c r="G167" i="46" s="1"/>
  <c r="I167" i="46" s="1"/>
  <c r="F165" i="46"/>
  <c r="G165" i="46" s="1"/>
  <c r="I165" i="46" s="1"/>
  <c r="L161" i="46"/>
  <c r="F160" i="46"/>
  <c r="G160" i="46" s="1"/>
  <c r="I160" i="46" s="1"/>
  <c r="F158" i="46"/>
  <c r="G158" i="46" s="1"/>
  <c r="I158" i="46" s="1"/>
  <c r="F156" i="46"/>
  <c r="G156" i="46" s="1"/>
  <c r="I156" i="46" s="1"/>
  <c r="F151" i="46"/>
  <c r="G151" i="46" s="1"/>
  <c r="I151" i="46" s="1"/>
  <c r="F149" i="46"/>
  <c r="G149" i="46" s="1"/>
  <c r="I149" i="46" s="1"/>
  <c r="F147" i="46"/>
  <c r="G147" i="46" s="1"/>
  <c r="I147" i="46" s="1"/>
  <c r="F142" i="46"/>
  <c r="G142" i="46" s="1"/>
  <c r="I142" i="46" s="1"/>
  <c r="F141" i="46"/>
  <c r="G141" i="46" s="1"/>
  <c r="I141" i="46" s="1"/>
  <c r="F139" i="46"/>
  <c r="G139" i="46" s="1"/>
  <c r="I139" i="46" s="1"/>
  <c r="F138" i="46"/>
  <c r="G138" i="46" s="1"/>
  <c r="I138" i="46" s="1"/>
  <c r="F132" i="46"/>
  <c r="G132" i="46" s="1"/>
  <c r="I132" i="46" s="1"/>
  <c r="M130" i="46"/>
  <c r="F130" i="46"/>
  <c r="G130" i="46" s="1"/>
  <c r="I130" i="46" s="1"/>
  <c r="F128" i="46"/>
  <c r="G128" i="46" s="1"/>
  <c r="I128" i="46" s="1"/>
  <c r="F126" i="46"/>
  <c r="G126" i="46" s="1"/>
  <c r="I126" i="46" s="1"/>
  <c r="F124" i="46"/>
  <c r="G124" i="46" s="1"/>
  <c r="I124" i="46" s="1"/>
  <c r="L120" i="46"/>
  <c r="F119" i="46"/>
  <c r="G119" i="46" s="1"/>
  <c r="I119" i="46" s="1"/>
  <c r="F117" i="46"/>
  <c r="G117" i="46" s="1"/>
  <c r="I117" i="46" s="1"/>
  <c r="F115" i="46"/>
  <c r="G115" i="46" s="1"/>
  <c r="I115" i="46" s="1"/>
  <c r="F110" i="46"/>
  <c r="G110" i="46" s="1"/>
  <c r="I110" i="46" s="1"/>
  <c r="F108" i="46"/>
  <c r="G108" i="46" s="1"/>
  <c r="I108" i="46" s="1"/>
  <c r="F106" i="46"/>
  <c r="G106" i="46" s="1"/>
  <c r="I106" i="46" s="1"/>
  <c r="G101" i="46"/>
  <c r="I101" i="46" s="1"/>
  <c r="F101" i="46"/>
  <c r="F100" i="46"/>
  <c r="G100" i="46" s="1"/>
  <c r="I100" i="46" s="1"/>
  <c r="F98" i="46"/>
  <c r="G98" i="46" s="1"/>
  <c r="I98" i="46" s="1"/>
  <c r="F97" i="46"/>
  <c r="G97" i="46" s="1"/>
  <c r="I97" i="46" s="1"/>
  <c r="B83" i="46"/>
  <c r="F83" i="46" s="1"/>
  <c r="G83" i="46" s="1"/>
  <c r="I83" i="46" s="1"/>
  <c r="J83" i="46" s="1"/>
  <c r="H11" i="41" s="1"/>
  <c r="F76" i="46"/>
  <c r="G76" i="46" s="1"/>
  <c r="I76" i="46" s="1"/>
  <c r="F75" i="46"/>
  <c r="G75" i="46" s="1"/>
  <c r="I75" i="46" s="1"/>
  <c r="G74" i="46"/>
  <c r="I74" i="46" s="1"/>
  <c r="F74" i="46"/>
  <c r="F73" i="46"/>
  <c r="G73" i="46" s="1"/>
  <c r="I73" i="46" s="1"/>
  <c r="F72" i="46"/>
  <c r="G72" i="46" s="1"/>
  <c r="I72" i="46" s="1"/>
  <c r="F71" i="46"/>
  <c r="G71" i="46" s="1"/>
  <c r="I71" i="46" s="1"/>
  <c r="L68" i="46"/>
  <c r="F67" i="46"/>
  <c r="G67" i="46" s="1"/>
  <c r="I67" i="46" s="1"/>
  <c r="F66" i="46"/>
  <c r="G66" i="46" s="1"/>
  <c r="I66" i="46" s="1"/>
  <c r="F65" i="46"/>
  <c r="G65" i="46" s="1"/>
  <c r="I65" i="46" s="1"/>
  <c r="F64" i="46"/>
  <c r="G64" i="46" s="1"/>
  <c r="I64" i="46" s="1"/>
  <c r="F60" i="46"/>
  <c r="G60" i="46" s="1"/>
  <c r="I60" i="46" s="1"/>
  <c r="F59" i="46"/>
  <c r="G59" i="46" s="1"/>
  <c r="I59" i="46" s="1"/>
  <c r="F58" i="46"/>
  <c r="G58" i="46" s="1"/>
  <c r="I58" i="46" s="1"/>
  <c r="F57" i="46"/>
  <c r="G57" i="46" s="1"/>
  <c r="I57" i="46" s="1"/>
  <c r="F54" i="46"/>
  <c r="G54" i="46" s="1"/>
  <c r="F53" i="46"/>
  <c r="G53" i="46" s="1"/>
  <c r="I53" i="46" s="1"/>
  <c r="F52" i="46"/>
  <c r="G52" i="46" s="1"/>
  <c r="I52" i="46" s="1"/>
  <c r="F41" i="46"/>
  <c r="G41" i="46" s="1"/>
  <c r="I41" i="46" s="1"/>
  <c r="F40" i="46"/>
  <c r="G40" i="46" s="1"/>
  <c r="I40" i="46" s="1"/>
  <c r="F39" i="46"/>
  <c r="G39" i="46" s="1"/>
  <c r="I39" i="46" s="1"/>
  <c r="F38" i="46"/>
  <c r="G38" i="46" s="1"/>
  <c r="I38" i="46" s="1"/>
  <c r="F37" i="46"/>
  <c r="G37" i="46" s="1"/>
  <c r="I37" i="46" s="1"/>
  <c r="F36" i="46"/>
  <c r="G36" i="46" s="1"/>
  <c r="I36" i="46" s="1"/>
  <c r="L33" i="46"/>
  <c r="F32" i="46"/>
  <c r="G32" i="46" s="1"/>
  <c r="I32" i="46" s="1"/>
  <c r="F31" i="46"/>
  <c r="G31" i="46" s="1"/>
  <c r="I31" i="46" s="1"/>
  <c r="F30" i="46"/>
  <c r="G30" i="46" s="1"/>
  <c r="I30" i="46" s="1"/>
  <c r="F29" i="46"/>
  <c r="G29" i="46" s="1"/>
  <c r="I29" i="46" s="1"/>
  <c r="F25" i="46"/>
  <c r="G25" i="46" s="1"/>
  <c r="I25" i="46" s="1"/>
  <c r="F24" i="46"/>
  <c r="G24" i="46" s="1"/>
  <c r="I24" i="46" s="1"/>
  <c r="F23" i="46"/>
  <c r="G23" i="46" s="1"/>
  <c r="I23" i="46" s="1"/>
  <c r="F22" i="46"/>
  <c r="G22" i="46" s="1"/>
  <c r="I22" i="46" s="1"/>
  <c r="F19" i="46"/>
  <c r="G19" i="46" s="1"/>
  <c r="F18" i="46"/>
  <c r="G18" i="46" s="1"/>
  <c r="I18" i="46" s="1"/>
  <c r="F17" i="46"/>
  <c r="G17" i="46" s="1"/>
  <c r="I17" i="46" s="1"/>
  <c r="C7" i="46"/>
  <c r="B7" i="46"/>
  <c r="N116" i="44"/>
  <c r="O116" i="44" s="1"/>
  <c r="P116" i="44" s="1"/>
  <c r="E116" i="44"/>
  <c r="G116" i="44" s="1"/>
  <c r="N113" i="44"/>
  <c r="N112" i="44"/>
  <c r="O112" i="44" s="1"/>
  <c r="P112" i="44" s="1"/>
  <c r="E112" i="44"/>
  <c r="G112" i="44" s="1"/>
  <c r="N110" i="44"/>
  <c r="N109" i="44"/>
  <c r="E109" i="44"/>
  <c r="N107" i="44"/>
  <c r="N106" i="44"/>
  <c r="L106" i="44"/>
  <c r="M106" i="44" s="1"/>
  <c r="H106" i="44"/>
  <c r="E106" i="44"/>
  <c r="K106" i="44" s="1"/>
  <c r="J24" i="42"/>
  <c r="I24" i="42"/>
  <c r="H14" i="41"/>
  <c r="H7" i="41"/>
  <c r="F335" i="46" l="1"/>
  <c r="G335" i="46" s="1"/>
  <c r="I335" i="46" s="1"/>
  <c r="F322" i="46"/>
  <c r="G322" i="46" s="1"/>
  <c r="I322" i="46" s="1"/>
  <c r="F326" i="46"/>
  <c r="G326" i="46" s="1"/>
  <c r="I326" i="46" s="1"/>
  <c r="F352" i="46"/>
  <c r="G352" i="46" s="1"/>
  <c r="I352" i="46" s="1"/>
  <c r="F311" i="46"/>
  <c r="G311" i="46" s="1"/>
  <c r="I311" i="46" s="1"/>
  <c r="F293" i="46"/>
  <c r="G293" i="46" s="1"/>
  <c r="I293" i="46" s="1"/>
  <c r="F349" i="46"/>
  <c r="G349" i="46" s="1"/>
  <c r="I349" i="46" s="1"/>
  <c r="J288" i="46"/>
  <c r="H31" i="42" s="1"/>
  <c r="F301" i="46"/>
  <c r="G301" i="46" s="1"/>
  <c r="I301" i="46" s="1"/>
  <c r="F325" i="46"/>
  <c r="G325" i="46" s="1"/>
  <c r="I325" i="46" s="1"/>
  <c r="F328" i="46"/>
  <c r="G328" i="46" s="1"/>
  <c r="I328" i="46" s="1"/>
  <c r="F338" i="46"/>
  <c r="G338" i="46" s="1"/>
  <c r="I338" i="46" s="1"/>
  <c r="F355" i="46"/>
  <c r="G355" i="46" s="1"/>
  <c r="I355" i="46" s="1"/>
  <c r="H112" i="44"/>
  <c r="E323" i="46"/>
  <c r="F323" i="46" s="1"/>
  <c r="G323" i="46" s="1"/>
  <c r="I323" i="46" s="1"/>
  <c r="E350" i="46"/>
  <c r="F350" i="46" s="1"/>
  <c r="G350" i="46" s="1"/>
  <c r="I350" i="46" s="1"/>
  <c r="F356" i="46"/>
  <c r="G356" i="46" s="1"/>
  <c r="I356" i="46" s="1"/>
  <c r="F385" i="46"/>
  <c r="G385" i="46" s="1"/>
  <c r="I385" i="46" s="1"/>
  <c r="Q106" i="44"/>
  <c r="I112" i="44"/>
  <c r="H14" i="42" s="1"/>
  <c r="Q112" i="44"/>
  <c r="G7" i="46"/>
  <c r="I7" i="46" s="1"/>
  <c r="J7" i="46" s="1"/>
  <c r="I106" i="44"/>
  <c r="H4" i="42" s="1"/>
  <c r="D107" i="44"/>
  <c r="K107" i="44" s="1"/>
  <c r="H7" i="42" s="1"/>
  <c r="L112" i="44"/>
  <c r="M112" i="44" s="1"/>
  <c r="D113" i="44"/>
  <c r="L113" i="44" s="1"/>
  <c r="M113" i="44" s="1"/>
  <c r="R113" i="44" s="1"/>
  <c r="S113" i="44" s="1"/>
  <c r="K116" i="44"/>
  <c r="H22" i="42" s="1"/>
  <c r="J76" i="46"/>
  <c r="H10" i="41" s="1"/>
  <c r="F214" i="46"/>
  <c r="G214" i="46" s="1"/>
  <c r="I214" i="46" s="1"/>
  <c r="B377" i="46"/>
  <c r="F377" i="46" s="1"/>
  <c r="G377" i="46" s="1"/>
  <c r="I377" i="46" s="1"/>
  <c r="F315" i="46"/>
  <c r="G315" i="46" s="1"/>
  <c r="I315" i="46" s="1"/>
  <c r="F337" i="46"/>
  <c r="G337" i="46" s="1"/>
  <c r="I337" i="46" s="1"/>
  <c r="F386" i="46"/>
  <c r="G386" i="46" s="1"/>
  <c r="I386" i="46" s="1"/>
  <c r="J173" i="46"/>
  <c r="H26" i="42" s="1"/>
  <c r="J253" i="46"/>
  <c r="H32" i="42" s="1"/>
  <c r="J383" i="46"/>
  <c r="H38" i="42" s="1"/>
  <c r="J270" i="46"/>
  <c r="H33" i="42" s="1"/>
  <c r="J41" i="46"/>
  <c r="H4" i="41" s="1"/>
  <c r="K4" i="41" s="1"/>
  <c r="D110" i="44"/>
  <c r="L109" i="44"/>
  <c r="M109" i="44" s="1"/>
  <c r="J109" i="44"/>
  <c r="G109" i="44"/>
  <c r="K109" i="44"/>
  <c r="Q109" i="44"/>
  <c r="I109" i="44"/>
  <c r="H9" i="42" s="1"/>
  <c r="H109" i="44"/>
  <c r="F312" i="46"/>
  <c r="G312" i="46" s="1"/>
  <c r="I312" i="46" s="1"/>
  <c r="E347" i="46"/>
  <c r="F347" i="46" s="1"/>
  <c r="G347" i="46" s="1"/>
  <c r="I347" i="46" s="1"/>
  <c r="F346" i="46"/>
  <c r="G346" i="46" s="1"/>
  <c r="I346" i="46" s="1"/>
  <c r="O109" i="44"/>
  <c r="P109" i="44" s="1"/>
  <c r="J132" i="46"/>
  <c r="H30" i="42" s="1"/>
  <c r="J214" i="46"/>
  <c r="H27" i="42" s="1"/>
  <c r="F329" i="46"/>
  <c r="G329" i="46" s="1"/>
  <c r="I329" i="46" s="1"/>
  <c r="E359" i="46"/>
  <c r="F359" i="46" s="1"/>
  <c r="G359" i="46" s="1"/>
  <c r="I359" i="46" s="1"/>
  <c r="F358" i="46"/>
  <c r="G358" i="46" s="1"/>
  <c r="I358" i="46" s="1"/>
  <c r="J112" i="44"/>
  <c r="D117" i="44"/>
  <c r="E353" i="46"/>
  <c r="F353" i="46" s="1"/>
  <c r="G353" i="46" s="1"/>
  <c r="I353" i="46" s="1"/>
  <c r="B369" i="46"/>
  <c r="F369" i="46" s="1"/>
  <c r="G369" i="46" s="1"/>
  <c r="I369" i="46" s="1"/>
  <c r="G106" i="44"/>
  <c r="O106" i="44"/>
  <c r="P106" i="44" s="1"/>
  <c r="R106" i="44" s="1"/>
  <c r="S106" i="44" s="1"/>
  <c r="K112" i="44"/>
  <c r="D118" i="44"/>
  <c r="H24" i="42" s="1"/>
  <c r="F305" i="46"/>
  <c r="G305" i="46" s="1"/>
  <c r="I305" i="46" s="1"/>
  <c r="F314" i="46"/>
  <c r="G314" i="46" s="1"/>
  <c r="I314" i="46" s="1"/>
  <c r="F334" i="46"/>
  <c r="G334" i="46" s="1"/>
  <c r="I334" i="46" s="1"/>
  <c r="E341" i="46"/>
  <c r="F341" i="46" s="1"/>
  <c r="G341" i="46" s="1"/>
  <c r="I341" i="46" s="1"/>
  <c r="J106" i="44"/>
  <c r="R112" i="44" l="1"/>
  <c r="S112" i="44" s="1"/>
  <c r="J107" i="44"/>
  <c r="J377" i="46"/>
  <c r="H29" i="42" s="1"/>
  <c r="L107" i="44"/>
  <c r="M107" i="44" s="1"/>
  <c r="R107" i="44" s="1"/>
  <c r="S107" i="44" s="1"/>
  <c r="H6" i="42" s="1"/>
  <c r="H16" i="42"/>
  <c r="K113" i="44"/>
  <c r="H17" i="42" s="1"/>
  <c r="J113" i="44"/>
  <c r="H15" i="42" s="1"/>
  <c r="J305" i="46"/>
  <c r="H34" i="42" s="1"/>
  <c r="J386" i="46"/>
  <c r="H37" i="42" s="1"/>
  <c r="R109" i="44"/>
  <c r="S109" i="44" s="1"/>
  <c r="J359" i="46"/>
  <c r="H28" i="42" s="1"/>
  <c r="Q116" i="44"/>
  <c r="I116" i="44"/>
  <c r="H116" i="44"/>
  <c r="H120" i="44" s="1"/>
  <c r="I78" i="46" s="1"/>
  <c r="J78" i="46" s="1"/>
  <c r="L116" i="44"/>
  <c r="M116" i="44" s="1"/>
  <c r="J116" i="44"/>
  <c r="H20" i="42" s="1"/>
  <c r="J110" i="44"/>
  <c r="L110" i="44"/>
  <c r="M110" i="44" s="1"/>
  <c r="R110" i="44" s="1"/>
  <c r="S110" i="44" s="1"/>
  <c r="K110" i="44"/>
  <c r="H5" i="42"/>
  <c r="G120" i="44"/>
  <c r="J5" i="46" s="1"/>
  <c r="J9" i="46" s="1"/>
  <c r="H4" i="40" s="1"/>
  <c r="K120" i="44" l="1"/>
  <c r="J120" i="44"/>
  <c r="H12" i="42"/>
  <c r="H11" i="42"/>
  <c r="H19" i="42"/>
  <c r="I120" i="44"/>
  <c r="H10" i="42"/>
  <c r="R116" i="44"/>
  <c r="S116" i="44" s="1"/>
  <c r="H21" i="42" s="1"/>
  <c r="H9" i="41"/>
  <c r="J80" i="46"/>
  <c r="J86" i="46" s="1"/>
  <c r="S120" i="44" l="1"/>
  <c r="J38" i="38" l="1"/>
  <c r="J37" i="38"/>
  <c r="J36" i="38"/>
  <c r="L49" i="37"/>
  <c r="L42" i="37"/>
  <c r="L41" i="37"/>
  <c r="L40" i="37"/>
  <c r="G40" i="37"/>
  <c r="L39" i="37"/>
  <c r="L38" i="37"/>
  <c r="L37" i="37"/>
  <c r="L36" i="37"/>
  <c r="L35" i="37"/>
  <c r="L34" i="37"/>
  <c r="H29" i="37"/>
  <c r="J28" i="37"/>
  <c r="J25" i="37"/>
  <c r="G24" i="37"/>
  <c r="J18" i="37"/>
  <c r="H7" i="37"/>
  <c r="H6" i="37"/>
  <c r="H5" i="37"/>
  <c r="H4" i="37"/>
  <c r="K2" i="37"/>
  <c r="D17" i="36"/>
  <c r="H21" i="36" l="1"/>
  <c r="C57" i="37"/>
  <c r="C58" i="37" l="1"/>
  <c r="I11" i="37"/>
  <c r="C55" i="37"/>
  <c r="M17" i="35" l="1"/>
  <c r="L17" i="35"/>
  <c r="K17" i="35"/>
  <c r="I17" i="35"/>
  <c r="M16" i="35"/>
  <c r="L16" i="35"/>
  <c r="K16" i="35"/>
  <c r="J16" i="35"/>
  <c r="I16" i="35"/>
  <c r="M15" i="35"/>
  <c r="L15" i="35"/>
  <c r="K15" i="35"/>
  <c r="J15" i="35"/>
  <c r="I15" i="35"/>
  <c r="M14" i="35"/>
  <c r="L14" i="35"/>
  <c r="K14" i="35"/>
  <c r="J14" i="35"/>
  <c r="I14" i="35"/>
  <c r="M13" i="35"/>
  <c r="L13" i="35"/>
  <c r="K13" i="35"/>
  <c r="J13" i="35"/>
  <c r="I13" i="35"/>
  <c r="I7" i="35"/>
  <c r="C7" i="35"/>
  <c r="I6" i="35"/>
  <c r="D250" i="34"/>
  <c r="H241" i="34"/>
  <c r="D239" i="34"/>
  <c r="D238" i="34"/>
  <c r="C232" i="34"/>
  <c r="C236" i="34" s="1"/>
  <c r="N200" i="34"/>
  <c r="E200" i="34"/>
  <c r="D202" i="34" s="1"/>
  <c r="D198" i="34"/>
  <c r="D197" i="34"/>
  <c r="J196" i="34" s="1"/>
  <c r="N196" i="34"/>
  <c r="K196" i="34"/>
  <c r="G196" i="34"/>
  <c r="D194" i="34"/>
  <c r="D193" i="34"/>
  <c r="Q192" i="34" s="1"/>
  <c r="N192" i="34"/>
  <c r="O192" i="34" s="1"/>
  <c r="P192" i="34" s="1"/>
  <c r="L192" i="34"/>
  <c r="M192" i="34" s="1"/>
  <c r="K192" i="34"/>
  <c r="G192" i="34"/>
  <c r="D190" i="34"/>
  <c r="D189" i="34"/>
  <c r="H188" i="34" s="1"/>
  <c r="N188" i="34"/>
  <c r="O188" i="34" s="1"/>
  <c r="P188" i="34" s="1"/>
  <c r="K188" i="34"/>
  <c r="G188" i="34"/>
  <c r="D186" i="34"/>
  <c r="D185" i="34"/>
  <c r="Q184" i="34" s="1"/>
  <c r="N184" i="34"/>
  <c r="O184" i="34" s="1"/>
  <c r="P184" i="34" s="1"/>
  <c r="K184" i="34"/>
  <c r="J184" i="34"/>
  <c r="G184" i="34"/>
  <c r="D182" i="34"/>
  <c r="M181" i="34"/>
  <c r="R181" i="34" s="1"/>
  <c r="S181" i="34" s="1"/>
  <c r="D181" i="34"/>
  <c r="K181" i="34" s="1"/>
  <c r="Q180" i="34"/>
  <c r="N180" i="34"/>
  <c r="O180" i="34" s="1"/>
  <c r="P180" i="34" s="1"/>
  <c r="L180" i="34"/>
  <c r="M180" i="34" s="1"/>
  <c r="K180" i="34"/>
  <c r="J180" i="34"/>
  <c r="I180" i="34"/>
  <c r="H180" i="34"/>
  <c r="G180" i="34"/>
  <c r="D178" i="34"/>
  <c r="M177" i="34"/>
  <c r="R177" i="34" s="1"/>
  <c r="S177" i="34" s="1"/>
  <c r="D177" i="34"/>
  <c r="K177" i="34" s="1"/>
  <c r="Q176" i="34"/>
  <c r="N176" i="34"/>
  <c r="O176" i="34" s="1"/>
  <c r="P176" i="34" s="1"/>
  <c r="L176" i="34"/>
  <c r="M176" i="34" s="1"/>
  <c r="K176" i="34"/>
  <c r="J176" i="34"/>
  <c r="I176" i="34"/>
  <c r="H176" i="34"/>
  <c r="G176" i="34"/>
  <c r="D174" i="34"/>
  <c r="M173" i="34"/>
  <c r="R173" i="34" s="1"/>
  <c r="S173" i="34" s="1"/>
  <c r="D173" i="34"/>
  <c r="K173" i="34" s="1"/>
  <c r="Q172" i="34"/>
  <c r="N172" i="34"/>
  <c r="O172" i="34" s="1"/>
  <c r="P172" i="34" s="1"/>
  <c r="L172" i="34"/>
  <c r="M172" i="34" s="1"/>
  <c r="K172" i="34"/>
  <c r="J172" i="34"/>
  <c r="I172" i="34"/>
  <c r="H172" i="34"/>
  <c r="G172" i="34"/>
  <c r="D170" i="34"/>
  <c r="M169" i="34"/>
  <c r="R169" i="34" s="1"/>
  <c r="S169" i="34" s="1"/>
  <c r="D169" i="34"/>
  <c r="K169" i="34" s="1"/>
  <c r="Q168" i="34"/>
  <c r="N168" i="34"/>
  <c r="O168" i="34" s="1"/>
  <c r="P168" i="34" s="1"/>
  <c r="L168" i="34"/>
  <c r="M168" i="34" s="1"/>
  <c r="K168" i="34"/>
  <c r="H17" i="30" s="1"/>
  <c r="J168" i="34"/>
  <c r="I168" i="34"/>
  <c r="H14" i="30" s="1"/>
  <c r="H168" i="34"/>
  <c r="G168" i="34"/>
  <c r="D166" i="34"/>
  <c r="M165" i="34"/>
  <c r="R165" i="34" s="1"/>
  <c r="S165" i="34" s="1"/>
  <c r="D165" i="34"/>
  <c r="J165" i="34" s="1"/>
  <c r="Q164" i="34"/>
  <c r="N164" i="34"/>
  <c r="O164" i="34" s="1"/>
  <c r="P164" i="34" s="1"/>
  <c r="L164" i="34"/>
  <c r="M164" i="34" s="1"/>
  <c r="K164" i="34"/>
  <c r="J164" i="34"/>
  <c r="I164" i="34"/>
  <c r="H164" i="34"/>
  <c r="G164" i="34"/>
  <c r="N162" i="34"/>
  <c r="D162" i="34"/>
  <c r="L162" i="34" s="1"/>
  <c r="M162" i="34" s="1"/>
  <c r="Q161" i="34"/>
  <c r="O161" i="34"/>
  <c r="P161" i="34" s="1"/>
  <c r="N161" i="34"/>
  <c r="L161" i="34"/>
  <c r="M161" i="34" s="1"/>
  <c r="K161" i="34"/>
  <c r="J161" i="34"/>
  <c r="I161" i="34"/>
  <c r="H161" i="34"/>
  <c r="G161" i="34"/>
  <c r="N159" i="34"/>
  <c r="D159" i="34"/>
  <c r="K159" i="34" s="1"/>
  <c r="Q158" i="34"/>
  <c r="O158" i="34"/>
  <c r="P158" i="34" s="1"/>
  <c r="N158" i="34"/>
  <c r="L158" i="34"/>
  <c r="M158" i="34" s="1"/>
  <c r="K158" i="34"/>
  <c r="J158" i="34"/>
  <c r="I158" i="34"/>
  <c r="H158" i="34"/>
  <c r="G158" i="34"/>
  <c r="N156" i="34"/>
  <c r="N155" i="34"/>
  <c r="O155" i="34" s="1"/>
  <c r="P155" i="34" s="1"/>
  <c r="E155" i="34"/>
  <c r="K155" i="34" s="1"/>
  <c r="N153" i="34"/>
  <c r="D153" i="34"/>
  <c r="L153" i="34" s="1"/>
  <c r="M153" i="34" s="1"/>
  <c r="Q152" i="34"/>
  <c r="N152" i="34"/>
  <c r="O152" i="34" s="1"/>
  <c r="P152" i="34" s="1"/>
  <c r="L152" i="34"/>
  <c r="M152" i="34" s="1"/>
  <c r="K152" i="34"/>
  <c r="J152" i="34"/>
  <c r="I152" i="34"/>
  <c r="H152" i="34"/>
  <c r="G152" i="34"/>
  <c r="O150" i="34"/>
  <c r="P150" i="34" s="1"/>
  <c r="N150" i="34"/>
  <c r="E150" i="34"/>
  <c r="L150" i="34" s="1"/>
  <c r="M150" i="34" s="1"/>
  <c r="Q148" i="34"/>
  <c r="O148" i="34"/>
  <c r="P148" i="34" s="1"/>
  <c r="N148" i="34"/>
  <c r="L148" i="34"/>
  <c r="M148" i="34" s="1"/>
  <c r="K148" i="34"/>
  <c r="J148" i="34"/>
  <c r="I148" i="34"/>
  <c r="H148" i="34"/>
  <c r="G148" i="34"/>
  <c r="N146" i="34"/>
  <c r="O146" i="34" s="1"/>
  <c r="P146" i="34" s="1"/>
  <c r="E146" i="34"/>
  <c r="K146" i="34" s="1"/>
  <c r="Q144" i="34"/>
  <c r="N144" i="34"/>
  <c r="L144" i="34"/>
  <c r="M144" i="34" s="1"/>
  <c r="K144" i="34"/>
  <c r="J144" i="34"/>
  <c r="I144" i="34"/>
  <c r="H144" i="34"/>
  <c r="G144" i="34"/>
  <c r="O142" i="34"/>
  <c r="P142" i="34" s="1"/>
  <c r="N142" i="34"/>
  <c r="N141" i="34"/>
  <c r="O141" i="34" s="1"/>
  <c r="P141" i="34" s="1"/>
  <c r="E141" i="34"/>
  <c r="K141" i="34" s="1"/>
  <c r="N139" i="34"/>
  <c r="N138" i="34"/>
  <c r="O138" i="34" s="1"/>
  <c r="P138" i="34" s="1"/>
  <c r="E138" i="34"/>
  <c r="Q138" i="34" s="1"/>
  <c r="N136" i="34"/>
  <c r="O136" i="34" s="1"/>
  <c r="P136" i="34" s="1"/>
  <c r="E136" i="34"/>
  <c r="H136" i="34" s="1"/>
  <c r="Q135" i="34"/>
  <c r="N135" i="34"/>
  <c r="L135" i="34"/>
  <c r="M135" i="34" s="1"/>
  <c r="K135" i="34"/>
  <c r="J135" i="34"/>
  <c r="I135" i="34"/>
  <c r="H19" i="30" s="1"/>
  <c r="H135" i="34"/>
  <c r="N133" i="34"/>
  <c r="N132" i="34"/>
  <c r="O132" i="34" s="1"/>
  <c r="P132" i="34" s="1"/>
  <c r="E132" i="34"/>
  <c r="K132" i="34" s="1"/>
  <c r="N130" i="34"/>
  <c r="N129" i="34"/>
  <c r="O129" i="34" s="1"/>
  <c r="P129" i="34" s="1"/>
  <c r="E129" i="34"/>
  <c r="K129" i="34" s="1"/>
  <c r="N127" i="34"/>
  <c r="N126" i="34"/>
  <c r="E126" i="34"/>
  <c r="N124" i="34"/>
  <c r="N123" i="34"/>
  <c r="E123" i="34"/>
  <c r="D124" i="34" s="1"/>
  <c r="E121" i="34"/>
  <c r="E120" i="34"/>
  <c r="N118" i="34"/>
  <c r="D118" i="34"/>
  <c r="K118" i="34" s="1"/>
  <c r="Q117" i="34"/>
  <c r="N117" i="34"/>
  <c r="L117" i="34"/>
  <c r="M117" i="34" s="1"/>
  <c r="K117" i="34"/>
  <c r="J117" i="34"/>
  <c r="I117" i="34"/>
  <c r="H117" i="34"/>
  <c r="G117" i="34"/>
  <c r="N116" i="34"/>
  <c r="N115" i="34"/>
  <c r="O115" i="34" s="1"/>
  <c r="P115" i="34" s="1"/>
  <c r="E115" i="34"/>
  <c r="K115" i="34" s="1"/>
  <c r="N113" i="34"/>
  <c r="D113" i="34"/>
  <c r="L113" i="34" s="1"/>
  <c r="M113" i="34" s="1"/>
  <c r="Q112" i="34"/>
  <c r="N112" i="34"/>
  <c r="L112" i="34"/>
  <c r="M112" i="34" s="1"/>
  <c r="K112" i="34"/>
  <c r="J112" i="34"/>
  <c r="I112" i="34"/>
  <c r="H9" i="30" s="1"/>
  <c r="H112" i="34"/>
  <c r="N110" i="34"/>
  <c r="D110" i="34"/>
  <c r="J110" i="34" s="1"/>
  <c r="Q109" i="34"/>
  <c r="N109" i="34"/>
  <c r="L109" i="34"/>
  <c r="M109" i="34" s="1"/>
  <c r="K109" i="34"/>
  <c r="J109" i="34"/>
  <c r="I109" i="34"/>
  <c r="H109" i="34"/>
  <c r="G109" i="34"/>
  <c r="N107" i="34"/>
  <c r="N106" i="34"/>
  <c r="E106" i="34"/>
  <c r="L106" i="34" s="1"/>
  <c r="M106" i="34" s="1"/>
  <c r="F130" i="33"/>
  <c r="G130" i="33" s="1"/>
  <c r="I130" i="33" s="1"/>
  <c r="J130" i="33" s="1"/>
  <c r="F129" i="33"/>
  <c r="G129" i="33" s="1"/>
  <c r="I129" i="33" s="1"/>
  <c r="J129" i="33" s="1"/>
  <c r="F128" i="33"/>
  <c r="G128" i="33" s="1"/>
  <c r="I128" i="33" s="1"/>
  <c r="J128" i="33" s="1"/>
  <c r="F124" i="33"/>
  <c r="I124" i="33" s="1"/>
  <c r="J124" i="33" s="1"/>
  <c r="H9" i="31" s="1"/>
  <c r="F118" i="33"/>
  <c r="J118" i="33" s="1"/>
  <c r="J120" i="33" s="1"/>
  <c r="H13" i="31" s="1"/>
  <c r="F114" i="33"/>
  <c r="G114" i="33" s="1"/>
  <c r="I114" i="33" s="1"/>
  <c r="J114" i="33" s="1"/>
  <c r="F113" i="33"/>
  <c r="G113" i="33" s="1"/>
  <c r="I113" i="33" s="1"/>
  <c r="J113" i="33" s="1"/>
  <c r="F109" i="33"/>
  <c r="J109" i="33" s="1"/>
  <c r="F108" i="33"/>
  <c r="J108" i="33" s="1"/>
  <c r="F100" i="33"/>
  <c r="I100" i="33" s="1"/>
  <c r="J100" i="33" s="1"/>
  <c r="F99" i="33"/>
  <c r="I99" i="33" s="1"/>
  <c r="J99" i="33" s="1"/>
  <c r="F98" i="33"/>
  <c r="I98" i="33" s="1"/>
  <c r="J98" i="33" s="1"/>
  <c r="F97" i="33"/>
  <c r="I97" i="33" s="1"/>
  <c r="J97" i="33" s="1"/>
  <c r="F96" i="33"/>
  <c r="I96" i="33" s="1"/>
  <c r="J96" i="33" s="1"/>
  <c r="F95" i="33"/>
  <c r="I95" i="33" s="1"/>
  <c r="J95" i="33" s="1"/>
  <c r="F94" i="33"/>
  <c r="I94" i="33" s="1"/>
  <c r="J94" i="33" s="1"/>
  <c r="F87" i="33"/>
  <c r="I87" i="33" s="1"/>
  <c r="J87" i="33" s="1"/>
  <c r="F86" i="33"/>
  <c r="I86" i="33" s="1"/>
  <c r="J86" i="33" s="1"/>
  <c r="F85" i="33"/>
  <c r="I85" i="33" s="1"/>
  <c r="J85" i="33" s="1"/>
  <c r="F84" i="33"/>
  <c r="I84" i="33" s="1"/>
  <c r="J84" i="33" s="1"/>
  <c r="F64" i="33"/>
  <c r="G64" i="33" s="1"/>
  <c r="I64" i="33" s="1"/>
  <c r="J64" i="33" s="1"/>
  <c r="H27" i="30" s="1"/>
  <c r="F63" i="33"/>
  <c r="G63" i="33" s="1"/>
  <c r="I63" i="33" s="1"/>
  <c r="J63" i="33" s="1"/>
  <c r="H28" i="30" s="1"/>
  <c r="F62" i="33"/>
  <c r="G62" i="33" s="1"/>
  <c r="I62" i="33" s="1"/>
  <c r="J62" i="33" s="1"/>
  <c r="H26" i="30" s="1"/>
  <c r="F51" i="33"/>
  <c r="G51" i="33" s="1"/>
  <c r="I51" i="33" s="1"/>
  <c r="J51" i="33" s="1"/>
  <c r="F50" i="33"/>
  <c r="G50" i="33" s="1"/>
  <c r="I50" i="33" s="1"/>
  <c r="J50" i="33" s="1"/>
  <c r="F49" i="33"/>
  <c r="G49" i="33" s="1"/>
  <c r="I49" i="33" s="1"/>
  <c r="J49" i="33" s="1"/>
  <c r="F48" i="33"/>
  <c r="G48" i="33" s="1"/>
  <c r="I48" i="33" s="1"/>
  <c r="J48" i="33" s="1"/>
  <c r="F47" i="33"/>
  <c r="G47" i="33" s="1"/>
  <c r="I47" i="33" s="1"/>
  <c r="J47" i="33" s="1"/>
  <c r="F46" i="33"/>
  <c r="G46" i="33" s="1"/>
  <c r="I46" i="33" s="1"/>
  <c r="J46" i="33" s="1"/>
  <c r="F45" i="33"/>
  <c r="G45" i="33" s="1"/>
  <c r="I45" i="33" s="1"/>
  <c r="J45" i="33" s="1"/>
  <c r="F40" i="33"/>
  <c r="G40" i="33" s="1"/>
  <c r="I40" i="33" s="1"/>
  <c r="J40" i="33" s="1"/>
  <c r="F39" i="33"/>
  <c r="G39" i="33" s="1"/>
  <c r="I39" i="33" s="1"/>
  <c r="J39" i="33" s="1"/>
  <c r="F38" i="33"/>
  <c r="G38" i="33" s="1"/>
  <c r="I38" i="33" s="1"/>
  <c r="J38" i="33" s="1"/>
  <c r="F37" i="33"/>
  <c r="G37" i="33" s="1"/>
  <c r="I37" i="33" s="1"/>
  <c r="J37" i="33" s="1"/>
  <c r="F36" i="33"/>
  <c r="G36" i="33" s="1"/>
  <c r="I36" i="33" s="1"/>
  <c r="J36" i="33" s="1"/>
  <c r="F35" i="33"/>
  <c r="G35" i="33" s="1"/>
  <c r="I35" i="33" s="1"/>
  <c r="J35" i="33" s="1"/>
  <c r="F34" i="33"/>
  <c r="G34" i="33" s="1"/>
  <c r="I34" i="33" s="1"/>
  <c r="J34" i="33" s="1"/>
  <c r="B26" i="33"/>
  <c r="F26" i="33" s="1"/>
  <c r="I26" i="33" s="1"/>
  <c r="J26" i="33" s="1"/>
  <c r="A26" i="33"/>
  <c r="B25" i="33"/>
  <c r="F25" i="33" s="1"/>
  <c r="I25" i="33" s="1"/>
  <c r="J25" i="33" s="1"/>
  <c r="A25" i="33"/>
  <c r="B24" i="33"/>
  <c r="F24" i="33" s="1"/>
  <c r="I24" i="33" s="1"/>
  <c r="J24" i="33" s="1"/>
  <c r="A24" i="33"/>
  <c r="B23" i="33"/>
  <c r="F23" i="33" s="1"/>
  <c r="I23" i="33" s="1"/>
  <c r="J23" i="33" s="1"/>
  <c r="A23" i="33"/>
  <c r="F22" i="33"/>
  <c r="I22" i="33" s="1"/>
  <c r="J22" i="33" s="1"/>
  <c r="B22" i="33"/>
  <c r="A22" i="33"/>
  <c r="B21" i="33"/>
  <c r="F21" i="33" s="1"/>
  <c r="I21" i="33" s="1"/>
  <c r="J21" i="33" s="1"/>
  <c r="A21" i="33"/>
  <c r="B20" i="33"/>
  <c r="F20" i="33" s="1"/>
  <c r="I20" i="33" s="1"/>
  <c r="J20" i="33" s="1"/>
  <c r="A20" i="33"/>
  <c r="F12" i="33"/>
  <c r="I12" i="33" s="1"/>
  <c r="J12" i="33" s="1"/>
  <c r="F11" i="33"/>
  <c r="I11" i="33" s="1"/>
  <c r="J11" i="33" s="1"/>
  <c r="F10" i="33"/>
  <c r="I10" i="33" s="1"/>
  <c r="J10" i="33" s="1"/>
  <c r="F9" i="33"/>
  <c r="I9" i="33" s="1"/>
  <c r="J9" i="33" s="1"/>
  <c r="F8" i="33"/>
  <c r="I8" i="33" s="1"/>
  <c r="J8" i="33" s="1"/>
  <c r="J7" i="33"/>
  <c r="F7" i="33"/>
  <c r="I7" i="33" s="1"/>
  <c r="F6" i="33"/>
  <c r="I6" i="33" s="1"/>
  <c r="J6" i="33" s="1"/>
  <c r="H24" i="30"/>
  <c r="H4" i="30"/>
  <c r="H14" i="29"/>
  <c r="H7" i="29"/>
  <c r="D1" i="28"/>
  <c r="D1" i="32" s="1"/>
  <c r="I129" i="34" l="1"/>
  <c r="R162" i="34"/>
  <c r="S162" i="34" s="1"/>
  <c r="J115" i="33"/>
  <c r="H8" i="31" s="1"/>
  <c r="L196" i="34"/>
  <c r="M196" i="34" s="1"/>
  <c r="L188" i="34"/>
  <c r="M188" i="34" s="1"/>
  <c r="J52" i="33"/>
  <c r="H11" i="29" s="1"/>
  <c r="G115" i="34"/>
  <c r="H146" i="34"/>
  <c r="L184" i="34"/>
  <c r="M184" i="34" s="1"/>
  <c r="H5" i="30"/>
  <c r="J115" i="34"/>
  <c r="I146" i="34"/>
  <c r="J150" i="34"/>
  <c r="G146" i="34"/>
  <c r="L115" i="34"/>
  <c r="M115" i="34" s="1"/>
  <c r="L146" i="34"/>
  <c r="M146" i="34" s="1"/>
  <c r="J113" i="34"/>
  <c r="H10" i="30" s="1"/>
  <c r="J138" i="34"/>
  <c r="J159" i="34"/>
  <c r="H184" i="34"/>
  <c r="H192" i="34"/>
  <c r="J110" i="33"/>
  <c r="H6" i="31" s="1"/>
  <c r="K113" i="34"/>
  <c r="H12" i="30" s="1"/>
  <c r="D116" i="34"/>
  <c r="K116" i="34" s="1"/>
  <c r="D130" i="34"/>
  <c r="L130" i="34" s="1"/>
  <c r="M130" i="34" s="1"/>
  <c r="R130" i="34" s="1"/>
  <c r="S130" i="34" s="1"/>
  <c r="Q146" i="34"/>
  <c r="L159" i="34"/>
  <c r="M159" i="34" s="1"/>
  <c r="R159" i="34" s="1"/>
  <c r="S159" i="34" s="1"/>
  <c r="I184" i="34"/>
  <c r="J192" i="34"/>
  <c r="I196" i="34"/>
  <c r="R152" i="34"/>
  <c r="S152" i="34" s="1"/>
  <c r="J41" i="33"/>
  <c r="H10" i="29" s="1"/>
  <c r="K110" i="34"/>
  <c r="H7" i="30" s="1"/>
  <c r="G129" i="34"/>
  <c r="L129" i="34"/>
  <c r="M129" i="34" s="1"/>
  <c r="J132" i="34"/>
  <c r="D133" i="34"/>
  <c r="L133" i="34" s="1"/>
  <c r="M133" i="34" s="1"/>
  <c r="R133" i="34" s="1"/>
  <c r="S133" i="34" s="1"/>
  <c r="J136" i="34"/>
  <c r="H20" i="30" s="1"/>
  <c r="G138" i="34"/>
  <c r="L138" i="34"/>
  <c r="M138" i="34" s="1"/>
  <c r="R138" i="34" s="1"/>
  <c r="S138" i="34" s="1"/>
  <c r="H141" i="34"/>
  <c r="Q141" i="34"/>
  <c r="J146" i="34"/>
  <c r="G150" i="34"/>
  <c r="J155" i="34"/>
  <c r="K165" i="34"/>
  <c r="R172" i="34"/>
  <c r="S172" i="34" s="1"/>
  <c r="J177" i="34"/>
  <c r="I188" i="34"/>
  <c r="Q196" i="34"/>
  <c r="K200" i="34"/>
  <c r="J131" i="33"/>
  <c r="L110" i="34"/>
  <c r="M110" i="34" s="1"/>
  <c r="R110" i="34" s="1"/>
  <c r="S110" i="34" s="1"/>
  <c r="H129" i="34"/>
  <c r="Q129" i="34"/>
  <c r="L132" i="34"/>
  <c r="M132" i="34" s="1"/>
  <c r="K136" i="34"/>
  <c r="H22" i="30" s="1"/>
  <c r="Q136" i="34"/>
  <c r="H138" i="34"/>
  <c r="E139" i="34"/>
  <c r="I141" i="34"/>
  <c r="E142" i="34"/>
  <c r="R148" i="34"/>
  <c r="S148" i="34" s="1"/>
  <c r="I150" i="34"/>
  <c r="Q150" i="34"/>
  <c r="R150" i="34" s="1"/>
  <c r="S150" i="34" s="1"/>
  <c r="R153" i="34"/>
  <c r="S153" i="34" s="1"/>
  <c r="L155" i="34"/>
  <c r="M155" i="34" s="1"/>
  <c r="R161" i="34"/>
  <c r="S161" i="34" s="1"/>
  <c r="R168" i="34"/>
  <c r="S168" i="34" s="1"/>
  <c r="U169" i="34" s="1"/>
  <c r="H16" i="30" s="1"/>
  <c r="Q188" i="34"/>
  <c r="R188" i="34" s="1"/>
  <c r="S188" i="34" s="1"/>
  <c r="H9" i="29"/>
  <c r="L136" i="34"/>
  <c r="M136" i="34" s="1"/>
  <c r="J141" i="34"/>
  <c r="R164" i="34"/>
  <c r="S164" i="34" s="1"/>
  <c r="J13" i="33"/>
  <c r="J4" i="28" s="1"/>
  <c r="J129" i="34"/>
  <c r="J130" i="34"/>
  <c r="G132" i="34"/>
  <c r="K138" i="34"/>
  <c r="G141" i="34"/>
  <c r="L141" i="34"/>
  <c r="M141" i="34" s="1"/>
  <c r="D156" i="34"/>
  <c r="L156" i="34" s="1"/>
  <c r="M156" i="34" s="1"/>
  <c r="R156" i="34" s="1"/>
  <c r="S156" i="34" s="1"/>
  <c r="I4" i="28"/>
  <c r="C235" i="34"/>
  <c r="J124" i="34"/>
  <c r="L124" i="34"/>
  <c r="M124" i="34" s="1"/>
  <c r="R124" i="34" s="1"/>
  <c r="S124" i="34" s="1"/>
  <c r="K124" i="34"/>
  <c r="J88" i="33"/>
  <c r="O123" i="34"/>
  <c r="P123" i="34" s="1"/>
  <c r="O135" i="34"/>
  <c r="P135" i="34" s="1"/>
  <c r="R135" i="34" s="1"/>
  <c r="S135" i="34" s="1"/>
  <c r="K106" i="34"/>
  <c r="J106" i="34"/>
  <c r="Q106" i="34"/>
  <c r="I106" i="34"/>
  <c r="H106" i="34"/>
  <c r="C250" i="34"/>
  <c r="F250" i="34" s="1"/>
  <c r="H250" i="34" s="1"/>
  <c r="G106" i="34"/>
  <c r="J118" i="34"/>
  <c r="L118" i="34"/>
  <c r="M118" i="34" s="1"/>
  <c r="R118" i="34" s="1"/>
  <c r="S118" i="34" s="1"/>
  <c r="R158" i="34"/>
  <c r="S158" i="34" s="1"/>
  <c r="O139" i="34"/>
  <c r="P139" i="34" s="1"/>
  <c r="O106" i="34"/>
  <c r="P106" i="34" s="1"/>
  <c r="R106" i="34" s="1"/>
  <c r="S106" i="34" s="1"/>
  <c r="D1" i="29"/>
  <c r="D1" i="31"/>
  <c r="D1" i="30"/>
  <c r="D107" i="34"/>
  <c r="R113" i="34"/>
  <c r="S113" i="34" s="1"/>
  <c r="G126" i="34"/>
  <c r="D127" i="34"/>
  <c r="L126" i="34"/>
  <c r="M126" i="34" s="1"/>
  <c r="K126" i="34"/>
  <c r="J126" i="34"/>
  <c r="Q126" i="34"/>
  <c r="I126" i="34"/>
  <c r="O144" i="34"/>
  <c r="P144" i="34" s="1"/>
  <c r="R144" i="34"/>
  <c r="S144" i="34" s="1"/>
  <c r="L116" i="34"/>
  <c r="M116" i="34" s="1"/>
  <c r="R116" i="34" s="1"/>
  <c r="S116" i="34" s="1"/>
  <c r="H126" i="34"/>
  <c r="R192" i="34"/>
  <c r="S192" i="34" s="1"/>
  <c r="J27" i="33"/>
  <c r="H4" i="29" s="1"/>
  <c r="K123" i="34"/>
  <c r="J123" i="34"/>
  <c r="Q123" i="34"/>
  <c r="I123" i="34"/>
  <c r="H123" i="34"/>
  <c r="G123" i="34"/>
  <c r="O126" i="34"/>
  <c r="P126" i="34" s="1"/>
  <c r="O109" i="34"/>
  <c r="P109" i="34" s="1"/>
  <c r="R109" i="34" s="1"/>
  <c r="S109" i="34" s="1"/>
  <c r="U110" i="34" s="1"/>
  <c r="H6" i="30" s="1"/>
  <c r="O117" i="34"/>
  <c r="P117" i="34" s="1"/>
  <c r="R117" i="34" s="1"/>
  <c r="S117" i="34" s="1"/>
  <c r="L123" i="34"/>
  <c r="M123" i="34" s="1"/>
  <c r="R180" i="34"/>
  <c r="S180" i="34" s="1"/>
  <c r="J133" i="34"/>
  <c r="H139" i="34"/>
  <c r="Q139" i="34"/>
  <c r="H150" i="34"/>
  <c r="J173" i="34"/>
  <c r="J181" i="34"/>
  <c r="J188" i="34"/>
  <c r="D201" i="34"/>
  <c r="E238" i="34"/>
  <c r="G238" i="34" s="1"/>
  <c r="K133" i="34"/>
  <c r="R176" i="34"/>
  <c r="S176" i="34" s="1"/>
  <c r="R184" i="34"/>
  <c r="S184" i="34" s="1"/>
  <c r="J153" i="34"/>
  <c r="G155" i="34"/>
  <c r="J162" i="34"/>
  <c r="O112" i="34"/>
  <c r="P112" i="34" s="1"/>
  <c r="R112" i="34" s="1"/>
  <c r="S112" i="34" s="1"/>
  <c r="U113" i="34" s="1"/>
  <c r="H11" i="30" s="1"/>
  <c r="H115" i="34"/>
  <c r="K130" i="34"/>
  <c r="H132" i="34"/>
  <c r="I138" i="34"/>
  <c r="H142" i="34"/>
  <c r="Q142" i="34"/>
  <c r="K150" i="34"/>
  <c r="K153" i="34"/>
  <c r="H155" i="34"/>
  <c r="K162" i="34"/>
  <c r="J169" i="34"/>
  <c r="H15" i="30" s="1"/>
  <c r="O196" i="34"/>
  <c r="P196" i="34" s="1"/>
  <c r="G200" i="34"/>
  <c r="O200" i="34"/>
  <c r="P200" i="34" s="1"/>
  <c r="E239" i="34"/>
  <c r="G239" i="34" s="1"/>
  <c r="I115" i="34"/>
  <c r="Q115" i="34"/>
  <c r="I132" i="34"/>
  <c r="Q132" i="34"/>
  <c r="J142" i="34"/>
  <c r="I155" i="34"/>
  <c r="Q155" i="34"/>
  <c r="H196" i="34"/>
  <c r="I192" i="34"/>
  <c r="R132" i="34" l="1"/>
  <c r="S132" i="34" s="1"/>
  <c r="J116" i="34"/>
  <c r="R146" i="34"/>
  <c r="S146" i="34" s="1"/>
  <c r="R115" i="34"/>
  <c r="S115" i="34" s="1"/>
  <c r="G241" i="34"/>
  <c r="J241" i="34" s="1"/>
  <c r="R129" i="34"/>
  <c r="S129" i="34" s="1"/>
  <c r="R141" i="34"/>
  <c r="S141" i="34" s="1"/>
  <c r="R196" i="34"/>
  <c r="S196" i="34" s="1"/>
  <c r="J156" i="34"/>
  <c r="R155" i="34"/>
  <c r="S155" i="34" s="1"/>
  <c r="L4" i="28"/>
  <c r="K156" i="34"/>
  <c r="U116" i="34"/>
  <c r="R126" i="34"/>
  <c r="S126" i="34" s="1"/>
  <c r="R136" i="34"/>
  <c r="S136" i="34" s="1"/>
  <c r="U136" i="34" s="1"/>
  <c r="H21" i="30" s="1"/>
  <c r="L139" i="34"/>
  <c r="M139" i="34" s="1"/>
  <c r="R139" i="34" s="1"/>
  <c r="S139" i="34" s="1"/>
  <c r="J139" i="34"/>
  <c r="G139" i="34"/>
  <c r="K139" i="34"/>
  <c r="L142" i="34"/>
  <c r="M142" i="34" s="1"/>
  <c r="R142" i="34" s="1"/>
  <c r="S142" i="34" s="1"/>
  <c r="K142" i="34"/>
  <c r="G142" i="34"/>
  <c r="R123" i="34"/>
  <c r="S123" i="34" s="1"/>
  <c r="L127" i="34"/>
  <c r="M127" i="34" s="1"/>
  <c r="R127" i="34" s="1"/>
  <c r="S127" i="34" s="1"/>
  <c r="J127" i="34"/>
  <c r="K127" i="34"/>
  <c r="J101" i="33"/>
  <c r="J102" i="33" s="1"/>
  <c r="H6" i="32" s="1"/>
  <c r="H4" i="32"/>
  <c r="H5" i="32"/>
  <c r="H7" i="31"/>
  <c r="J107" i="34"/>
  <c r="L107" i="34"/>
  <c r="M107" i="34" s="1"/>
  <c r="R107" i="34" s="1"/>
  <c r="S107" i="34" s="1"/>
  <c r="U107" i="34" s="1"/>
  <c r="K107" i="34"/>
  <c r="J200" i="34"/>
  <c r="Q200" i="34"/>
  <c r="I200" i="34"/>
  <c r="H200" i="34"/>
  <c r="K201" i="34"/>
  <c r="J201" i="34"/>
  <c r="L200" i="34"/>
  <c r="M200" i="34" s="1"/>
  <c r="R200" i="34" l="1"/>
  <c r="S200" i="34" s="1"/>
  <c r="M14" i="26"/>
  <c r="L14" i="26"/>
  <c r="K14" i="26"/>
  <c r="J14" i="26"/>
  <c r="I14" i="26"/>
  <c r="M13" i="26"/>
  <c r="L13" i="26"/>
  <c r="K13" i="26"/>
  <c r="J13" i="26"/>
  <c r="I13" i="26"/>
  <c r="C12" i="26"/>
  <c r="I6" i="26"/>
  <c r="D250" i="25"/>
  <c r="H241" i="25"/>
  <c r="D239" i="25"/>
  <c r="D238" i="25"/>
  <c r="C232" i="25"/>
  <c r="C236" i="25" s="1"/>
  <c r="N200" i="25"/>
  <c r="O200" i="25" s="1"/>
  <c r="P200" i="25" s="1"/>
  <c r="E200" i="25"/>
  <c r="D201" i="25" s="1"/>
  <c r="D198" i="25"/>
  <c r="D197" i="25"/>
  <c r="Q196" i="25" s="1"/>
  <c r="N196" i="25"/>
  <c r="O196" i="25" s="1"/>
  <c r="P196" i="25" s="1"/>
  <c r="K196" i="25"/>
  <c r="G196" i="25"/>
  <c r="D194" i="25"/>
  <c r="D193" i="25"/>
  <c r="H192" i="25" s="1"/>
  <c r="N192" i="25"/>
  <c r="K192" i="25"/>
  <c r="G192" i="25"/>
  <c r="D190" i="25"/>
  <c r="D189" i="25"/>
  <c r="Q188" i="25" s="1"/>
  <c r="N188" i="25"/>
  <c r="O188" i="25" s="1"/>
  <c r="P188" i="25" s="1"/>
  <c r="L188" i="25"/>
  <c r="M188" i="25" s="1"/>
  <c r="K188" i="25"/>
  <c r="G188" i="25"/>
  <c r="D186" i="25"/>
  <c r="D185" i="25"/>
  <c r="H184" i="25" s="1"/>
  <c r="N184" i="25"/>
  <c r="O184" i="25" s="1"/>
  <c r="P184" i="25" s="1"/>
  <c r="K184" i="25"/>
  <c r="G184" i="25"/>
  <c r="D182" i="25"/>
  <c r="M181" i="25"/>
  <c r="R181" i="25" s="1"/>
  <c r="S181" i="25" s="1"/>
  <c r="D181" i="25"/>
  <c r="K181" i="25" s="1"/>
  <c r="Q180" i="25"/>
  <c r="N180" i="25"/>
  <c r="O180" i="25" s="1"/>
  <c r="P180" i="25" s="1"/>
  <c r="L180" i="25"/>
  <c r="M180" i="25" s="1"/>
  <c r="K180" i="25"/>
  <c r="J180" i="25"/>
  <c r="I180" i="25"/>
  <c r="H180" i="25"/>
  <c r="G180" i="25"/>
  <c r="D178" i="25"/>
  <c r="M177" i="25"/>
  <c r="R177" i="25" s="1"/>
  <c r="S177" i="25" s="1"/>
  <c r="D177" i="25"/>
  <c r="K177" i="25" s="1"/>
  <c r="Q176" i="25"/>
  <c r="N176" i="25"/>
  <c r="O176" i="25" s="1"/>
  <c r="P176" i="25" s="1"/>
  <c r="L176" i="25"/>
  <c r="M176" i="25" s="1"/>
  <c r="K176" i="25"/>
  <c r="J176" i="25"/>
  <c r="I176" i="25"/>
  <c r="H176" i="25"/>
  <c r="G176" i="25"/>
  <c r="D174" i="25"/>
  <c r="M173" i="25"/>
  <c r="R173" i="25" s="1"/>
  <c r="S173" i="25" s="1"/>
  <c r="D173" i="25"/>
  <c r="K173" i="25" s="1"/>
  <c r="Q172" i="25"/>
  <c r="N172" i="25"/>
  <c r="L172" i="25"/>
  <c r="M172" i="25" s="1"/>
  <c r="K172" i="25"/>
  <c r="J172" i="25"/>
  <c r="I172" i="25"/>
  <c r="H172" i="25"/>
  <c r="G172" i="25"/>
  <c r="D170" i="25"/>
  <c r="M169" i="25"/>
  <c r="R169" i="25" s="1"/>
  <c r="S169" i="25" s="1"/>
  <c r="D169" i="25"/>
  <c r="K169" i="25" s="1"/>
  <c r="Q168" i="25"/>
  <c r="N168" i="25"/>
  <c r="O168" i="25" s="1"/>
  <c r="P168" i="25" s="1"/>
  <c r="L168" i="25"/>
  <c r="M168" i="25" s="1"/>
  <c r="K168" i="25"/>
  <c r="J168" i="25"/>
  <c r="I168" i="25"/>
  <c r="H168" i="25"/>
  <c r="G168" i="25"/>
  <c r="D166" i="25"/>
  <c r="M165" i="25"/>
  <c r="R165" i="25" s="1"/>
  <c r="S165" i="25" s="1"/>
  <c r="D165" i="25"/>
  <c r="K165" i="25" s="1"/>
  <c r="Q164" i="25"/>
  <c r="N164" i="25"/>
  <c r="L164" i="25"/>
  <c r="M164" i="25" s="1"/>
  <c r="K164" i="25"/>
  <c r="J164" i="25"/>
  <c r="I164" i="25"/>
  <c r="H164" i="25"/>
  <c r="G164" i="25"/>
  <c r="N162" i="25"/>
  <c r="D162" i="25"/>
  <c r="L162" i="25" s="1"/>
  <c r="M162" i="25" s="1"/>
  <c r="Q161" i="25"/>
  <c r="O161" i="25"/>
  <c r="P161" i="25" s="1"/>
  <c r="N161" i="25"/>
  <c r="L161" i="25"/>
  <c r="M161" i="25" s="1"/>
  <c r="K161" i="25"/>
  <c r="J161" i="25"/>
  <c r="I161" i="25"/>
  <c r="H161" i="25"/>
  <c r="G161" i="25"/>
  <c r="N159" i="25"/>
  <c r="D159" i="25"/>
  <c r="J159" i="25" s="1"/>
  <c r="Q158" i="25"/>
  <c r="O158" i="25"/>
  <c r="P158" i="25" s="1"/>
  <c r="N158" i="25"/>
  <c r="L158" i="25"/>
  <c r="M158" i="25" s="1"/>
  <c r="K158" i="25"/>
  <c r="J158" i="25"/>
  <c r="I158" i="25"/>
  <c r="H158" i="25"/>
  <c r="G158" i="25"/>
  <c r="N156" i="25"/>
  <c r="N155" i="25"/>
  <c r="E155" i="25"/>
  <c r="J155" i="25" s="1"/>
  <c r="N153" i="25"/>
  <c r="D153" i="25"/>
  <c r="L153" i="25" s="1"/>
  <c r="M153" i="25" s="1"/>
  <c r="Q152" i="25"/>
  <c r="N152" i="25"/>
  <c r="L152" i="25"/>
  <c r="M152" i="25" s="1"/>
  <c r="K152" i="25"/>
  <c r="J152" i="25"/>
  <c r="I152" i="25"/>
  <c r="H152" i="25"/>
  <c r="G152" i="25"/>
  <c r="O150" i="25"/>
  <c r="P150" i="25" s="1"/>
  <c r="N150" i="25"/>
  <c r="E150" i="25"/>
  <c r="L150" i="25" s="1"/>
  <c r="M150" i="25" s="1"/>
  <c r="Q148" i="25"/>
  <c r="O148" i="25"/>
  <c r="P148" i="25" s="1"/>
  <c r="N148" i="25"/>
  <c r="L148" i="25"/>
  <c r="M148" i="25" s="1"/>
  <c r="K148" i="25"/>
  <c r="J148" i="25"/>
  <c r="I148" i="25"/>
  <c r="H148" i="25"/>
  <c r="G148" i="25"/>
  <c r="N146" i="25"/>
  <c r="E146" i="25"/>
  <c r="J146" i="25" s="1"/>
  <c r="Q144" i="25"/>
  <c r="N144" i="25"/>
  <c r="O144" i="25" s="1"/>
  <c r="P144" i="25" s="1"/>
  <c r="L144" i="25"/>
  <c r="M144" i="25" s="1"/>
  <c r="K144" i="25"/>
  <c r="J144" i="25"/>
  <c r="I144" i="25"/>
  <c r="H144" i="25"/>
  <c r="G144" i="25"/>
  <c r="N142" i="25"/>
  <c r="O142" i="25" s="1"/>
  <c r="P142" i="25" s="1"/>
  <c r="N141" i="25"/>
  <c r="E141" i="25"/>
  <c r="J141" i="25" s="1"/>
  <c r="N139" i="25"/>
  <c r="O139" i="25" s="1"/>
  <c r="P139" i="25" s="1"/>
  <c r="N138" i="25"/>
  <c r="O138" i="25" s="1"/>
  <c r="P138" i="25" s="1"/>
  <c r="E138" i="25"/>
  <c r="K138" i="25" s="1"/>
  <c r="N136" i="25"/>
  <c r="E136" i="25"/>
  <c r="J136" i="25" s="1"/>
  <c r="Q135" i="25"/>
  <c r="N135" i="25"/>
  <c r="O135" i="25" s="1"/>
  <c r="P135" i="25" s="1"/>
  <c r="L135" i="25"/>
  <c r="M135" i="25" s="1"/>
  <c r="K135" i="25"/>
  <c r="J135" i="25"/>
  <c r="I135" i="25"/>
  <c r="H19" i="21" s="1"/>
  <c r="H135" i="25"/>
  <c r="G135" i="25"/>
  <c r="N133" i="25"/>
  <c r="N132" i="25"/>
  <c r="O132" i="25" s="1"/>
  <c r="P132" i="25" s="1"/>
  <c r="E132" i="25"/>
  <c r="D133" i="25" s="1"/>
  <c r="N130" i="25"/>
  <c r="N129" i="25"/>
  <c r="E129" i="25"/>
  <c r="J129" i="25" s="1"/>
  <c r="N127" i="25"/>
  <c r="N126" i="25"/>
  <c r="E126" i="25"/>
  <c r="N124" i="25"/>
  <c r="N123" i="25"/>
  <c r="O123" i="25" s="1"/>
  <c r="P123" i="25" s="1"/>
  <c r="E123" i="25"/>
  <c r="K123" i="25" s="1"/>
  <c r="E121" i="25"/>
  <c r="E120" i="25"/>
  <c r="N118" i="25"/>
  <c r="D118" i="25"/>
  <c r="Q117" i="25"/>
  <c r="N117" i="25"/>
  <c r="L117" i="25"/>
  <c r="M117" i="25" s="1"/>
  <c r="K117" i="25"/>
  <c r="J117" i="25"/>
  <c r="I117" i="25"/>
  <c r="H117" i="25"/>
  <c r="G117" i="25"/>
  <c r="N116" i="25"/>
  <c r="N115" i="25"/>
  <c r="O115" i="25" s="1"/>
  <c r="P115" i="25" s="1"/>
  <c r="E115" i="25"/>
  <c r="J115" i="25" s="1"/>
  <c r="N113" i="25"/>
  <c r="D113" i="25"/>
  <c r="L113" i="25" s="1"/>
  <c r="M113" i="25" s="1"/>
  <c r="Q112" i="25"/>
  <c r="N112" i="25"/>
  <c r="L112" i="25"/>
  <c r="M112" i="25" s="1"/>
  <c r="K112" i="25"/>
  <c r="J112" i="25"/>
  <c r="I112" i="25"/>
  <c r="H9" i="21" s="1"/>
  <c r="H112" i="25"/>
  <c r="G112" i="25"/>
  <c r="N110" i="25"/>
  <c r="D110" i="25"/>
  <c r="K110" i="25" s="1"/>
  <c r="Q109" i="25"/>
  <c r="N109" i="25"/>
  <c r="O109" i="25" s="1"/>
  <c r="P109" i="25" s="1"/>
  <c r="L109" i="25"/>
  <c r="M109" i="25" s="1"/>
  <c r="K109" i="25"/>
  <c r="J109" i="25"/>
  <c r="I109" i="25"/>
  <c r="H109" i="25"/>
  <c r="G109" i="25"/>
  <c r="N107" i="25"/>
  <c r="N106" i="25"/>
  <c r="O106" i="25" s="1"/>
  <c r="P106" i="25" s="1"/>
  <c r="E106" i="25"/>
  <c r="G106" i="25" s="1"/>
  <c r="J126" i="24"/>
  <c r="H9" i="22" s="1"/>
  <c r="F126" i="24"/>
  <c r="I126" i="24" s="1"/>
  <c r="F120" i="24"/>
  <c r="J120" i="24" s="1"/>
  <c r="J122" i="24" s="1"/>
  <c r="H13" i="22" s="1"/>
  <c r="F116" i="24"/>
  <c r="G116" i="24" s="1"/>
  <c r="I116" i="24" s="1"/>
  <c r="J116" i="24" s="1"/>
  <c r="F115" i="24"/>
  <c r="G115" i="24" s="1"/>
  <c r="I115" i="24" s="1"/>
  <c r="J115" i="24" s="1"/>
  <c r="F111" i="24"/>
  <c r="J111" i="24" s="1"/>
  <c r="F110" i="24"/>
  <c r="J110" i="24" s="1"/>
  <c r="F92" i="24"/>
  <c r="I92" i="24" s="1"/>
  <c r="J92" i="24" s="1"/>
  <c r="F91" i="24"/>
  <c r="I91" i="24" s="1"/>
  <c r="J91" i="24" s="1"/>
  <c r="F90" i="24"/>
  <c r="I90" i="24" s="1"/>
  <c r="J90" i="24" s="1"/>
  <c r="F70" i="24"/>
  <c r="G70" i="24" s="1"/>
  <c r="I70" i="24" s="1"/>
  <c r="J70" i="24" s="1"/>
  <c r="H31" i="21" s="1"/>
  <c r="F69" i="24"/>
  <c r="G69" i="24" s="1"/>
  <c r="I69" i="24" s="1"/>
  <c r="J69" i="24" s="1"/>
  <c r="H32" i="21" s="1"/>
  <c r="F68" i="24"/>
  <c r="G68" i="24" s="1"/>
  <c r="I68" i="24" s="1"/>
  <c r="J68" i="24" s="1"/>
  <c r="H30" i="21" s="1"/>
  <c r="F64" i="24"/>
  <c r="G64" i="24" s="1"/>
  <c r="I64" i="24" s="1"/>
  <c r="J64" i="24" s="1"/>
  <c r="H27" i="21" s="1"/>
  <c r="F63" i="24"/>
  <c r="G63" i="24" s="1"/>
  <c r="I63" i="24" s="1"/>
  <c r="J63" i="24" s="1"/>
  <c r="H28" i="21" s="1"/>
  <c r="F62" i="24"/>
  <c r="G62" i="24" s="1"/>
  <c r="I62" i="24" s="1"/>
  <c r="J62" i="24" s="1"/>
  <c r="H26" i="21" s="1"/>
  <c r="B37" i="24"/>
  <c r="F37" i="24" s="1"/>
  <c r="G37" i="24" s="1"/>
  <c r="I37" i="24" s="1"/>
  <c r="J37" i="24" s="1"/>
  <c r="A37" i="24"/>
  <c r="A48" i="24" s="1"/>
  <c r="A103" i="24" s="1"/>
  <c r="B36" i="24"/>
  <c r="B47" i="24" s="1"/>
  <c r="A36" i="24"/>
  <c r="A47" i="24" s="1"/>
  <c r="A102" i="24" s="1"/>
  <c r="B35" i="24"/>
  <c r="B46" i="24" s="1"/>
  <c r="A35" i="24"/>
  <c r="A46" i="24" s="1"/>
  <c r="A101" i="24" s="1"/>
  <c r="B34" i="24"/>
  <c r="B45" i="24" s="1"/>
  <c r="A34" i="24"/>
  <c r="A45" i="24" s="1"/>
  <c r="A100" i="24" s="1"/>
  <c r="B23" i="24"/>
  <c r="F23" i="24" s="1"/>
  <c r="I23" i="24" s="1"/>
  <c r="J23" i="24" s="1"/>
  <c r="A23" i="24"/>
  <c r="B22" i="24"/>
  <c r="F22" i="24" s="1"/>
  <c r="I22" i="24" s="1"/>
  <c r="J22" i="24" s="1"/>
  <c r="A22" i="24"/>
  <c r="B21" i="24"/>
  <c r="F21" i="24" s="1"/>
  <c r="I21" i="24" s="1"/>
  <c r="J21" i="24" s="1"/>
  <c r="A21" i="24"/>
  <c r="B20" i="24"/>
  <c r="F20" i="24" s="1"/>
  <c r="I20" i="24" s="1"/>
  <c r="J20" i="24" s="1"/>
  <c r="A20" i="24"/>
  <c r="F9" i="24"/>
  <c r="I9" i="24" s="1"/>
  <c r="J9" i="24" s="1"/>
  <c r="F8" i="24"/>
  <c r="I8" i="24" s="1"/>
  <c r="J8" i="24" s="1"/>
  <c r="F7" i="24"/>
  <c r="I7" i="24" s="1"/>
  <c r="J7" i="24" s="1"/>
  <c r="F6" i="24"/>
  <c r="I6" i="24" s="1"/>
  <c r="J6" i="24" s="1"/>
  <c r="H11" i="22"/>
  <c r="H24" i="21"/>
  <c r="H14" i="21"/>
  <c r="H4" i="21"/>
  <c r="H7" i="20"/>
  <c r="D1" i="22"/>
  <c r="B9" i="18"/>
  <c r="B8" i="18"/>
  <c r="B7" i="18"/>
  <c r="B6" i="18"/>
  <c r="B5" i="18"/>
  <c r="L192" i="25" l="1"/>
  <c r="M192" i="25" s="1"/>
  <c r="H106" i="25"/>
  <c r="J162" i="25"/>
  <c r="J132" i="25"/>
  <c r="Q192" i="25"/>
  <c r="L110" i="25"/>
  <c r="M110" i="25" s="1"/>
  <c r="R110" i="25" s="1"/>
  <c r="S110" i="25" s="1"/>
  <c r="J169" i="25"/>
  <c r="H15" i="21" s="1"/>
  <c r="L184" i="25"/>
  <c r="M184" i="25" s="1"/>
  <c r="F35" i="24"/>
  <c r="G35" i="24" s="1"/>
  <c r="I35" i="24" s="1"/>
  <c r="J35" i="24" s="1"/>
  <c r="K200" i="25"/>
  <c r="J113" i="25"/>
  <c r="H10" i="21" s="1"/>
  <c r="F34" i="24"/>
  <c r="G34" i="24" s="1"/>
  <c r="I34" i="24" s="1"/>
  <c r="J34" i="24" s="1"/>
  <c r="K129" i="25"/>
  <c r="H136" i="25"/>
  <c r="H9" i="20" s="1"/>
  <c r="R153" i="25"/>
  <c r="S153" i="25" s="1"/>
  <c r="H188" i="25"/>
  <c r="I192" i="25"/>
  <c r="J188" i="25"/>
  <c r="J192" i="25"/>
  <c r="R162" i="25"/>
  <c r="S162" i="25" s="1"/>
  <c r="H123" i="25"/>
  <c r="H20" i="21"/>
  <c r="L136" i="25"/>
  <c r="M136" i="25" s="1"/>
  <c r="I138" i="25"/>
  <c r="K150" i="25"/>
  <c r="K153" i="25"/>
  <c r="I155" i="25"/>
  <c r="D156" i="25"/>
  <c r="L156" i="25" s="1"/>
  <c r="M156" i="25" s="1"/>
  <c r="R156" i="25" s="1"/>
  <c r="S156" i="25" s="1"/>
  <c r="K159" i="25"/>
  <c r="R176" i="25"/>
  <c r="S176" i="25" s="1"/>
  <c r="H196" i="25"/>
  <c r="B48" i="24"/>
  <c r="J112" i="24"/>
  <c r="H6" i="22" s="1"/>
  <c r="Q106" i="25"/>
  <c r="I123" i="25"/>
  <c r="H129" i="25"/>
  <c r="D130" i="25"/>
  <c r="L130" i="25" s="1"/>
  <c r="M130" i="25" s="1"/>
  <c r="R130" i="25" s="1"/>
  <c r="S130" i="25" s="1"/>
  <c r="G136" i="25"/>
  <c r="I4" i="19" s="1"/>
  <c r="L138" i="25"/>
  <c r="M138" i="25" s="1"/>
  <c r="R138" i="25" s="1"/>
  <c r="S138" i="25" s="1"/>
  <c r="Q138" i="25"/>
  <c r="R144" i="25"/>
  <c r="S144" i="25" s="1"/>
  <c r="K155" i="25"/>
  <c r="L159" i="25"/>
  <c r="M159" i="25" s="1"/>
  <c r="R159" i="25" s="1"/>
  <c r="S159" i="25" s="1"/>
  <c r="H17" i="21"/>
  <c r="I188" i="25"/>
  <c r="J196" i="25"/>
  <c r="G200" i="25"/>
  <c r="D202" i="25"/>
  <c r="E239" i="25"/>
  <c r="G239" i="25" s="1"/>
  <c r="J123" i="25"/>
  <c r="E139" i="25"/>
  <c r="H139" i="25" s="1"/>
  <c r="L155" i="25"/>
  <c r="M155" i="25" s="1"/>
  <c r="I106" i="25"/>
  <c r="O117" i="25"/>
  <c r="P117" i="25" s="1"/>
  <c r="R117" i="25" s="1"/>
  <c r="S117" i="25" s="1"/>
  <c r="G123" i="25"/>
  <c r="L123" i="25"/>
  <c r="M123" i="25" s="1"/>
  <c r="D124" i="25"/>
  <c r="L124" i="25" s="1"/>
  <c r="M124" i="25" s="1"/>
  <c r="R124" i="25" s="1"/>
  <c r="S124" i="25" s="1"/>
  <c r="L129" i="25"/>
  <c r="M129" i="25" s="1"/>
  <c r="K136" i="25"/>
  <c r="H22" i="21" s="1"/>
  <c r="G138" i="25"/>
  <c r="G150" i="25"/>
  <c r="H155" i="25"/>
  <c r="K162" i="25"/>
  <c r="J165" i="25"/>
  <c r="R180" i="25"/>
  <c r="S180" i="25" s="1"/>
  <c r="L196" i="25"/>
  <c r="M196" i="25" s="1"/>
  <c r="R196" i="25" s="1"/>
  <c r="S196" i="25" s="1"/>
  <c r="R158" i="25"/>
  <c r="S158" i="25" s="1"/>
  <c r="J200" i="25"/>
  <c r="Q200" i="25"/>
  <c r="I200" i="25"/>
  <c r="H200" i="25"/>
  <c r="K201" i="25"/>
  <c r="J201" i="25"/>
  <c r="L200" i="25"/>
  <c r="M200" i="25" s="1"/>
  <c r="J27" i="24"/>
  <c r="H4" i="20" s="1"/>
  <c r="J117" i="24"/>
  <c r="H8" i="22" s="1"/>
  <c r="R113" i="25"/>
  <c r="S113" i="25" s="1"/>
  <c r="J124" i="25"/>
  <c r="J13" i="24"/>
  <c r="J4" i="19" s="1"/>
  <c r="D116" i="25"/>
  <c r="L115" i="25"/>
  <c r="M115" i="25" s="1"/>
  <c r="K115" i="25"/>
  <c r="Q115" i="25"/>
  <c r="I115" i="25"/>
  <c r="H115" i="25"/>
  <c r="G115" i="25"/>
  <c r="B101" i="24"/>
  <c r="F101" i="24" s="1"/>
  <c r="I101" i="24" s="1"/>
  <c r="J101" i="24" s="1"/>
  <c r="F46" i="24"/>
  <c r="G46" i="24" s="1"/>
  <c r="I46" i="24" s="1"/>
  <c r="J46" i="24" s="1"/>
  <c r="J94" i="24"/>
  <c r="L118" i="25"/>
  <c r="M118" i="25" s="1"/>
  <c r="R118" i="25" s="1"/>
  <c r="S118" i="25" s="1"/>
  <c r="K118" i="25"/>
  <c r="J118" i="25"/>
  <c r="Q126" i="25"/>
  <c r="I126" i="25"/>
  <c r="H126" i="25"/>
  <c r="G126" i="25"/>
  <c r="D127" i="25"/>
  <c r="L126" i="25"/>
  <c r="M126" i="25" s="1"/>
  <c r="K126" i="25"/>
  <c r="J126" i="25"/>
  <c r="K133" i="25"/>
  <c r="J133" i="25"/>
  <c r="L133" i="25"/>
  <c r="M133" i="25" s="1"/>
  <c r="R133" i="25" s="1"/>
  <c r="S133" i="25" s="1"/>
  <c r="B102" i="24"/>
  <c r="F102" i="24" s="1"/>
  <c r="I102" i="24" s="1"/>
  <c r="J102" i="24" s="1"/>
  <c r="F47" i="24"/>
  <c r="G47" i="24" s="1"/>
  <c r="I47" i="24" s="1"/>
  <c r="J47" i="24" s="1"/>
  <c r="H7" i="21"/>
  <c r="O126" i="25"/>
  <c r="P126" i="25" s="1"/>
  <c r="B100" i="24"/>
  <c r="F100" i="24" s="1"/>
  <c r="I100" i="24" s="1"/>
  <c r="J100" i="24" s="1"/>
  <c r="F45" i="24"/>
  <c r="G45" i="24" s="1"/>
  <c r="I45" i="24" s="1"/>
  <c r="J45" i="24" s="1"/>
  <c r="R109" i="25"/>
  <c r="S109" i="25" s="1"/>
  <c r="R148" i="25"/>
  <c r="S148" i="25" s="1"/>
  <c r="R161" i="25"/>
  <c r="S161" i="25" s="1"/>
  <c r="D1" i="20"/>
  <c r="J106" i="25"/>
  <c r="K113" i="25"/>
  <c r="H12" i="21" s="1"/>
  <c r="Q123" i="25"/>
  <c r="R123" i="25" s="1"/>
  <c r="S123" i="25" s="1"/>
  <c r="G132" i="25"/>
  <c r="R135" i="25"/>
  <c r="S135" i="25" s="1"/>
  <c r="K141" i="25"/>
  <c r="K146" i="25"/>
  <c r="H150" i="25"/>
  <c r="R168" i="25"/>
  <c r="S168" i="25" s="1"/>
  <c r="U169" i="25" s="1"/>
  <c r="H16" i="21" s="1"/>
  <c r="J173" i="25"/>
  <c r="J181" i="25"/>
  <c r="I184" i="25"/>
  <c r="Q184" i="25"/>
  <c r="R188" i="25"/>
  <c r="S188" i="25" s="1"/>
  <c r="E238" i="25"/>
  <c r="G238" i="25" s="1"/>
  <c r="C250" i="25"/>
  <c r="F250" i="25" s="1"/>
  <c r="H250" i="25" s="1"/>
  <c r="K106" i="25"/>
  <c r="J110" i="25"/>
  <c r="H5" i="21" s="1"/>
  <c r="O112" i="25"/>
  <c r="P112" i="25" s="1"/>
  <c r="R112" i="25" s="1"/>
  <c r="S112" i="25" s="1"/>
  <c r="H132" i="25"/>
  <c r="L141" i="25"/>
  <c r="M141" i="25" s="1"/>
  <c r="E142" i="25"/>
  <c r="L146" i="25"/>
  <c r="M146" i="25" s="1"/>
  <c r="I150" i="25"/>
  <c r="Q150" i="25"/>
  <c r="R150" i="25" s="1"/>
  <c r="S150" i="25" s="1"/>
  <c r="O164" i="25"/>
  <c r="P164" i="25" s="1"/>
  <c r="R164" i="25" s="1"/>
  <c r="S164" i="25" s="1"/>
  <c r="J184" i="25"/>
  <c r="D1" i="23"/>
  <c r="L106" i="25"/>
  <c r="M106" i="25" s="1"/>
  <c r="R106" i="25" s="1"/>
  <c r="S106" i="25" s="1"/>
  <c r="D107" i="25"/>
  <c r="G129" i="25"/>
  <c r="O129" i="25"/>
  <c r="P129" i="25" s="1"/>
  <c r="I132" i="25"/>
  <c r="Q132" i="25"/>
  <c r="O136" i="25"/>
  <c r="P136" i="25" s="1"/>
  <c r="H138" i="25"/>
  <c r="J150" i="25"/>
  <c r="J153" i="25"/>
  <c r="G155" i="25"/>
  <c r="O155" i="25"/>
  <c r="P155" i="25" s="1"/>
  <c r="O172" i="25"/>
  <c r="P172" i="25" s="1"/>
  <c r="R172" i="25" s="1"/>
  <c r="S172" i="25" s="1"/>
  <c r="D1" i="21"/>
  <c r="I129" i="25"/>
  <c r="Q129" i="25"/>
  <c r="K132" i="25"/>
  <c r="Q136" i="25"/>
  <c r="J138" i="25"/>
  <c r="G141" i="25"/>
  <c r="O141" i="25"/>
  <c r="P141" i="25" s="1"/>
  <c r="G146" i="25"/>
  <c r="O146" i="25"/>
  <c r="P146" i="25" s="1"/>
  <c r="O152" i="25"/>
  <c r="P152" i="25" s="1"/>
  <c r="R152" i="25" s="1"/>
  <c r="S152" i="25" s="1"/>
  <c r="Q155" i="25"/>
  <c r="J177" i="25"/>
  <c r="O192" i="25"/>
  <c r="P192" i="25" s="1"/>
  <c r="R192" i="25" s="1"/>
  <c r="S192" i="25" s="1"/>
  <c r="F36" i="24"/>
  <c r="G36" i="24" s="1"/>
  <c r="I36" i="24" s="1"/>
  <c r="J36" i="24" s="1"/>
  <c r="J41" i="24" s="1"/>
  <c r="H10" i="20" s="1"/>
  <c r="L132" i="25"/>
  <c r="M132" i="25" s="1"/>
  <c r="H141" i="25"/>
  <c r="H146" i="25"/>
  <c r="I196" i="25"/>
  <c r="C235" i="25"/>
  <c r="I141" i="25"/>
  <c r="Q141" i="25"/>
  <c r="I146" i="25"/>
  <c r="Q146" i="25"/>
  <c r="J139" i="25" l="1"/>
  <c r="R184" i="25"/>
  <c r="S184" i="25" s="1"/>
  <c r="Q139" i="25"/>
  <c r="R200" i="25"/>
  <c r="S200" i="25" s="1"/>
  <c r="U113" i="25"/>
  <c r="H11" i="21" s="1"/>
  <c r="R132" i="25"/>
  <c r="S132" i="25" s="1"/>
  <c r="U110" i="25"/>
  <c r="H6" i="21" s="1"/>
  <c r="J156" i="25"/>
  <c r="K124" i="25"/>
  <c r="R126" i="25"/>
  <c r="S126" i="25" s="1"/>
  <c r="K156" i="25"/>
  <c r="J130" i="25"/>
  <c r="K130" i="25"/>
  <c r="R136" i="25"/>
  <c r="S136" i="25" s="1"/>
  <c r="U136" i="25" s="1"/>
  <c r="H21" i="21" s="1"/>
  <c r="R155" i="25"/>
  <c r="S155" i="25" s="1"/>
  <c r="L4" i="19"/>
  <c r="R146" i="25"/>
  <c r="S146" i="25" s="1"/>
  <c r="K139" i="25"/>
  <c r="G139" i="25"/>
  <c r="L139" i="25"/>
  <c r="M139" i="25" s="1"/>
  <c r="R139" i="25" s="1"/>
  <c r="S139" i="25" s="1"/>
  <c r="F48" i="24"/>
  <c r="G48" i="24" s="1"/>
  <c r="I48" i="24" s="1"/>
  <c r="J48" i="24" s="1"/>
  <c r="J52" i="24" s="1"/>
  <c r="H11" i="20" s="1"/>
  <c r="H14" i="20" s="1"/>
  <c r="B103" i="24"/>
  <c r="F103" i="24" s="1"/>
  <c r="I103" i="24" s="1"/>
  <c r="J103" i="24" s="1"/>
  <c r="J104" i="24" s="1"/>
  <c r="H6" i="23" s="1"/>
  <c r="R129" i="25"/>
  <c r="S129" i="25" s="1"/>
  <c r="R141" i="25"/>
  <c r="S141" i="25" s="1"/>
  <c r="G241" i="25"/>
  <c r="J241" i="25" s="1"/>
  <c r="J116" i="25"/>
  <c r="L116" i="25"/>
  <c r="M116" i="25" s="1"/>
  <c r="R116" i="25" s="1"/>
  <c r="S116" i="25" s="1"/>
  <c r="K116" i="25"/>
  <c r="L107" i="25"/>
  <c r="M107" i="25" s="1"/>
  <c r="R107" i="25" s="1"/>
  <c r="S107" i="25" s="1"/>
  <c r="U107" i="25" s="1"/>
  <c r="K107" i="25"/>
  <c r="J107" i="25"/>
  <c r="L127" i="25"/>
  <c r="M127" i="25" s="1"/>
  <c r="R127" i="25" s="1"/>
  <c r="S127" i="25" s="1"/>
  <c r="J127" i="25"/>
  <c r="K127" i="25"/>
  <c r="H4" i="23"/>
  <c r="H7" i="22"/>
  <c r="H5" i="23"/>
  <c r="L142" i="25"/>
  <c r="M142" i="25" s="1"/>
  <c r="K142" i="25"/>
  <c r="J142" i="25"/>
  <c r="H142" i="25"/>
  <c r="Q142" i="25"/>
  <c r="G142" i="25"/>
  <c r="R115" i="25"/>
  <c r="S115" i="25" s="1"/>
  <c r="U116" i="25" l="1"/>
  <c r="R142" i="25"/>
  <c r="S142" i="25" s="1"/>
  <c r="D1" i="11"/>
  <c r="H22" i="17"/>
  <c r="F22" i="17"/>
  <c r="J21" i="17"/>
  <c r="I21" i="17"/>
  <c r="H21" i="17"/>
  <c r="F21" i="17"/>
  <c r="H20" i="17"/>
  <c r="F20" i="17"/>
  <c r="Q14" i="17"/>
  <c r="K14" i="17"/>
  <c r="J14" i="17"/>
  <c r="I14" i="17"/>
  <c r="K13" i="17"/>
  <c r="J13" i="17"/>
  <c r="I13" i="17"/>
  <c r="C7" i="17"/>
  <c r="I6" i="17"/>
  <c r="Q5" i="17"/>
  <c r="D250" i="16"/>
  <c r="H241" i="16"/>
  <c r="D239" i="16"/>
  <c r="D238" i="16"/>
  <c r="C232" i="16"/>
  <c r="C235" i="16" s="1"/>
  <c r="N200" i="16"/>
  <c r="O200" i="16" s="1"/>
  <c r="P200" i="16" s="1"/>
  <c r="E200" i="16"/>
  <c r="D202" i="16" s="1"/>
  <c r="D198" i="16"/>
  <c r="D197" i="16"/>
  <c r="Q196" i="16" s="1"/>
  <c r="N196" i="16"/>
  <c r="O196" i="16" s="1"/>
  <c r="P196" i="16" s="1"/>
  <c r="K196" i="16"/>
  <c r="G196" i="16"/>
  <c r="D194" i="16"/>
  <c r="D193" i="16"/>
  <c r="H192" i="16" s="1"/>
  <c r="N192" i="16"/>
  <c r="O192" i="16" s="1"/>
  <c r="P192" i="16" s="1"/>
  <c r="K192" i="16"/>
  <c r="G192" i="16"/>
  <c r="D190" i="16"/>
  <c r="D189" i="16"/>
  <c r="L188" i="16" s="1"/>
  <c r="M188" i="16" s="1"/>
  <c r="N188" i="16"/>
  <c r="O188" i="16" s="1"/>
  <c r="P188" i="16" s="1"/>
  <c r="K188" i="16"/>
  <c r="G188" i="16"/>
  <c r="D186" i="16"/>
  <c r="D185" i="16"/>
  <c r="Q184" i="16" s="1"/>
  <c r="N184" i="16"/>
  <c r="O184" i="16" s="1"/>
  <c r="P184" i="16" s="1"/>
  <c r="K184" i="16"/>
  <c r="G184" i="16"/>
  <c r="D182" i="16"/>
  <c r="M181" i="16"/>
  <c r="R181" i="16" s="1"/>
  <c r="S181" i="16" s="1"/>
  <c r="D181" i="16"/>
  <c r="J181" i="16" s="1"/>
  <c r="Q180" i="16"/>
  <c r="N180" i="16"/>
  <c r="O180" i="16" s="1"/>
  <c r="P180" i="16" s="1"/>
  <c r="L180" i="16"/>
  <c r="M180" i="16" s="1"/>
  <c r="K180" i="16"/>
  <c r="J180" i="16"/>
  <c r="I180" i="16"/>
  <c r="H180" i="16"/>
  <c r="G180" i="16"/>
  <c r="D178" i="16"/>
  <c r="M177" i="16"/>
  <c r="R177" i="16" s="1"/>
  <c r="S177" i="16" s="1"/>
  <c r="D177" i="16"/>
  <c r="J177" i="16" s="1"/>
  <c r="Q176" i="16"/>
  <c r="N176" i="16"/>
  <c r="L176" i="16"/>
  <c r="M176" i="16" s="1"/>
  <c r="K176" i="16"/>
  <c r="J176" i="16"/>
  <c r="I176" i="16"/>
  <c r="H176" i="16"/>
  <c r="G176" i="16"/>
  <c r="D174" i="16"/>
  <c r="M173" i="16"/>
  <c r="R173" i="16" s="1"/>
  <c r="S173" i="16" s="1"/>
  <c r="D173" i="16"/>
  <c r="J173" i="16" s="1"/>
  <c r="Q172" i="16"/>
  <c r="N172" i="16"/>
  <c r="O172" i="16" s="1"/>
  <c r="P172" i="16" s="1"/>
  <c r="L172" i="16"/>
  <c r="M172" i="16" s="1"/>
  <c r="K172" i="16"/>
  <c r="J172" i="16"/>
  <c r="I172" i="16"/>
  <c r="H172" i="16"/>
  <c r="G172" i="16"/>
  <c r="D170" i="16"/>
  <c r="M169" i="16"/>
  <c r="R169" i="16" s="1"/>
  <c r="S169" i="16" s="1"/>
  <c r="D169" i="16"/>
  <c r="J169" i="16" s="1"/>
  <c r="Q168" i="16"/>
  <c r="N168" i="16"/>
  <c r="L168" i="16"/>
  <c r="M168" i="16" s="1"/>
  <c r="K168" i="16"/>
  <c r="J168" i="16"/>
  <c r="I168" i="16"/>
  <c r="H168" i="16"/>
  <c r="G168" i="16"/>
  <c r="D166" i="16"/>
  <c r="M165" i="16"/>
  <c r="R165" i="16" s="1"/>
  <c r="S165" i="16" s="1"/>
  <c r="D165" i="16"/>
  <c r="J165" i="16" s="1"/>
  <c r="Q164" i="16"/>
  <c r="N164" i="16"/>
  <c r="O164" i="16" s="1"/>
  <c r="P164" i="16" s="1"/>
  <c r="L164" i="16"/>
  <c r="M164" i="16" s="1"/>
  <c r="K164" i="16"/>
  <c r="J164" i="16"/>
  <c r="I164" i="16"/>
  <c r="H164" i="16"/>
  <c r="G164" i="16"/>
  <c r="N162" i="16"/>
  <c r="D162" i="16"/>
  <c r="K162" i="16" s="1"/>
  <c r="Q161" i="16"/>
  <c r="O161" i="16"/>
  <c r="P161" i="16" s="1"/>
  <c r="N161" i="16"/>
  <c r="L161" i="16"/>
  <c r="M161" i="16" s="1"/>
  <c r="K161" i="16"/>
  <c r="J161" i="16"/>
  <c r="I161" i="16"/>
  <c r="H161" i="16"/>
  <c r="G161" i="16"/>
  <c r="N159" i="16"/>
  <c r="D159" i="16"/>
  <c r="L159" i="16" s="1"/>
  <c r="M159" i="16" s="1"/>
  <c r="Q158" i="16"/>
  <c r="O158" i="16"/>
  <c r="P158" i="16" s="1"/>
  <c r="N158" i="16"/>
  <c r="L158" i="16"/>
  <c r="M158" i="16" s="1"/>
  <c r="K158" i="16"/>
  <c r="J158" i="16"/>
  <c r="I158" i="16"/>
  <c r="H158" i="16"/>
  <c r="G158" i="16"/>
  <c r="N156" i="16"/>
  <c r="D156" i="16"/>
  <c r="L156" i="16" s="1"/>
  <c r="M156" i="16" s="1"/>
  <c r="Q155" i="16"/>
  <c r="N155" i="16"/>
  <c r="O155" i="16" s="1"/>
  <c r="P155" i="16" s="1"/>
  <c r="L155" i="16"/>
  <c r="M155" i="16" s="1"/>
  <c r="K155" i="16"/>
  <c r="J155" i="16"/>
  <c r="I155" i="16"/>
  <c r="H155" i="16"/>
  <c r="G155" i="16"/>
  <c r="N153" i="16"/>
  <c r="D153" i="16"/>
  <c r="J153" i="16" s="1"/>
  <c r="Q152" i="16"/>
  <c r="N152" i="16"/>
  <c r="L152" i="16"/>
  <c r="M152" i="16" s="1"/>
  <c r="K152" i="16"/>
  <c r="J152" i="16"/>
  <c r="I152" i="16"/>
  <c r="H152" i="16"/>
  <c r="G152" i="16"/>
  <c r="Q150" i="16"/>
  <c r="O150" i="16"/>
  <c r="P150" i="16" s="1"/>
  <c r="N150" i="16"/>
  <c r="L150" i="16"/>
  <c r="M150" i="16" s="1"/>
  <c r="K150" i="16"/>
  <c r="J150" i="16"/>
  <c r="I150" i="16"/>
  <c r="H150" i="16"/>
  <c r="G150" i="16"/>
  <c r="Q148" i="16"/>
  <c r="O148" i="16"/>
  <c r="P148" i="16" s="1"/>
  <c r="N148" i="16"/>
  <c r="L148" i="16"/>
  <c r="M148" i="16" s="1"/>
  <c r="K148" i="16"/>
  <c r="J148" i="16"/>
  <c r="I148" i="16"/>
  <c r="H148" i="16"/>
  <c r="G148" i="16"/>
  <c r="Q146" i="16"/>
  <c r="N146" i="16"/>
  <c r="O146" i="16" s="1"/>
  <c r="P146" i="16" s="1"/>
  <c r="L146" i="16"/>
  <c r="M146" i="16" s="1"/>
  <c r="K146" i="16"/>
  <c r="J146" i="16"/>
  <c r="I146" i="16"/>
  <c r="H146" i="16"/>
  <c r="G146" i="16"/>
  <c r="Q144" i="16"/>
  <c r="N144" i="16"/>
  <c r="O144" i="16" s="1"/>
  <c r="P144" i="16" s="1"/>
  <c r="L144" i="16"/>
  <c r="M144" i="16" s="1"/>
  <c r="K144" i="16"/>
  <c r="H17" i="13" s="1"/>
  <c r="J144" i="16"/>
  <c r="H15" i="13" s="1"/>
  <c r="I144" i="16"/>
  <c r="H14" i="13" s="1"/>
  <c r="H144" i="16"/>
  <c r="G144" i="16"/>
  <c r="Q142" i="16"/>
  <c r="O142" i="16"/>
  <c r="P142" i="16" s="1"/>
  <c r="N142" i="16"/>
  <c r="L142" i="16"/>
  <c r="M142" i="16" s="1"/>
  <c r="K142" i="16"/>
  <c r="J142" i="16"/>
  <c r="H142" i="16"/>
  <c r="G142" i="16"/>
  <c r="Q141" i="16"/>
  <c r="N141" i="16"/>
  <c r="O141" i="16" s="1"/>
  <c r="P141" i="16" s="1"/>
  <c r="L141" i="16"/>
  <c r="M141" i="16" s="1"/>
  <c r="K141" i="16"/>
  <c r="J141" i="16"/>
  <c r="I141" i="16"/>
  <c r="H141" i="16"/>
  <c r="G141" i="16"/>
  <c r="Q139" i="16"/>
  <c r="N139" i="16"/>
  <c r="O139" i="16" s="1"/>
  <c r="P139" i="16" s="1"/>
  <c r="L139" i="16"/>
  <c r="M139" i="16" s="1"/>
  <c r="K139" i="16"/>
  <c r="J139" i="16"/>
  <c r="H139" i="16"/>
  <c r="G139" i="16"/>
  <c r="Q138" i="16"/>
  <c r="N138" i="16"/>
  <c r="L138" i="16"/>
  <c r="M138" i="16" s="1"/>
  <c r="K138" i="16"/>
  <c r="J138" i="16"/>
  <c r="I138" i="16"/>
  <c r="H138" i="16"/>
  <c r="G138" i="16"/>
  <c r="Q136" i="16"/>
  <c r="N136" i="16"/>
  <c r="O136" i="16" s="1"/>
  <c r="P136" i="16" s="1"/>
  <c r="L136" i="16"/>
  <c r="M136" i="16" s="1"/>
  <c r="K136" i="16"/>
  <c r="J136" i="16"/>
  <c r="H136" i="16"/>
  <c r="G136" i="16"/>
  <c r="Q135" i="16"/>
  <c r="N135" i="16"/>
  <c r="O135" i="16" s="1"/>
  <c r="P135" i="16" s="1"/>
  <c r="L135" i="16"/>
  <c r="M135" i="16" s="1"/>
  <c r="K135" i="16"/>
  <c r="J135" i="16"/>
  <c r="I135" i="16"/>
  <c r="H135" i="16"/>
  <c r="G135" i="16"/>
  <c r="N133" i="16"/>
  <c r="D133" i="16"/>
  <c r="J133" i="16" s="1"/>
  <c r="Q132" i="16"/>
  <c r="N132" i="16"/>
  <c r="O132" i="16" s="1"/>
  <c r="P132" i="16" s="1"/>
  <c r="L132" i="16"/>
  <c r="M132" i="16" s="1"/>
  <c r="K132" i="16"/>
  <c r="J132" i="16"/>
  <c r="I132" i="16"/>
  <c r="H132" i="16"/>
  <c r="G132" i="16"/>
  <c r="N130" i="16"/>
  <c r="D130" i="16"/>
  <c r="K130" i="16" s="1"/>
  <c r="Q129" i="16"/>
  <c r="N129" i="16"/>
  <c r="O129" i="16" s="1"/>
  <c r="P129" i="16" s="1"/>
  <c r="L129" i="16"/>
  <c r="M129" i="16" s="1"/>
  <c r="K129" i="16"/>
  <c r="J129" i="16"/>
  <c r="I129" i="16"/>
  <c r="H129" i="16"/>
  <c r="G129" i="16"/>
  <c r="N127" i="16"/>
  <c r="D127" i="16"/>
  <c r="L127" i="16" s="1"/>
  <c r="M127" i="16" s="1"/>
  <c r="Q126" i="16"/>
  <c r="N126" i="16"/>
  <c r="L126" i="16"/>
  <c r="M126" i="16" s="1"/>
  <c r="K126" i="16"/>
  <c r="J126" i="16"/>
  <c r="I126" i="16"/>
  <c r="H126" i="16"/>
  <c r="G126" i="16"/>
  <c r="N124" i="16"/>
  <c r="D124" i="16"/>
  <c r="L124" i="16" s="1"/>
  <c r="M124" i="16" s="1"/>
  <c r="Q123" i="16"/>
  <c r="N123" i="16"/>
  <c r="O123" i="16" s="1"/>
  <c r="P123" i="16" s="1"/>
  <c r="L123" i="16"/>
  <c r="M123" i="16" s="1"/>
  <c r="K123" i="16"/>
  <c r="J123" i="16"/>
  <c r="I123" i="16"/>
  <c r="H123" i="16"/>
  <c r="G123" i="16"/>
  <c r="N118" i="16"/>
  <c r="D118" i="16"/>
  <c r="J118" i="16" s="1"/>
  <c r="Q117" i="16"/>
  <c r="N117" i="16"/>
  <c r="L117" i="16"/>
  <c r="M117" i="16" s="1"/>
  <c r="K117" i="16"/>
  <c r="J117" i="16"/>
  <c r="I117" i="16"/>
  <c r="H117" i="16"/>
  <c r="G117" i="16"/>
  <c r="N116" i="16"/>
  <c r="D116" i="16"/>
  <c r="L116" i="16" s="1"/>
  <c r="M116" i="16" s="1"/>
  <c r="Q115" i="16"/>
  <c r="N115" i="16"/>
  <c r="L115" i="16"/>
  <c r="M115" i="16" s="1"/>
  <c r="K115" i="16"/>
  <c r="J115" i="16"/>
  <c r="I115" i="16"/>
  <c r="H115" i="16"/>
  <c r="G115" i="16"/>
  <c r="N113" i="16"/>
  <c r="D113" i="16"/>
  <c r="J113" i="16" s="1"/>
  <c r="Q112" i="16"/>
  <c r="N112" i="16"/>
  <c r="O112" i="16" s="1"/>
  <c r="P112" i="16" s="1"/>
  <c r="L112" i="16"/>
  <c r="M112" i="16" s="1"/>
  <c r="K112" i="16"/>
  <c r="J112" i="16"/>
  <c r="I112" i="16"/>
  <c r="H112" i="16"/>
  <c r="G112" i="16"/>
  <c r="N110" i="16"/>
  <c r="D110" i="16"/>
  <c r="L110" i="16" s="1"/>
  <c r="M110" i="16" s="1"/>
  <c r="Q109" i="16"/>
  <c r="N109" i="16"/>
  <c r="O109" i="16" s="1"/>
  <c r="P109" i="16" s="1"/>
  <c r="L109" i="16"/>
  <c r="M109" i="16" s="1"/>
  <c r="K109" i="16"/>
  <c r="J109" i="16"/>
  <c r="I109" i="16"/>
  <c r="H4" i="13" s="1"/>
  <c r="H109" i="16"/>
  <c r="H9" i="12" s="1"/>
  <c r="N107" i="16"/>
  <c r="N106" i="16"/>
  <c r="O106" i="16" s="1"/>
  <c r="P106" i="16" s="1"/>
  <c r="E106" i="16"/>
  <c r="D107" i="16" s="1"/>
  <c r="F105" i="15"/>
  <c r="G105" i="15" s="1"/>
  <c r="I105" i="15" s="1"/>
  <c r="J105" i="15" s="1"/>
  <c r="F104" i="15"/>
  <c r="G104" i="15" s="1"/>
  <c r="I104" i="15" s="1"/>
  <c r="J104" i="15" s="1"/>
  <c r="F103" i="15"/>
  <c r="G103" i="15" s="1"/>
  <c r="I103" i="15" s="1"/>
  <c r="J103" i="15" s="1"/>
  <c r="F102" i="15"/>
  <c r="G102" i="15" s="1"/>
  <c r="I102" i="15" s="1"/>
  <c r="J102" i="15" s="1"/>
  <c r="F98" i="15"/>
  <c r="I98" i="15" s="1"/>
  <c r="J98" i="15" s="1"/>
  <c r="H9" i="14" s="1"/>
  <c r="F92" i="15"/>
  <c r="J92" i="15" s="1"/>
  <c r="J94" i="15" s="1"/>
  <c r="H13" i="14" s="1"/>
  <c r="G88" i="15"/>
  <c r="I88" i="15" s="1"/>
  <c r="J88" i="15" s="1"/>
  <c r="G87" i="15"/>
  <c r="I87" i="15" s="1"/>
  <c r="J87" i="15" s="1"/>
  <c r="F83" i="15"/>
  <c r="J83" i="15" s="1"/>
  <c r="H6" i="14" s="1"/>
  <c r="F73" i="15"/>
  <c r="I73" i="15" s="1"/>
  <c r="J73" i="15" s="1"/>
  <c r="F72" i="15"/>
  <c r="I72" i="15" s="1"/>
  <c r="J72" i="15" s="1"/>
  <c r="F71" i="15"/>
  <c r="I71" i="15" s="1"/>
  <c r="J71" i="15" s="1"/>
  <c r="F51" i="15"/>
  <c r="G51" i="15" s="1"/>
  <c r="I51" i="15" s="1"/>
  <c r="J51" i="15" s="1"/>
  <c r="H27" i="13" s="1"/>
  <c r="F50" i="15"/>
  <c r="G50" i="15" s="1"/>
  <c r="I50" i="15" s="1"/>
  <c r="J50" i="15" s="1"/>
  <c r="H28" i="13" s="1"/>
  <c r="F49" i="15"/>
  <c r="G49" i="15" s="1"/>
  <c r="I49" i="15" s="1"/>
  <c r="J49" i="15" s="1"/>
  <c r="H26" i="13" s="1"/>
  <c r="F37" i="15"/>
  <c r="G37" i="15" s="1"/>
  <c r="I37" i="15" s="1"/>
  <c r="J37" i="15" s="1"/>
  <c r="F36" i="15"/>
  <c r="G36" i="15" s="1"/>
  <c r="I36" i="15" s="1"/>
  <c r="J36" i="15" s="1"/>
  <c r="F35" i="15"/>
  <c r="G35" i="15" s="1"/>
  <c r="I35" i="15" s="1"/>
  <c r="J35" i="15" s="1"/>
  <c r="F29" i="15"/>
  <c r="G29" i="15" s="1"/>
  <c r="I29" i="15" s="1"/>
  <c r="J29" i="15" s="1"/>
  <c r="F28" i="15"/>
  <c r="G28" i="15" s="1"/>
  <c r="I28" i="15" s="1"/>
  <c r="J28" i="15" s="1"/>
  <c r="F27" i="15"/>
  <c r="G27" i="15" s="1"/>
  <c r="I27" i="15" s="1"/>
  <c r="J27" i="15" s="1"/>
  <c r="B20" i="15"/>
  <c r="A20" i="15"/>
  <c r="B19" i="15"/>
  <c r="F19" i="15" s="1"/>
  <c r="I19" i="15" s="1"/>
  <c r="J19" i="15" s="1"/>
  <c r="A19" i="15"/>
  <c r="B18" i="15"/>
  <c r="F18" i="15" s="1"/>
  <c r="I18" i="15" s="1"/>
  <c r="J18" i="15" s="1"/>
  <c r="A18" i="15"/>
  <c r="B17" i="15"/>
  <c r="F17" i="15" s="1"/>
  <c r="I17" i="15" s="1"/>
  <c r="J17" i="15" s="1"/>
  <c r="A17" i="15"/>
  <c r="F9" i="15"/>
  <c r="I9" i="15" s="1"/>
  <c r="J9" i="15" s="1"/>
  <c r="F8" i="15"/>
  <c r="I8" i="15" s="1"/>
  <c r="J8" i="15" s="1"/>
  <c r="F7" i="15"/>
  <c r="I7" i="15" s="1"/>
  <c r="J7" i="15" s="1"/>
  <c r="F6" i="15"/>
  <c r="I6" i="15" s="1"/>
  <c r="J6" i="15" s="1"/>
  <c r="D1" i="14"/>
  <c r="H24" i="13"/>
  <c r="H19" i="13"/>
  <c r="H9" i="13"/>
  <c r="D1" i="13"/>
  <c r="H14" i="12"/>
  <c r="H7" i="12"/>
  <c r="D1" i="12"/>
  <c r="B7" i="10"/>
  <c r="J106" i="15" l="1"/>
  <c r="R139" i="16"/>
  <c r="S139" i="16" s="1"/>
  <c r="J124" i="16"/>
  <c r="K133" i="16"/>
  <c r="I4" i="11"/>
  <c r="K124" i="16"/>
  <c r="L133" i="16"/>
  <c r="M133" i="16" s="1"/>
  <c r="R124" i="16"/>
  <c r="S124" i="16" s="1"/>
  <c r="K165" i="16"/>
  <c r="H184" i="16"/>
  <c r="I184" i="16"/>
  <c r="C236" i="16"/>
  <c r="J89" i="15"/>
  <c r="H8" i="14" s="1"/>
  <c r="H10" i="13"/>
  <c r="R172" i="16"/>
  <c r="S172" i="16" s="1"/>
  <c r="L118" i="16"/>
  <c r="M118" i="16" s="1"/>
  <c r="R118" i="16" s="1"/>
  <c r="S118" i="16" s="1"/>
  <c r="R127" i="16"/>
  <c r="S127" i="16" s="1"/>
  <c r="K156" i="16"/>
  <c r="L184" i="16"/>
  <c r="M184" i="16" s="1"/>
  <c r="R184" i="16" s="1"/>
  <c r="S184" i="16" s="1"/>
  <c r="K118" i="16"/>
  <c r="J156" i="16"/>
  <c r="R146" i="16"/>
  <c r="S146" i="16" s="1"/>
  <c r="K181" i="16"/>
  <c r="H22" i="13" s="1"/>
  <c r="J196" i="16"/>
  <c r="K153" i="16"/>
  <c r="H20" i="13"/>
  <c r="L192" i="16"/>
  <c r="M192" i="16" s="1"/>
  <c r="L196" i="16"/>
  <c r="M196" i="16" s="1"/>
  <c r="R196" i="16" s="1"/>
  <c r="S196" i="16" s="1"/>
  <c r="R159" i="16"/>
  <c r="S159" i="16" s="1"/>
  <c r="E238" i="16"/>
  <c r="R109" i="16"/>
  <c r="S109" i="16" s="1"/>
  <c r="R133" i="16"/>
  <c r="S133" i="16" s="1"/>
  <c r="R135" i="16"/>
  <c r="S135" i="16" s="1"/>
  <c r="R148" i="16"/>
  <c r="S148" i="16" s="1"/>
  <c r="R150" i="16"/>
  <c r="S150" i="16" s="1"/>
  <c r="L162" i="16"/>
  <c r="M162" i="16" s="1"/>
  <c r="R162" i="16" s="1"/>
  <c r="S162" i="16" s="1"/>
  <c r="K169" i="16"/>
  <c r="G106" i="16"/>
  <c r="J74" i="15"/>
  <c r="H7" i="14" s="1"/>
  <c r="I106" i="16"/>
  <c r="Q106" i="16"/>
  <c r="K113" i="16"/>
  <c r="H12" i="13" s="1"/>
  <c r="R129" i="16"/>
  <c r="S129" i="16" s="1"/>
  <c r="R132" i="16"/>
  <c r="S132" i="16" s="1"/>
  <c r="L153" i="16"/>
  <c r="M153" i="16" s="1"/>
  <c r="R153" i="16" s="1"/>
  <c r="S153" i="16" s="1"/>
  <c r="K173" i="16"/>
  <c r="K177" i="16"/>
  <c r="J184" i="16"/>
  <c r="J106" i="16"/>
  <c r="R110" i="16"/>
  <c r="S110" i="16" s="1"/>
  <c r="L113" i="16"/>
  <c r="M113" i="16" s="1"/>
  <c r="R113" i="16" s="1"/>
  <c r="S113" i="16" s="1"/>
  <c r="L130" i="16"/>
  <c r="M130" i="16" s="1"/>
  <c r="R130" i="16" s="1"/>
  <c r="S130" i="16" s="1"/>
  <c r="R141" i="16"/>
  <c r="S141" i="16" s="1"/>
  <c r="R142" i="16"/>
  <c r="S142" i="16" s="1"/>
  <c r="R161" i="16"/>
  <c r="S161" i="16" s="1"/>
  <c r="R180" i="16"/>
  <c r="S180" i="16" s="1"/>
  <c r="H21" i="13" s="1"/>
  <c r="G238" i="16"/>
  <c r="J39" i="15"/>
  <c r="H11" i="12" s="1"/>
  <c r="R164" i="16"/>
  <c r="S164" i="16" s="1"/>
  <c r="R158" i="16"/>
  <c r="S158" i="16" s="1"/>
  <c r="R156" i="16"/>
  <c r="S156" i="16" s="1"/>
  <c r="R112" i="16"/>
  <c r="S112" i="16" s="1"/>
  <c r="U113" i="16" s="1"/>
  <c r="H11" i="13" s="1"/>
  <c r="R116" i="16"/>
  <c r="S116" i="16" s="1"/>
  <c r="J20" i="15"/>
  <c r="H4" i="12" s="1"/>
  <c r="J31" i="15"/>
  <c r="H10" i="12" s="1"/>
  <c r="L107" i="16"/>
  <c r="M107" i="16" s="1"/>
  <c r="R107" i="16" s="1"/>
  <c r="S107" i="16" s="1"/>
  <c r="J107" i="16"/>
  <c r="K107" i="16"/>
  <c r="R144" i="16"/>
  <c r="S144" i="16" s="1"/>
  <c r="H16" i="13" s="1"/>
  <c r="J10" i="15"/>
  <c r="J4" i="11" s="1"/>
  <c r="L4" i="11" s="1"/>
  <c r="G83" i="15"/>
  <c r="J116" i="16"/>
  <c r="O117" i="16"/>
  <c r="P117" i="16" s="1"/>
  <c r="R117" i="16" s="1"/>
  <c r="S117" i="16" s="1"/>
  <c r="R123" i="16"/>
  <c r="S123" i="16" s="1"/>
  <c r="J127" i="16"/>
  <c r="R136" i="16"/>
  <c r="S136" i="16" s="1"/>
  <c r="O152" i="16"/>
  <c r="P152" i="16" s="1"/>
  <c r="R152" i="16" s="1"/>
  <c r="S152" i="16" s="1"/>
  <c r="R155" i="16"/>
  <c r="S155" i="16" s="1"/>
  <c r="J159" i="16"/>
  <c r="O168" i="16"/>
  <c r="P168" i="16" s="1"/>
  <c r="R168" i="16" s="1"/>
  <c r="S168" i="16" s="1"/>
  <c r="O176" i="16"/>
  <c r="P176" i="16" s="1"/>
  <c r="R176" i="16" s="1"/>
  <c r="S176" i="16" s="1"/>
  <c r="H188" i="16"/>
  <c r="I192" i="16"/>
  <c r="Q192" i="16"/>
  <c r="K127" i="16"/>
  <c r="K159" i="16"/>
  <c r="I188" i="16"/>
  <c r="Q188" i="16"/>
  <c r="R188" i="16" s="1"/>
  <c r="S188" i="16" s="1"/>
  <c r="J192" i="16"/>
  <c r="K200" i="16"/>
  <c r="K116" i="16"/>
  <c r="H106" i="16"/>
  <c r="O115" i="16"/>
  <c r="P115" i="16" s="1"/>
  <c r="R115" i="16" s="1"/>
  <c r="S115" i="16" s="1"/>
  <c r="U116" i="16" s="1"/>
  <c r="O126" i="16"/>
  <c r="P126" i="16" s="1"/>
  <c r="R126" i="16" s="1"/>
  <c r="S126" i="16" s="1"/>
  <c r="O138" i="16"/>
  <c r="P138" i="16" s="1"/>
  <c r="R138" i="16" s="1"/>
  <c r="S138" i="16" s="1"/>
  <c r="J188" i="16"/>
  <c r="D201" i="16"/>
  <c r="C250" i="16"/>
  <c r="F250" i="16" s="1"/>
  <c r="H250" i="16" s="1"/>
  <c r="K106" i="16"/>
  <c r="K110" i="16"/>
  <c r="H7" i="13" s="1"/>
  <c r="J130" i="16"/>
  <c r="J162" i="16"/>
  <c r="G200" i="16"/>
  <c r="E239" i="16"/>
  <c r="G239" i="16" s="1"/>
  <c r="G241" i="16" s="1"/>
  <c r="J241" i="16" s="1"/>
  <c r="J110" i="16"/>
  <c r="H5" i="13" s="1"/>
  <c r="L106" i="16"/>
  <c r="M106" i="16" s="1"/>
  <c r="H196" i="16"/>
  <c r="I196" i="16"/>
  <c r="R192" i="16" l="1"/>
  <c r="S192" i="16" s="1"/>
  <c r="R106" i="16"/>
  <c r="S106" i="16" s="1"/>
  <c r="U110" i="16"/>
  <c r="H6" i="13" s="1"/>
  <c r="Q200" i="16"/>
  <c r="I200" i="16"/>
  <c r="H200" i="16"/>
  <c r="K201" i="16"/>
  <c r="J201" i="16"/>
  <c r="L200" i="16"/>
  <c r="M200" i="16" s="1"/>
  <c r="J200" i="16"/>
  <c r="U107" i="16"/>
  <c r="R200" i="16" l="1"/>
  <c r="S200" i="16" s="1"/>
  <c r="C7" i="8" l="1"/>
  <c r="B7" i="8"/>
  <c r="F7" i="8" s="1"/>
  <c r="G7" i="8" s="1"/>
  <c r="I7" i="8" s="1"/>
  <c r="J7" i="8" s="1"/>
  <c r="C46" i="8"/>
  <c r="B46" i="8"/>
  <c r="F46" i="8" s="1"/>
  <c r="G46" i="8" s="1"/>
  <c r="I46" i="8" s="1"/>
  <c r="J46" i="8" s="1"/>
  <c r="C48" i="8"/>
  <c r="B48" i="8"/>
  <c r="F26" i="8"/>
  <c r="G26" i="8" s="1"/>
  <c r="I26" i="8" s="1"/>
  <c r="J26" i="8" s="1"/>
  <c r="C11" i="1" l="1"/>
  <c r="H242" i="9" l="1"/>
  <c r="D240" i="9"/>
  <c r="D239" i="9"/>
  <c r="C233" i="9"/>
  <c r="C236" i="9" s="1"/>
  <c r="N201" i="9"/>
  <c r="O201" i="9" s="1"/>
  <c r="P201" i="9" s="1"/>
  <c r="E201" i="9"/>
  <c r="D202" i="9" s="1"/>
  <c r="Q201" i="9" s="1"/>
  <c r="D199" i="9"/>
  <c r="D198" i="9"/>
  <c r="Q197" i="9" s="1"/>
  <c r="N197" i="9"/>
  <c r="O197" i="9" s="1"/>
  <c r="P197" i="9" s="1"/>
  <c r="K197" i="9"/>
  <c r="G197" i="9"/>
  <c r="D195" i="9"/>
  <c r="D194" i="9"/>
  <c r="J193" i="9" s="1"/>
  <c r="N193" i="9"/>
  <c r="O193" i="9" s="1"/>
  <c r="P193" i="9" s="1"/>
  <c r="K193" i="9"/>
  <c r="G193" i="9"/>
  <c r="D191" i="9"/>
  <c r="D190" i="9"/>
  <c r="L189" i="9" s="1"/>
  <c r="M189" i="9" s="1"/>
  <c r="N189" i="9"/>
  <c r="O189" i="9" s="1"/>
  <c r="P189" i="9" s="1"/>
  <c r="K189" i="9"/>
  <c r="G189" i="9"/>
  <c r="D187" i="9"/>
  <c r="D186" i="9"/>
  <c r="J185" i="9" s="1"/>
  <c r="N185" i="9"/>
  <c r="O185" i="9" s="1"/>
  <c r="P185" i="9" s="1"/>
  <c r="K185" i="9"/>
  <c r="G185" i="9"/>
  <c r="D183" i="9"/>
  <c r="M182" i="9"/>
  <c r="R182" i="9" s="1"/>
  <c r="S182" i="9" s="1"/>
  <c r="D182" i="9"/>
  <c r="K182" i="9" s="1"/>
  <c r="Q181" i="9"/>
  <c r="N181" i="9"/>
  <c r="O181" i="9" s="1"/>
  <c r="P181" i="9" s="1"/>
  <c r="L181" i="9"/>
  <c r="M181" i="9" s="1"/>
  <c r="K181" i="9"/>
  <c r="J181" i="9"/>
  <c r="I181" i="9"/>
  <c r="H181" i="9"/>
  <c r="G181" i="9"/>
  <c r="D179" i="9"/>
  <c r="M178" i="9"/>
  <c r="R178" i="9" s="1"/>
  <c r="S178" i="9" s="1"/>
  <c r="D178" i="9"/>
  <c r="K178" i="9" s="1"/>
  <c r="Q177" i="9"/>
  <c r="N177" i="9"/>
  <c r="O177" i="9" s="1"/>
  <c r="P177" i="9" s="1"/>
  <c r="L177" i="9"/>
  <c r="M177" i="9" s="1"/>
  <c r="K177" i="9"/>
  <c r="J177" i="9"/>
  <c r="I177" i="9"/>
  <c r="H177" i="9"/>
  <c r="G177" i="9"/>
  <c r="D175" i="9"/>
  <c r="M174" i="9"/>
  <c r="R174" i="9" s="1"/>
  <c r="S174" i="9" s="1"/>
  <c r="D174" i="9"/>
  <c r="K174" i="9" s="1"/>
  <c r="Q173" i="9"/>
  <c r="N173" i="9"/>
  <c r="O173" i="9" s="1"/>
  <c r="P173" i="9" s="1"/>
  <c r="L173" i="9"/>
  <c r="M173" i="9" s="1"/>
  <c r="K173" i="9"/>
  <c r="J173" i="9"/>
  <c r="I173" i="9"/>
  <c r="H173" i="9"/>
  <c r="G173" i="9"/>
  <c r="D171" i="9"/>
  <c r="M170" i="9"/>
  <c r="R170" i="9" s="1"/>
  <c r="S170" i="9" s="1"/>
  <c r="D170" i="9"/>
  <c r="K170" i="9" s="1"/>
  <c r="Q169" i="9"/>
  <c r="N169" i="9"/>
  <c r="O169" i="9" s="1"/>
  <c r="P169" i="9" s="1"/>
  <c r="L169" i="9"/>
  <c r="M169" i="9" s="1"/>
  <c r="K169" i="9"/>
  <c r="J169" i="9"/>
  <c r="I169" i="9"/>
  <c r="H169" i="9"/>
  <c r="G169" i="9"/>
  <c r="D167" i="9"/>
  <c r="M166" i="9"/>
  <c r="R166" i="9" s="1"/>
  <c r="S166" i="9" s="1"/>
  <c r="D166" i="9"/>
  <c r="K166" i="9" s="1"/>
  <c r="Q165" i="9"/>
  <c r="N165" i="9"/>
  <c r="O165" i="9" s="1"/>
  <c r="P165" i="9" s="1"/>
  <c r="L165" i="9"/>
  <c r="M165" i="9" s="1"/>
  <c r="K165" i="9"/>
  <c r="J165" i="9"/>
  <c r="I165" i="9"/>
  <c r="H165" i="9"/>
  <c r="G165" i="9"/>
  <c r="N163" i="9"/>
  <c r="D163" i="9"/>
  <c r="K163" i="9" s="1"/>
  <c r="Q162" i="9"/>
  <c r="O162" i="9"/>
  <c r="P162" i="9" s="1"/>
  <c r="N162" i="9"/>
  <c r="L162" i="9"/>
  <c r="M162" i="9" s="1"/>
  <c r="K162" i="9"/>
  <c r="J162" i="9"/>
  <c r="I162" i="9"/>
  <c r="H162" i="9"/>
  <c r="G162" i="9"/>
  <c r="N160" i="9"/>
  <c r="D160" i="9"/>
  <c r="J160" i="9" s="1"/>
  <c r="Q159" i="9"/>
  <c r="O159" i="9"/>
  <c r="P159" i="9" s="1"/>
  <c r="N159" i="9"/>
  <c r="L159" i="9"/>
  <c r="M159" i="9" s="1"/>
  <c r="K159" i="9"/>
  <c r="J159" i="9"/>
  <c r="I159" i="9"/>
  <c r="H159" i="9"/>
  <c r="G159" i="9"/>
  <c r="N157" i="9"/>
  <c r="D157" i="9"/>
  <c r="K157" i="9" s="1"/>
  <c r="Q156" i="9"/>
  <c r="N156" i="9"/>
  <c r="O156" i="9" s="1"/>
  <c r="P156" i="9" s="1"/>
  <c r="L156" i="9"/>
  <c r="M156" i="9" s="1"/>
  <c r="K156" i="9"/>
  <c r="J156" i="9"/>
  <c r="I156" i="9"/>
  <c r="H156" i="9"/>
  <c r="G156" i="9"/>
  <c r="N154" i="9"/>
  <c r="D154" i="9"/>
  <c r="K154" i="9" s="1"/>
  <c r="Q153" i="9"/>
  <c r="N153" i="9"/>
  <c r="O153" i="9" s="1"/>
  <c r="P153" i="9" s="1"/>
  <c r="L153" i="9"/>
  <c r="M153" i="9" s="1"/>
  <c r="K153" i="9"/>
  <c r="J153" i="9"/>
  <c r="I153" i="9"/>
  <c r="H153" i="9"/>
  <c r="G153" i="9"/>
  <c r="Q151" i="9"/>
  <c r="O151" i="9"/>
  <c r="P151" i="9" s="1"/>
  <c r="N151" i="9"/>
  <c r="L151" i="9"/>
  <c r="M151" i="9" s="1"/>
  <c r="K151" i="9"/>
  <c r="J151" i="9"/>
  <c r="I151" i="9"/>
  <c r="H151" i="9"/>
  <c r="G151" i="9"/>
  <c r="Q149" i="9"/>
  <c r="O149" i="9"/>
  <c r="P149" i="9" s="1"/>
  <c r="N149" i="9"/>
  <c r="L149" i="9"/>
  <c r="M149" i="9" s="1"/>
  <c r="K149" i="9"/>
  <c r="J149" i="9"/>
  <c r="I149" i="9"/>
  <c r="H149" i="9"/>
  <c r="G149" i="9"/>
  <c r="Q147" i="9"/>
  <c r="N147" i="9"/>
  <c r="O147" i="9" s="1"/>
  <c r="P147" i="9" s="1"/>
  <c r="L147" i="9"/>
  <c r="M147" i="9" s="1"/>
  <c r="K147" i="9"/>
  <c r="J147" i="9"/>
  <c r="I147" i="9"/>
  <c r="H147" i="9"/>
  <c r="G147" i="9"/>
  <c r="Q145" i="9"/>
  <c r="N145" i="9"/>
  <c r="O145" i="9" s="1"/>
  <c r="P145" i="9" s="1"/>
  <c r="L145" i="9"/>
  <c r="M145" i="9" s="1"/>
  <c r="K145" i="9"/>
  <c r="J145" i="9"/>
  <c r="I145" i="9"/>
  <c r="H145" i="9"/>
  <c r="G145" i="9"/>
  <c r="N143" i="9"/>
  <c r="O143" i="9" s="1"/>
  <c r="P143" i="9" s="1"/>
  <c r="J143" i="9"/>
  <c r="Q142" i="9"/>
  <c r="N142" i="9"/>
  <c r="O142" i="9" s="1"/>
  <c r="P142" i="9" s="1"/>
  <c r="L142" i="9"/>
  <c r="M142" i="9" s="1"/>
  <c r="K142" i="9"/>
  <c r="J142" i="9"/>
  <c r="I142" i="9"/>
  <c r="H142" i="9"/>
  <c r="G142" i="9"/>
  <c r="N140" i="9"/>
  <c r="O140" i="9" s="1"/>
  <c r="P140" i="9" s="1"/>
  <c r="Q140" i="9"/>
  <c r="Q139" i="9"/>
  <c r="N139" i="9"/>
  <c r="O139" i="9" s="1"/>
  <c r="P139" i="9" s="1"/>
  <c r="L139" i="9"/>
  <c r="M139" i="9" s="1"/>
  <c r="K139" i="9"/>
  <c r="J139" i="9"/>
  <c r="I139" i="9"/>
  <c r="H139" i="9"/>
  <c r="G139" i="9"/>
  <c r="N137" i="9"/>
  <c r="O137" i="9" s="1"/>
  <c r="P137" i="9" s="1"/>
  <c r="Q137" i="9"/>
  <c r="Q136" i="9"/>
  <c r="N136" i="9"/>
  <c r="O136" i="9" s="1"/>
  <c r="P136" i="9" s="1"/>
  <c r="L136" i="9"/>
  <c r="M136" i="9" s="1"/>
  <c r="K136" i="9"/>
  <c r="J136" i="9"/>
  <c r="I136" i="9"/>
  <c r="H136" i="9"/>
  <c r="G136" i="9"/>
  <c r="N134" i="9"/>
  <c r="D134" i="9"/>
  <c r="K134" i="9" s="1"/>
  <c r="Q133" i="9"/>
  <c r="N133" i="9"/>
  <c r="O133" i="9" s="1"/>
  <c r="P133" i="9" s="1"/>
  <c r="L133" i="9"/>
  <c r="M133" i="9" s="1"/>
  <c r="K133" i="9"/>
  <c r="J133" i="9"/>
  <c r="I133" i="9"/>
  <c r="H133" i="9"/>
  <c r="G133" i="9"/>
  <c r="N131" i="9"/>
  <c r="D131" i="9"/>
  <c r="L131" i="9" s="1"/>
  <c r="M131" i="9" s="1"/>
  <c r="Q130" i="9"/>
  <c r="N130" i="9"/>
  <c r="O130" i="9" s="1"/>
  <c r="P130" i="9" s="1"/>
  <c r="L130" i="9"/>
  <c r="M130" i="9" s="1"/>
  <c r="K130" i="9"/>
  <c r="J130" i="9"/>
  <c r="I130" i="9"/>
  <c r="H130" i="9"/>
  <c r="G130" i="9"/>
  <c r="N128" i="9"/>
  <c r="D128" i="9"/>
  <c r="L128" i="9" s="1"/>
  <c r="M128" i="9" s="1"/>
  <c r="Q127" i="9"/>
  <c r="N127" i="9"/>
  <c r="O127" i="9" s="1"/>
  <c r="P127" i="9" s="1"/>
  <c r="L127" i="9"/>
  <c r="M127" i="9" s="1"/>
  <c r="K127" i="9"/>
  <c r="J127" i="9"/>
  <c r="I127" i="9"/>
  <c r="H127" i="9"/>
  <c r="G127" i="9"/>
  <c r="N125" i="9"/>
  <c r="D125" i="9"/>
  <c r="L125" i="9" s="1"/>
  <c r="M125" i="9" s="1"/>
  <c r="Q124" i="9"/>
  <c r="N124" i="9"/>
  <c r="O124" i="9" s="1"/>
  <c r="P124" i="9" s="1"/>
  <c r="L124" i="9"/>
  <c r="M124" i="9" s="1"/>
  <c r="I124" i="9"/>
  <c r="H124" i="9"/>
  <c r="K124" i="9"/>
  <c r="N119" i="9"/>
  <c r="D119" i="9"/>
  <c r="K119" i="9" s="1"/>
  <c r="Q118" i="9"/>
  <c r="N118" i="9"/>
  <c r="O118" i="9" s="1"/>
  <c r="P118" i="9" s="1"/>
  <c r="L118" i="9"/>
  <c r="M118" i="9" s="1"/>
  <c r="K118" i="9"/>
  <c r="J118" i="9"/>
  <c r="I118" i="9"/>
  <c r="H118" i="9"/>
  <c r="G118" i="9"/>
  <c r="N117" i="9"/>
  <c r="D117" i="9"/>
  <c r="J117" i="9" s="1"/>
  <c r="Q116" i="9"/>
  <c r="N116" i="9"/>
  <c r="O116" i="9" s="1"/>
  <c r="P116" i="9" s="1"/>
  <c r="L116" i="9"/>
  <c r="M116" i="9" s="1"/>
  <c r="K116" i="9"/>
  <c r="J116" i="9"/>
  <c r="I116" i="9"/>
  <c r="H116" i="9"/>
  <c r="G116" i="9"/>
  <c r="N114" i="9"/>
  <c r="D114" i="9"/>
  <c r="L114" i="9" s="1"/>
  <c r="M114" i="9" s="1"/>
  <c r="Q113" i="9"/>
  <c r="N113" i="9"/>
  <c r="O113" i="9" s="1"/>
  <c r="P113" i="9" s="1"/>
  <c r="L113" i="9"/>
  <c r="M113" i="9" s="1"/>
  <c r="K113" i="9"/>
  <c r="J113" i="9"/>
  <c r="I113" i="9"/>
  <c r="H113" i="9"/>
  <c r="G113" i="9"/>
  <c r="N111" i="9"/>
  <c r="D111" i="9"/>
  <c r="L111" i="9" s="1"/>
  <c r="M111" i="9" s="1"/>
  <c r="Q110" i="9"/>
  <c r="N110" i="9"/>
  <c r="O110" i="9" s="1"/>
  <c r="P110" i="9" s="1"/>
  <c r="L110" i="9"/>
  <c r="M110" i="9" s="1"/>
  <c r="K110" i="9"/>
  <c r="J110" i="9"/>
  <c r="I110" i="9"/>
  <c r="H110" i="9"/>
  <c r="G110" i="9"/>
  <c r="N108" i="9"/>
  <c r="D108" i="9"/>
  <c r="K108" i="9" s="1"/>
  <c r="Q107" i="9"/>
  <c r="N107" i="9"/>
  <c r="O107" i="9" s="1"/>
  <c r="P107" i="9" s="1"/>
  <c r="L107" i="9"/>
  <c r="M107" i="9" s="1"/>
  <c r="K107" i="9"/>
  <c r="J107" i="9"/>
  <c r="I107" i="9"/>
  <c r="H107" i="9"/>
  <c r="G107" i="9"/>
  <c r="F48" i="8"/>
  <c r="G48" i="8" s="1"/>
  <c r="I48" i="8" s="1"/>
  <c r="J48" i="8" s="1"/>
  <c r="R114" i="9" l="1"/>
  <c r="S114" i="9" s="1"/>
  <c r="L185" i="9"/>
  <c r="M185" i="9" s="1"/>
  <c r="D203" i="9"/>
  <c r="G201" i="9"/>
  <c r="R128" i="9"/>
  <c r="S128" i="9" s="1"/>
  <c r="C237" i="9"/>
  <c r="J197" i="9"/>
  <c r="K201" i="9"/>
  <c r="E240" i="9"/>
  <c r="G240" i="9" s="1"/>
  <c r="R111" i="9"/>
  <c r="S111" i="9" s="1"/>
  <c r="R159" i="9"/>
  <c r="S159" i="9" s="1"/>
  <c r="L157" i="9"/>
  <c r="M157" i="9" s="1"/>
  <c r="R157" i="9" s="1"/>
  <c r="S157" i="9" s="1"/>
  <c r="R169" i="9"/>
  <c r="S169" i="9" s="1"/>
  <c r="R173" i="9"/>
  <c r="S173" i="9" s="1"/>
  <c r="H197" i="9"/>
  <c r="L197" i="9"/>
  <c r="M197" i="9" s="1"/>
  <c r="R197" i="9" s="1"/>
  <c r="S197" i="9" s="1"/>
  <c r="E239" i="9"/>
  <c r="G239" i="9" s="1"/>
  <c r="G242" i="9" s="1"/>
  <c r="J242" i="9" s="1"/>
  <c r="I197" i="9"/>
  <c r="G137" i="9"/>
  <c r="H137" i="9"/>
  <c r="R149" i="9"/>
  <c r="S149" i="9" s="1"/>
  <c r="L163" i="9"/>
  <c r="M163" i="9" s="1"/>
  <c r="R163" i="9" s="1"/>
  <c r="S163" i="9" s="1"/>
  <c r="L119" i="9"/>
  <c r="M119" i="9" s="1"/>
  <c r="R119" i="9" s="1"/>
  <c r="S119" i="9" s="1"/>
  <c r="J137" i="9"/>
  <c r="R151" i="9"/>
  <c r="S151" i="9" s="1"/>
  <c r="K111" i="9"/>
  <c r="L193" i="9"/>
  <c r="M193" i="9" s="1"/>
  <c r="H185" i="9"/>
  <c r="I189" i="9"/>
  <c r="J189" i="9"/>
  <c r="Q189" i="9"/>
  <c r="R189" i="9" s="1"/>
  <c r="S189" i="9" s="1"/>
  <c r="H193" i="9"/>
  <c r="L108" i="9"/>
  <c r="M108" i="9" s="1"/>
  <c r="R108" i="9" s="1"/>
  <c r="S108" i="9" s="1"/>
  <c r="R107" i="9"/>
  <c r="S107" i="9" s="1"/>
  <c r="J114" i="9"/>
  <c r="K114" i="9"/>
  <c r="J111" i="9"/>
  <c r="R125" i="9"/>
  <c r="S125" i="9" s="1"/>
  <c r="J140" i="9"/>
  <c r="R136" i="9"/>
  <c r="S136" i="9" s="1"/>
  <c r="J119" i="9"/>
  <c r="J128" i="9"/>
  <c r="L137" i="9"/>
  <c r="M137" i="9" s="1"/>
  <c r="R137" i="9" s="1"/>
  <c r="S137" i="9" s="1"/>
  <c r="R139" i="9"/>
  <c r="S139" i="9" s="1"/>
  <c r="L154" i="9"/>
  <c r="M154" i="9" s="1"/>
  <c r="R154" i="9" s="1"/>
  <c r="S154" i="9" s="1"/>
  <c r="K160" i="9"/>
  <c r="R162" i="9"/>
  <c r="S162" i="9" s="1"/>
  <c r="L134" i="9"/>
  <c r="M134" i="9" s="1"/>
  <c r="R134" i="9" s="1"/>
  <c r="S134" i="9" s="1"/>
  <c r="R127" i="9"/>
  <c r="S127" i="9" s="1"/>
  <c r="K128" i="9"/>
  <c r="R147" i="9"/>
  <c r="S147" i="9" s="1"/>
  <c r="L160" i="9"/>
  <c r="M160" i="9" s="1"/>
  <c r="R160" i="9" s="1"/>
  <c r="S160" i="9" s="1"/>
  <c r="R165" i="9"/>
  <c r="S165" i="9" s="1"/>
  <c r="R177" i="9"/>
  <c r="S177" i="9" s="1"/>
  <c r="R181" i="9"/>
  <c r="S181" i="9" s="1"/>
  <c r="R145" i="9"/>
  <c r="S145" i="9" s="1"/>
  <c r="R153" i="9"/>
  <c r="S153" i="9" s="1"/>
  <c r="R124" i="9"/>
  <c r="S124" i="9" s="1"/>
  <c r="G143" i="9"/>
  <c r="J170" i="9"/>
  <c r="J174" i="9"/>
  <c r="J178" i="9"/>
  <c r="J182" i="9"/>
  <c r="I185" i="9"/>
  <c r="Q185" i="9"/>
  <c r="R185" i="9" s="1"/>
  <c r="S185" i="9" s="1"/>
  <c r="J202" i="9"/>
  <c r="R156" i="9"/>
  <c r="S156" i="9" s="1"/>
  <c r="J201" i="9"/>
  <c r="R131" i="9"/>
  <c r="S131" i="9" s="1"/>
  <c r="L143" i="9"/>
  <c r="M143" i="9" s="1"/>
  <c r="K117" i="9"/>
  <c r="K131" i="9"/>
  <c r="J134" i="9"/>
  <c r="K137" i="9"/>
  <c r="G140" i="9"/>
  <c r="L140" i="9"/>
  <c r="M140" i="9" s="1"/>
  <c r="R140" i="9" s="1"/>
  <c r="S140" i="9" s="1"/>
  <c r="H143" i="9"/>
  <c r="J154" i="9"/>
  <c r="J157" i="9"/>
  <c r="J163" i="9"/>
  <c r="J166" i="9"/>
  <c r="I193" i="9"/>
  <c r="Q193" i="9"/>
  <c r="R193" i="9" s="1"/>
  <c r="S193" i="9" s="1"/>
  <c r="H201" i="9"/>
  <c r="L201" i="9"/>
  <c r="M201" i="9" s="1"/>
  <c r="R201" i="9" s="1"/>
  <c r="S201" i="9" s="1"/>
  <c r="K202" i="9"/>
  <c r="K143" i="9"/>
  <c r="J131" i="9"/>
  <c r="K140" i="9"/>
  <c r="Q143" i="9"/>
  <c r="L117" i="9"/>
  <c r="M117" i="9" s="1"/>
  <c r="R117" i="9" s="1"/>
  <c r="S117" i="9" s="1"/>
  <c r="R130" i="9"/>
  <c r="S130" i="9" s="1"/>
  <c r="R133" i="9"/>
  <c r="S133" i="9" s="1"/>
  <c r="H140" i="9"/>
  <c r="R142" i="9"/>
  <c r="S142" i="9" s="1"/>
  <c r="H189" i="9"/>
  <c r="I201" i="9"/>
  <c r="J29" i="8"/>
  <c r="J9" i="8"/>
  <c r="R116" i="9"/>
  <c r="S116" i="9" s="1"/>
  <c r="R113" i="9"/>
  <c r="S113" i="9" s="1"/>
  <c r="U114" i="9" s="1"/>
  <c r="R110" i="9"/>
  <c r="S110" i="9" s="1"/>
  <c r="U111" i="9" s="1"/>
  <c r="R118" i="9"/>
  <c r="S118" i="9" s="1"/>
  <c r="J124" i="9"/>
  <c r="K125" i="9"/>
  <c r="J125" i="9"/>
  <c r="J108" i="9"/>
  <c r="G124" i="9"/>
  <c r="U108" i="9" l="1"/>
  <c r="U117" i="9"/>
  <c r="R143" i="9"/>
  <c r="S143" i="9" s="1"/>
  <c r="M9" i="36" l="1"/>
  <c r="J9" i="3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79" authorId="0" shapeId="0" xr:uid="{6E1955A7-2CD8-4D8C-92DE-2797B9C38E41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3" authorId="0" shapeId="0" xr:uid="{898F75DB-558B-4C0C-822A-5A71E69C4950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7" authorId="0" shapeId="0" xr:uid="{D7DF8C97-6416-430D-B59E-818A7A3F3F0D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1" authorId="0" shapeId="0" xr:uid="{7F02EAF8-E423-48AA-8823-5680EEFA59B3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5" authorId="0" shapeId="0" xr:uid="{3F49E3F7-88AC-4896-934E-1582F71A74E0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C149" authorId="0" shapeId="0" xr:uid="{5A2E2E51-4E2F-4F3A-97DD-A06F7EA9AAA6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C151" authorId="0" shapeId="0" xr:uid="{23859CD1-C5D4-472F-981D-54AC8C03DB71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J165" authorId="0" shapeId="0" xr:uid="{0B7D5E47-E125-4189-B095-374C7CFFE824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69" authorId="0" shapeId="0" xr:uid="{5C0C7F55-B134-4079-9310-6388F7D01C04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3" authorId="0" shapeId="0" xr:uid="{EB5F4231-8AC6-430C-AC39-CDA3A44AA0F8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7" authorId="0" shapeId="0" xr:uid="{84F70BA5-CE05-4701-B9ED-4EDDDAF8570A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81" authorId="0" shapeId="0" xr:uid="{518B393E-6ED3-4CAF-A78D-9B9CBE50FD5D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79" authorId="0" shapeId="0" xr:uid="{354E1C1C-9995-4643-8F18-CF39872116FF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3" authorId="0" shapeId="0" xr:uid="{71D0C77E-F79B-461E-BBF6-F8290864575A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7" authorId="0" shapeId="0" xr:uid="{9341D117-3BDB-47D0-9191-8DD2B4943776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1" authorId="0" shapeId="0" xr:uid="{F45DDA8E-93B2-4336-9180-DFDF50207681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5" authorId="0" shapeId="0" xr:uid="{ABD089D8-E0E5-43BB-A137-F06E9EC9D3E4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C148" authorId="0" shapeId="0" xr:uid="{A86A7822-0784-4A68-91C3-21C0B37813F6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C150" authorId="0" shapeId="0" xr:uid="{C8109585-4DFA-4A21-A325-E91BF9C10C29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J164" authorId="0" shapeId="0" xr:uid="{1D6FF022-9B3A-4BA2-8578-6F8001620D0B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68" authorId="0" shapeId="0" xr:uid="{25E8F73E-5947-4E63-A366-2D99A3E2CD94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2" authorId="0" shapeId="0" xr:uid="{60F4B0ED-4B18-4386-A7F3-62A119B43DD0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6" authorId="0" shapeId="0" xr:uid="{8838D3F5-AD0E-4498-A195-629272EF4CAA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80" authorId="0" shapeId="0" xr:uid="{E4CD7DBF-02AD-4DF7-BA51-B55503F577BB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79" authorId="0" shapeId="0" xr:uid="{7F3FCAF4-2DA4-4EEF-A315-672AA6E8DDB2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3" authorId="0" shapeId="0" xr:uid="{A8AEDB53-2140-4506-9604-35869628376F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7" authorId="0" shapeId="0" xr:uid="{02442706-7316-434D-B16C-677DB0B5BC98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1" authorId="0" shapeId="0" xr:uid="{C7B91CCC-97D4-4C29-9CEF-2E92DA31C326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5" authorId="0" shapeId="0" xr:uid="{E25AF126-906F-446A-8459-47AD4BCB12C0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C148" authorId="0" shapeId="0" xr:uid="{926A7F79-3134-4B62-ABCB-E11B78C5243A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C150" authorId="0" shapeId="0" xr:uid="{2BC6C40C-F096-4EDE-9FAB-B5780727E44E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J164" authorId="0" shapeId="0" xr:uid="{230462CF-32DA-4176-9BB6-CBB284113AE3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68" authorId="0" shapeId="0" xr:uid="{CC79195F-01C1-40B7-AC04-146BCA36BFBC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2" authorId="0" shapeId="0" xr:uid="{C71737C4-CFA9-485B-997A-B5CE813CA362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6" authorId="0" shapeId="0" xr:uid="{B1C96BA6-23AA-4971-86BF-3CA3B4CDDBCF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80" authorId="0" shapeId="0" xr:uid="{54048FBF-1CF0-4CD7-8806-E11692289D5C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79" authorId="0" shapeId="0" xr:uid="{270478F8-DFC9-4326-A8B1-2A7BBE5C9E21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3" authorId="0" shapeId="0" xr:uid="{95054026-2F56-4008-A5A3-5A6DDC240261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7" authorId="0" shapeId="0" xr:uid="{0784C41A-7BB5-4B6B-8CDC-D458452EDE78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1" authorId="0" shapeId="0" xr:uid="{A39131E0-C6B5-46D1-9FE6-324A70E79FD9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5" authorId="0" shapeId="0" xr:uid="{C494C6D4-EC84-4EE4-AE20-797EC3E02C4C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C148" authorId="0" shapeId="0" xr:uid="{181CF62C-70A5-4A35-82EF-60D32F100C91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C150" authorId="0" shapeId="0" xr:uid="{EDB77641-A775-476F-8030-AFDC42E0ADE9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J164" authorId="0" shapeId="0" xr:uid="{DF5459FB-F5CA-42CC-8B19-C5CCBD4D5079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68" authorId="0" shapeId="0" xr:uid="{AECEE28E-562E-40A5-92AF-F488C5F6B6B1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2" authorId="0" shapeId="0" xr:uid="{3CC618F4-9694-42E2-9507-A509C80A21C3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6" authorId="0" shapeId="0" xr:uid="{1F8FF3E6-D409-4C3F-9CB9-76CC85A6C69C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80" authorId="0" shapeId="0" xr:uid="{A4161B12-1E7A-42D5-81EB-4A19DF4DB91F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79" authorId="0" shapeId="0" xr:uid="{4970D270-5539-47CF-BFD9-5A6E05C51692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3" authorId="0" shapeId="0" xr:uid="{74192724-245B-4464-992B-2B41A351338A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7" authorId="0" shapeId="0" xr:uid="{7719D30C-A308-427F-93F8-BA60031B1187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1" authorId="0" shapeId="0" xr:uid="{5E36A5EE-0307-4A22-A8CB-B05EDDB89D4A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5" authorId="0" shapeId="0" xr:uid="{7B1B1396-C235-4999-9552-7E53BFBE4D1D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79" authorId="0" shapeId="0" xr:uid="{D5F49857-B0F1-46D7-A8CE-9DC67C76F8D5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3" authorId="0" shapeId="0" xr:uid="{D98B4CA4-EE8A-4DA1-89CA-B62882C16B90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7" authorId="0" shapeId="0" xr:uid="{51FA4AF7-A771-4FB4-BDB2-B0F97A47604B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1" authorId="0" shapeId="0" xr:uid="{1438838D-AB0F-4B7F-A92B-1362223931C2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5" authorId="0" shapeId="0" xr:uid="{458BC07B-2A53-4BC5-9708-736DC9F31EE7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C148" authorId="0" shapeId="0" xr:uid="{5DA20152-C020-4410-8AEC-2FAFAD6CA24A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C150" authorId="0" shapeId="0" xr:uid="{616A67A8-55DB-4551-A15C-9BD2F17DDF6D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J164" authorId="0" shapeId="0" xr:uid="{74B487D5-C529-4CDB-A3BB-B62AB9021CC1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68" authorId="0" shapeId="0" xr:uid="{2C2BC571-2C91-4249-8724-54EEFA8D3A68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2" authorId="0" shapeId="0" xr:uid="{5E2DA6C2-88DF-43A6-8D7E-2D4A93F5C0AE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6" authorId="0" shapeId="0" xr:uid="{4659FDDB-D6ED-4F69-A4E4-FA52B8ED2BAA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80" authorId="0" shapeId="0" xr:uid="{24582F8F-20E4-4052-A3A5-C21E7DA145F1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L79" authorId="0" shapeId="0" xr:uid="{5333DBFB-246B-48F8-AC31-D136B6B95FFA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3" authorId="0" shapeId="0" xr:uid="{B9490CDC-AFCB-4719-9D93-FBCDBE723B7D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87" authorId="0" shapeId="0" xr:uid="{C3DA6A91-A52E-4E57-BCCB-FFA1CA181355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1" authorId="0" shapeId="0" xr:uid="{02FBE671-25B6-4095-AED1-B64584EF9743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L95" authorId="0" shapeId="0" xr:uid="{BD56209F-61F2-46EA-9FA7-10D57568CB31}">
      <text>
        <r>
          <rPr>
            <b/>
            <sz val="9"/>
            <color indexed="81"/>
            <rFont val="Tahoma"/>
            <family val="2"/>
          </rPr>
          <t xml:space="preserve">Adminis
Varies </t>
        </r>
      </text>
    </comment>
    <comment ref="C148" authorId="0" shapeId="0" xr:uid="{E4FE7F72-0C2F-44FD-A08D-D62EB610A626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C150" authorId="0" shapeId="0" xr:uid="{A694843D-8C81-4AC5-877F-99463531C05C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 takes as 600 mm
</t>
        </r>
      </text>
    </comment>
    <comment ref="J164" authorId="0" shapeId="0" xr:uid="{A9F8D40A-0A0F-4B56-8D35-718ADE1C421A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68" authorId="0" shapeId="0" xr:uid="{16B45F6D-13E1-48E6-9256-8AA5D7546285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2" authorId="0" shapeId="0" xr:uid="{C708E658-3F3C-42AF-B5FF-9F30AC239C05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76" authorId="0" shapeId="0" xr:uid="{09C9F1A5-E576-4A1F-99F4-0DAAAA283F9E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  <comment ref="J180" authorId="0" shapeId="0" xr:uid="{EAB40E48-9B0D-48B6-8FBF-9C5C5DE3ADCD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has added 60mm to height of base concrete
</t>
        </r>
      </text>
    </comment>
  </commentList>
</comments>
</file>

<file path=xl/sharedStrings.xml><?xml version="1.0" encoding="utf-8"?>
<sst xmlns="http://schemas.openxmlformats.org/spreadsheetml/2006/main" count="4695" uniqueCount="1184">
  <si>
    <t>Drain</t>
  </si>
  <si>
    <t>Length</t>
  </si>
  <si>
    <t>DS C B</t>
  </si>
  <si>
    <t>DS M B</t>
  </si>
  <si>
    <t>DS M C</t>
  </si>
  <si>
    <t>m</t>
  </si>
  <si>
    <t>H</t>
  </si>
  <si>
    <t>V</t>
  </si>
  <si>
    <t xml:space="preserve">DESCRIPTION </t>
  </si>
  <si>
    <t>AMOUNT (Rs.)</t>
  </si>
  <si>
    <t>BILL No. 3.1 - SITE CLEARING</t>
  </si>
  <si>
    <t>BILL No. 3.3 - STRUCTURE CONSTRUCTION</t>
  </si>
  <si>
    <t>SUB TOTAL CARRIED TO GRAND SUMMARY</t>
  </si>
  <si>
    <t>BOQ ITEM</t>
  </si>
  <si>
    <t>PAY ITEM</t>
  </si>
  <si>
    <t>UNIT</t>
  </si>
  <si>
    <t>QTY</t>
  </si>
  <si>
    <t>RATE</t>
  </si>
  <si>
    <t>AMOUNT (Rs)</t>
  </si>
  <si>
    <t>3.1.1</t>
  </si>
  <si>
    <t>CLEARING AND GRUBBING</t>
  </si>
  <si>
    <t>3.1.1.1</t>
  </si>
  <si>
    <t>201(1)</t>
  </si>
  <si>
    <t>Clearing and grubbing inclusive of backfilling holes and trenches caused by removal of stumps and boulders</t>
  </si>
  <si>
    <r>
      <t>m</t>
    </r>
    <r>
      <rPr>
        <vertAlign val="superscript"/>
        <sz val="10"/>
        <color theme="1"/>
        <rFont val="Times New Roman"/>
        <family val="1"/>
      </rPr>
      <t>2</t>
    </r>
  </si>
  <si>
    <t>3.1.1.2</t>
  </si>
  <si>
    <t>201(2)</t>
  </si>
  <si>
    <t>Removal of trees: 300 ≤ Girth &lt; 600 mm</t>
  </si>
  <si>
    <t>nr</t>
  </si>
  <si>
    <t>3.1.1.3</t>
  </si>
  <si>
    <t>201(3)</t>
  </si>
  <si>
    <t xml:space="preserve">Removal of trees: 600 ≤ Girth &lt; 1,200 mm </t>
  </si>
  <si>
    <t>3.1.1.4</t>
  </si>
  <si>
    <t>201(6)</t>
  </si>
  <si>
    <t>Total of Bill No 3.1 - Site Clearing (Transfer to Summary of Bills of Quantities)</t>
  </si>
  <si>
    <t>BILL No. 3.2 - EARTHWORKS</t>
  </si>
  <si>
    <r>
      <t>m</t>
    </r>
    <r>
      <rPr>
        <vertAlign val="superscript"/>
        <sz val="10"/>
        <color theme="1"/>
        <rFont val="Times New Roman"/>
        <family val="1"/>
      </rPr>
      <t>3</t>
    </r>
  </si>
  <si>
    <r>
      <t>m</t>
    </r>
    <r>
      <rPr>
        <vertAlign val="superscript"/>
        <sz val="10"/>
        <rFont val="Times New Roman"/>
        <family val="1"/>
      </rPr>
      <t>3</t>
    </r>
  </si>
  <si>
    <t>3.2.2</t>
  </si>
  <si>
    <t>EXCAVATION AND BACKFILL FOR STRUCTURES</t>
  </si>
  <si>
    <t>3.2.2.1</t>
  </si>
  <si>
    <t>302(1)</t>
  </si>
  <si>
    <r>
      <t xml:space="preserve">Excavation for  </t>
    </r>
    <r>
      <rPr>
        <b/>
        <sz val="10"/>
        <rFont val="Times New Roman"/>
        <family val="1"/>
      </rPr>
      <t xml:space="preserve">Drains and Catch pits, </t>
    </r>
    <r>
      <rPr>
        <sz val="10"/>
        <rFont val="Times New Roman"/>
        <family val="1"/>
      </rPr>
      <t>soil suitable for filling including soft rock for reuse(Rate shall include Excavation &amp; Backfill for the working space)</t>
    </r>
  </si>
  <si>
    <t>3.2.2.2</t>
  </si>
  <si>
    <t>3.2.2.3</t>
  </si>
  <si>
    <t>3.2.2.4</t>
  </si>
  <si>
    <t>302(2)</t>
  </si>
  <si>
    <t>3.2.2.5</t>
  </si>
  <si>
    <t>302(3)</t>
  </si>
  <si>
    <t>302(7)</t>
  </si>
  <si>
    <t>Disposal of excess soils away from site</t>
  </si>
  <si>
    <t>Total of Bill No 3.2 - Earthworks (Transfer to Summary of Bills of Quantities)</t>
  </si>
  <si>
    <t>3.3.1</t>
  </si>
  <si>
    <t>DS(M)-B DRAIN</t>
  </si>
  <si>
    <t>3.3.1.1</t>
  </si>
  <si>
    <t>601(1)</t>
  </si>
  <si>
    <t>Concrete C15/20 for beds poured on or against earth or un-blinded hardcore</t>
  </si>
  <si>
    <t>3.3.1.2</t>
  </si>
  <si>
    <t>601(3)</t>
  </si>
  <si>
    <t xml:space="preserve">Concrete C25/20 for walls and base of drains. Rate shall include expansion joints </t>
  </si>
  <si>
    <t>3.3.1.3</t>
  </si>
  <si>
    <t>602(1)</t>
  </si>
  <si>
    <t>Tor – Steel reinforcement</t>
  </si>
  <si>
    <t>kg</t>
  </si>
  <si>
    <t>3.3.1.4</t>
  </si>
  <si>
    <t>605(1)</t>
  </si>
  <si>
    <t>Formwork for concrete sides of drains plain smooth finish</t>
  </si>
  <si>
    <t>3.3.2</t>
  </si>
  <si>
    <t>DS(M)-C DRAIN</t>
  </si>
  <si>
    <t>3.3.2.1</t>
  </si>
  <si>
    <t>3.3.2.2</t>
  </si>
  <si>
    <t>3.3.2.3</t>
  </si>
  <si>
    <t>3.3.2.4</t>
  </si>
  <si>
    <t>3.3.3</t>
  </si>
  <si>
    <t>3.3.3.1</t>
  </si>
  <si>
    <t>3.3.3.2</t>
  </si>
  <si>
    <t>3.3.3.3</t>
  </si>
  <si>
    <t>3.3.3.4</t>
  </si>
  <si>
    <t>3.3.4</t>
  </si>
  <si>
    <t>3.3.4.1</t>
  </si>
  <si>
    <t>3.3.4.2</t>
  </si>
  <si>
    <t>3.3.4.3</t>
  </si>
  <si>
    <t>3.3.4.4</t>
  </si>
  <si>
    <t>3.3.5</t>
  </si>
  <si>
    <t>3.3.5.1</t>
  </si>
  <si>
    <t>606(1)</t>
  </si>
  <si>
    <t>503(2)</t>
  </si>
  <si>
    <t>Filter fabric/Geotextile</t>
  </si>
  <si>
    <t>Total of Bill No 3.3 - Structure Construction (Transfer to Summary of Bills of Quantities)</t>
  </si>
  <si>
    <t>No</t>
  </si>
  <si>
    <t>L / Area</t>
  </si>
  <si>
    <t>W / Space</t>
  </si>
  <si>
    <t>Nr</t>
  </si>
  <si>
    <t>Qty</t>
  </si>
  <si>
    <t>Qty-Total</t>
  </si>
  <si>
    <t>Unit</t>
  </si>
  <si>
    <t>Add 10%</t>
  </si>
  <si>
    <t>Rounded</t>
  </si>
  <si>
    <t>BILL 02 :  SITE CLEARING</t>
  </si>
  <si>
    <t>Clearing and grubbing</t>
  </si>
  <si>
    <t>m3</t>
  </si>
  <si>
    <t>BILL 03 :  EARTHWORKS</t>
  </si>
  <si>
    <t>Excavation - suitable soil</t>
  </si>
  <si>
    <t>Excavation and disposal - unsuitable soil</t>
  </si>
  <si>
    <t xml:space="preserve">Side Slope Excavation </t>
  </si>
  <si>
    <t>Reshaping and Trimming</t>
  </si>
  <si>
    <t>Excavation for structures- suitable soil</t>
  </si>
  <si>
    <t>Excavation for structures and disposal - unsuitable soil</t>
  </si>
  <si>
    <t>Excavation for Structures</t>
  </si>
  <si>
    <t>Back Filling</t>
  </si>
  <si>
    <t>BILL 04 : DRAINAGE CONSTRUCTIONS</t>
  </si>
  <si>
    <t>Lean Concrete C15/20</t>
  </si>
  <si>
    <t xml:space="preserve">Concrete C25 / 20 </t>
  </si>
  <si>
    <t>GABION CONSTRUCTIONS</t>
  </si>
  <si>
    <t>Geo Textile</t>
  </si>
  <si>
    <t>Bar Dia.</t>
  </si>
  <si>
    <t>Unit Weight</t>
  </si>
  <si>
    <t>Weight</t>
  </si>
  <si>
    <t>Reinforcement</t>
  </si>
  <si>
    <t>Formwork</t>
  </si>
  <si>
    <t>Dowels</t>
  </si>
  <si>
    <t>BILL 04 : CATCH-PITS</t>
  </si>
  <si>
    <t>BILL 05 : SOIL NAILING &amp; HORIZONTAL DRAINS/ Turfing</t>
  </si>
  <si>
    <t>Mesh &amp; Hydroseeding or Shotcrete</t>
  </si>
  <si>
    <t>Metalic mesh</t>
  </si>
  <si>
    <t>Turfing</t>
  </si>
  <si>
    <t>Reshaping Area</t>
  </si>
  <si>
    <t>Soil nails</t>
  </si>
  <si>
    <t>Grid Beam</t>
  </si>
  <si>
    <t>Turfing Area</t>
  </si>
  <si>
    <t>Cantilever wall Construction</t>
  </si>
  <si>
    <t>V shape excavation</t>
  </si>
  <si>
    <t xml:space="preserve">Drain Type </t>
  </si>
  <si>
    <t>Width W(mm)</t>
  </si>
  <si>
    <t xml:space="preserve">Height H(mm) </t>
  </si>
  <si>
    <t xml:space="preserve">Thickness t(mm) </t>
  </si>
  <si>
    <t xml:space="preserve">Screed </t>
  </si>
  <si>
    <t>Reinforcement / Spacing</t>
  </si>
  <si>
    <t xml:space="preserve">Energy Breakers </t>
  </si>
  <si>
    <t xml:space="preserve">Cascade Steps </t>
  </si>
  <si>
    <t>T (mm)</t>
  </si>
  <si>
    <t>Vertical</t>
  </si>
  <si>
    <t xml:space="preserve">Horizontal </t>
  </si>
  <si>
    <t xml:space="preserve">Spacing (m) </t>
  </si>
  <si>
    <t>Width</t>
  </si>
  <si>
    <t xml:space="preserve">Height </t>
  </si>
  <si>
    <t>DS (M) - A</t>
  </si>
  <si>
    <t>w</t>
  </si>
  <si>
    <t>DS (M) - B</t>
  </si>
  <si>
    <t>DS (M) - C</t>
  </si>
  <si>
    <t>DS (M) - D</t>
  </si>
  <si>
    <t>DS (M) - E</t>
  </si>
  <si>
    <t>t</t>
  </si>
  <si>
    <t>DS (M) - F</t>
  </si>
  <si>
    <t>Screed</t>
  </si>
  <si>
    <t>DS (M) - P</t>
  </si>
  <si>
    <t>DS (M) - Q</t>
  </si>
  <si>
    <t>DS (B) - A (Type I)</t>
  </si>
  <si>
    <t xml:space="preserve">Berm </t>
  </si>
  <si>
    <t>DS (B) - B (Type I)</t>
  </si>
  <si>
    <t xml:space="preserve"> </t>
  </si>
  <si>
    <t>DS (B) - C (Type I)</t>
  </si>
  <si>
    <t>DS (K) - A</t>
  </si>
  <si>
    <t>DS (K) - B</t>
  </si>
  <si>
    <t>DS(M) - L  Type I</t>
  </si>
  <si>
    <t>DS(M) - L Type II</t>
  </si>
  <si>
    <t>DS(L) - A</t>
  </si>
  <si>
    <t>DS(L) - B</t>
  </si>
  <si>
    <t>DS(L) - C</t>
  </si>
  <si>
    <t>DS(L) - D</t>
  </si>
  <si>
    <t>DS(C) - A (Type I)</t>
  </si>
  <si>
    <t>DS(C) - B (Type I)</t>
  </si>
  <si>
    <t>DS(C) - C (Type I)</t>
  </si>
  <si>
    <t>DS(C) - D (Type I)</t>
  </si>
  <si>
    <t>DS(C) - E (Type I)</t>
  </si>
  <si>
    <t>DS(C) - A (Type II)</t>
  </si>
  <si>
    <t>DS(C) - B (Type II)</t>
  </si>
  <si>
    <t>DS(C) - C (Type II)</t>
  </si>
  <si>
    <t>DS(C) - D (Type II)</t>
  </si>
  <si>
    <t>DS(C) - E (Type II)</t>
  </si>
  <si>
    <t>Outer FW %</t>
  </si>
  <si>
    <t>Y10 RF</t>
  </si>
  <si>
    <t>Drains</t>
  </si>
  <si>
    <t>Total</t>
  </si>
  <si>
    <t xml:space="preserve">Nos </t>
  </si>
  <si>
    <t>SC</t>
  </si>
  <si>
    <t>Exc</t>
  </si>
  <si>
    <t>C15</t>
  </si>
  <si>
    <t>C25</t>
  </si>
  <si>
    <t>FW</t>
  </si>
  <si>
    <t>No's</t>
  </si>
  <si>
    <t>Cut off Drains</t>
  </si>
  <si>
    <t>DS-M-A</t>
  </si>
  <si>
    <t>T10</t>
  </si>
  <si>
    <t xml:space="preserve">DS-M-B </t>
  </si>
  <si>
    <t>DS-M-C</t>
  </si>
  <si>
    <t xml:space="preserve">DS-M-R </t>
  </si>
  <si>
    <t>DS-M-D</t>
  </si>
  <si>
    <t>Subsuface Drain</t>
  </si>
  <si>
    <t>PVC Pipe</t>
  </si>
  <si>
    <t>Aggrigate</t>
  </si>
  <si>
    <t>DS-M-E</t>
  </si>
  <si>
    <t>DS-M-F</t>
  </si>
  <si>
    <t>DS-M-P</t>
  </si>
  <si>
    <t>DS-M-Q</t>
  </si>
  <si>
    <t>DS-B-A</t>
  </si>
  <si>
    <t>DS-B-B</t>
  </si>
  <si>
    <t>DS-B-C</t>
  </si>
  <si>
    <t>DS-K-A</t>
  </si>
  <si>
    <t>DS-K-B</t>
  </si>
  <si>
    <t>DS-M-L (Type I)</t>
  </si>
  <si>
    <t>DS-M-L (Type II)</t>
  </si>
  <si>
    <t>DS-L-A</t>
  </si>
  <si>
    <t>DS-L-B</t>
  </si>
  <si>
    <t>DS-L-C</t>
  </si>
  <si>
    <t>DS-L-D</t>
  </si>
  <si>
    <t xml:space="preserve">Type I-Cascade Drains </t>
  </si>
  <si>
    <t>DS-C-A</t>
  </si>
  <si>
    <t xml:space="preserve">Steps </t>
  </si>
  <si>
    <t xml:space="preserve">Dowels </t>
  </si>
  <si>
    <t>DS-C-B</t>
  </si>
  <si>
    <t>DS-C-C</t>
  </si>
  <si>
    <t>DS-C-D</t>
  </si>
  <si>
    <t>DS-C-E</t>
  </si>
  <si>
    <t xml:space="preserve">Type II-Cascade Drains </t>
  </si>
  <si>
    <t>DS-C-F</t>
  </si>
  <si>
    <t>L</t>
  </si>
  <si>
    <t>W/Area</t>
  </si>
  <si>
    <t>Drain Length With Cover Slb area</t>
  </si>
  <si>
    <t>Cover Slab</t>
  </si>
  <si>
    <t>Letgth</t>
  </si>
  <si>
    <t>No. of C.Slabs</t>
  </si>
  <si>
    <t>G25</t>
  </si>
  <si>
    <t>159.75 Area</t>
  </si>
  <si>
    <t>Reinforcment</t>
  </si>
  <si>
    <t>Steel Grating</t>
  </si>
  <si>
    <t>Reshaping &amp; Gabion</t>
  </si>
  <si>
    <t>201(4)</t>
  </si>
  <si>
    <t>Removal of trees: 1,200 ≤ Girth &lt; 2,000 mm</t>
  </si>
  <si>
    <t>3.1.1.5</t>
  </si>
  <si>
    <t>201(5)</t>
  </si>
  <si>
    <t>Removal of trees: 2,000 &lt; Girth mm</t>
  </si>
  <si>
    <t>3.1.1.6</t>
  </si>
  <si>
    <t>Removal of stumps of previously fallan trees; 300≤ Girth&lt; 600mm</t>
  </si>
  <si>
    <t>3.1.1.7</t>
  </si>
  <si>
    <t>201(10)</t>
  </si>
  <si>
    <t>Removal of overhanging branches: 300 ≤ Girth</t>
  </si>
  <si>
    <t>Site 78</t>
  </si>
  <si>
    <t>DS M A</t>
  </si>
  <si>
    <t>Bolder Pack wall</t>
  </si>
  <si>
    <t>DS(M)-A DRAIN</t>
  </si>
  <si>
    <t>Boulder Pack Wall</t>
  </si>
  <si>
    <t xml:space="preserve">Wall </t>
  </si>
  <si>
    <t>Boulder Pack wall</t>
  </si>
  <si>
    <t>REDUCTION OF LANDSLIDE VULNERABILITY BY MITIGATION MEASURES 78Site - QUANTITY CALCULATION</t>
  </si>
  <si>
    <t>Supply and install (16 mm dia.) hot dipped galvanized mild steel grouted dowels</t>
  </si>
  <si>
    <t>3.2.1.1</t>
  </si>
  <si>
    <t>301(1)</t>
  </si>
  <si>
    <t>Excavation of slope up to required angle (soil suitable for filling and unsuitable for filling including soft rock)</t>
  </si>
  <si>
    <t>3.2.1.2</t>
  </si>
  <si>
    <t>301(2)</t>
  </si>
  <si>
    <r>
      <t>Excavation and disposal of Boulders - 0.25 m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- 1.0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(Provisional Quantity, rate shall include for backfilling holes )</t>
    </r>
  </si>
  <si>
    <t>3.2.1.3</t>
  </si>
  <si>
    <t>301(3)</t>
  </si>
  <si>
    <t>Excavation (chemical blasting) and disposal of Hard rock &gt; 1.0 m3 (Provisional Quantity , rate shall include for backfilling holes )</t>
  </si>
  <si>
    <t>3.2.1.4</t>
  </si>
  <si>
    <t>301(5)</t>
  </si>
  <si>
    <t>3.2.1</t>
  </si>
  <si>
    <t xml:space="preserve">SIDE SLOPE EXCAVATION OR TRIMMING </t>
  </si>
  <si>
    <t>BILL No. 2.1 - SITE CLEARING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</si>
  <si>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</si>
  <si>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</si>
  <si>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</si>
  <si>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</si>
  <si>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</si>
  <si>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</si>
  <si>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</si>
  <si>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</si>
  <si>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Total of Bill No 2.1 - Site Clearing (Transfer to Summary of Bills of Quantities)</t>
  </si>
  <si>
    <t>BILL No. 2.2 - EARTHWORKS</t>
  </si>
  <si>
    <t>2.2.1</t>
  </si>
  <si>
    <t>2.2.1.1</t>
  </si>
  <si>
    <t>2.2.1.2</t>
  </si>
  <si>
    <t>2.2.1.3</t>
  </si>
  <si>
    <t>2.2.1.4</t>
  </si>
  <si>
    <t>2.2.2</t>
  </si>
  <si>
    <t>2.2.2.1</t>
  </si>
  <si>
    <t>2.2.2.2</t>
  </si>
  <si>
    <t>2.2.2.3</t>
  </si>
  <si>
    <t>2.2.2.4</t>
  </si>
  <si>
    <t>2.2.2.5</t>
  </si>
  <si>
    <t>Total of Bill No 2.2 - Earthworks (Transfer to Summary of Bills of Quantities)</t>
  </si>
  <si>
    <t>BILL No. 2.3 - STRUCTURE CONSTRUCTION</t>
  </si>
  <si>
    <t>2.3.1</t>
  </si>
  <si>
    <t>2.3.1.1</t>
  </si>
  <si>
    <t>2.3.1.2</t>
  </si>
  <si>
    <t>2.3.1.3</t>
  </si>
  <si>
    <t>2.3.1.4</t>
  </si>
  <si>
    <t>2.3.2</t>
  </si>
  <si>
    <t>2.3.2.1</t>
  </si>
  <si>
    <t>2.3.2.2</t>
  </si>
  <si>
    <t>2.3.2.3</t>
  </si>
  <si>
    <t>2.3.2.4</t>
  </si>
  <si>
    <t>2.3.3</t>
  </si>
  <si>
    <t>2.3.3.1</t>
  </si>
  <si>
    <t>2.3.3.2</t>
  </si>
  <si>
    <t>2.3.3.4</t>
  </si>
  <si>
    <t>2.3.4</t>
  </si>
  <si>
    <t>2.3.4.1</t>
  </si>
  <si>
    <t>2.3.4.2</t>
  </si>
  <si>
    <t>2.3.4.3</t>
  </si>
  <si>
    <t>2.3.4.4</t>
  </si>
  <si>
    <t>2.3.5</t>
  </si>
  <si>
    <t>2.3.5.1</t>
  </si>
  <si>
    <t>Total of Bill No 2.3 - Structure Construction (Transfer to Summary of Bills of Quantities)</t>
  </si>
  <si>
    <t>Reshaping Gabion nailing</t>
  </si>
  <si>
    <t>Clearing and grubbing inclusive of backfilling holes and trenches caused by removal of stumps and boulders (Average depth 150mm)</t>
  </si>
  <si>
    <t>3.1.2</t>
  </si>
  <si>
    <t>REMOVAL OF EXISTING STRUCTURES</t>
  </si>
  <si>
    <t>3.1.2.1</t>
  </si>
  <si>
    <t>202(1)</t>
  </si>
  <si>
    <t>Dismantle and remove rubble / brick masonry structures</t>
  </si>
  <si>
    <t>3.1.2.2</t>
  </si>
  <si>
    <t>202(3)</t>
  </si>
  <si>
    <t>Dismantle and remove concrete (R/F or mass) structures</t>
  </si>
  <si>
    <r>
      <t xml:space="preserve">Excavation for  </t>
    </r>
    <r>
      <rPr>
        <b/>
        <sz val="10"/>
        <rFont val="Times New Roman"/>
        <family val="1"/>
      </rPr>
      <t xml:space="preserve">Gabian Wall, </t>
    </r>
    <r>
      <rPr>
        <sz val="10"/>
        <rFont val="Times New Roman"/>
        <family val="1"/>
      </rPr>
      <t>soil suitable for filling including soft rock for reuse(Rate shall include Excavation &amp; Backfill for the working space)</t>
    </r>
  </si>
  <si>
    <t>302(6)</t>
  </si>
  <si>
    <r>
      <t xml:space="preserve">Backfill behind the </t>
    </r>
    <r>
      <rPr>
        <b/>
        <sz val="10"/>
        <rFont val="Times New Roman"/>
        <family val="1"/>
      </rPr>
      <t>Gabian Wall</t>
    </r>
    <r>
      <rPr>
        <sz val="10"/>
        <rFont val="Times New Roman"/>
        <family val="1"/>
      </rPr>
      <t xml:space="preserve"> with suitable existing soil for structures.(Rate shall include for necessary compaction.)</t>
    </r>
  </si>
  <si>
    <t>3.2.2.6</t>
  </si>
  <si>
    <t>KERB DRAIN DS(K)-A</t>
  </si>
  <si>
    <t>CASCADE DRAIN DS(C)-E</t>
  </si>
  <si>
    <t>HOT DIPPED GALVANIZED MILD STEEL DOWELS</t>
  </si>
  <si>
    <t>Supply and install (16 mm dia. ) hot dipped galvanized mild steel grouted dowels</t>
  </si>
  <si>
    <t>3.3.6</t>
  </si>
  <si>
    <t>GABION WALL</t>
  </si>
  <si>
    <t>3.3.6.1</t>
  </si>
  <si>
    <t>503(1)</t>
  </si>
  <si>
    <t>Gabion wall (PVC coated galvanized wire)</t>
  </si>
  <si>
    <t>3.3.6.2</t>
  </si>
  <si>
    <t>3.3.6.3</t>
  </si>
  <si>
    <t>503 (3)</t>
  </si>
  <si>
    <t>Base preperation for gabion wall with 6" x 9" Rubble</t>
  </si>
  <si>
    <t>3.4.1</t>
  </si>
  <si>
    <t>SOIL NAILING</t>
  </si>
  <si>
    <t>3.4.1.1</t>
  </si>
  <si>
    <t>701(1)</t>
  </si>
  <si>
    <t>Temporary working platform for soil nailing works</t>
  </si>
  <si>
    <t>LS</t>
  </si>
  <si>
    <t>3.4.1.2</t>
  </si>
  <si>
    <t>701(2)b</t>
  </si>
  <si>
    <t>32mm dia. soil nails (less than or equal to 12m length) inserted into 125mm dia. bore hole with grouting</t>
  </si>
  <si>
    <t>3.4.1.3</t>
  </si>
  <si>
    <t>701(4)c</t>
  </si>
  <si>
    <t>Coated metallic mesh  Method including connecting clips and other necessary accessories as per detailed drawings of soil nailing</t>
  </si>
  <si>
    <t>3.4.1.4</t>
  </si>
  <si>
    <t>701(9)</t>
  </si>
  <si>
    <t>Grid beam concrete C 30/20 grid beams with nail heads including slope preparation, excavation, formwork, RF and dowels.</t>
  </si>
  <si>
    <t>3.4.1.5</t>
  </si>
  <si>
    <t>701(6)</t>
  </si>
  <si>
    <t>Concrete C30/20 boundary beams including slope preparation, excavation, formwork and reinforcement and dowels.</t>
  </si>
  <si>
    <t>3.4.1.6</t>
  </si>
  <si>
    <t>3.4.1.7</t>
  </si>
  <si>
    <t>701(10)</t>
  </si>
  <si>
    <t>Pull-Out test for test nails</t>
  </si>
  <si>
    <t>3.4.2</t>
  </si>
  <si>
    <t>HORIZONTAL DRAINS</t>
  </si>
  <si>
    <t>3.4.2.1</t>
  </si>
  <si>
    <t>702(1)</t>
  </si>
  <si>
    <r>
      <t xml:space="preserve">90mm dia </t>
    </r>
    <r>
      <rPr>
        <b/>
        <sz val="10"/>
        <rFont val="Times New Roman"/>
        <family val="1"/>
      </rPr>
      <t>Long Drain</t>
    </r>
    <r>
      <rPr>
        <sz val="10"/>
        <rFont val="Times New Roman"/>
        <family val="1"/>
      </rPr>
      <t xml:space="preserve"> with perforated type 1000 PVC pipes .  Rate shall include for drilling and associated work and disposal of driled material away from the site as directed by the Engineer.</t>
    </r>
  </si>
  <si>
    <t>SLOPE PROTECTION BY VEGETATION</t>
  </si>
  <si>
    <t>701(5)</t>
  </si>
  <si>
    <t>Coir mesh</t>
  </si>
  <si>
    <r>
      <t>m</t>
    </r>
    <r>
      <rPr>
        <vertAlign val="superscript"/>
        <sz val="10"/>
        <rFont val="Times New Roman"/>
        <family val="1"/>
      </rPr>
      <t>2</t>
    </r>
  </si>
  <si>
    <t>502(1)</t>
  </si>
  <si>
    <t>Turfing/Planting/Seeding on slope stabilized surface and regular maintenane for 03 months</t>
  </si>
  <si>
    <t>Turfing as directed by the Engineer, and regular maintanance for 03 months</t>
  </si>
  <si>
    <t>Total of Bill No 3.4 - Soil Nailing and Horizontal Draining (Transfer to Summary of Bills of Quantities)</t>
  </si>
  <si>
    <t>REDUCTION OF LANDSLIDE VULNERABILITY BY MITIGATION MEASURES NIVITHIGALA TOWN - QUANTITY CALCULATION</t>
  </si>
  <si>
    <t>~CS02</t>
  </si>
  <si>
    <t>CS02 - CS03</t>
  </si>
  <si>
    <t>CS03 - CS04</t>
  </si>
  <si>
    <t>CS04~</t>
  </si>
  <si>
    <t>`</t>
  </si>
  <si>
    <t>Gabion Wall</t>
  </si>
  <si>
    <t>Wall</t>
  </si>
  <si>
    <t xml:space="preserve">Base </t>
  </si>
  <si>
    <t>CS03 ~</t>
  </si>
  <si>
    <t>32mm dia                     6m</t>
  </si>
  <si>
    <t>Horizontal drain</t>
  </si>
  <si>
    <t>90mm</t>
  </si>
  <si>
    <t>Boundery Beams</t>
  </si>
  <si>
    <t>Vegetation</t>
  </si>
  <si>
    <t>W</t>
  </si>
  <si>
    <t>m2</t>
  </si>
  <si>
    <t>DS(M)A</t>
  </si>
  <si>
    <t>Site 60</t>
  </si>
  <si>
    <t>Nailing Area</t>
  </si>
  <si>
    <t>Net Mesh</t>
  </si>
  <si>
    <t>Nail 32 dia</t>
  </si>
  <si>
    <t>DS C E</t>
  </si>
  <si>
    <t>DS K A Kerb</t>
  </si>
  <si>
    <t>Gabion Wall T2</t>
  </si>
  <si>
    <t>Trimming &amp; Vegetation</t>
  </si>
  <si>
    <t>Vegitation</t>
  </si>
  <si>
    <t>Reshaping</t>
  </si>
  <si>
    <t>Clearing</t>
  </si>
  <si>
    <t>Boundary Beam</t>
  </si>
  <si>
    <t>H Drain</t>
  </si>
  <si>
    <t>Grid Beams</t>
  </si>
  <si>
    <t>Excavation</t>
  </si>
  <si>
    <t>Backfiling</t>
  </si>
  <si>
    <t>Gabion</t>
  </si>
  <si>
    <t>Area</t>
  </si>
  <si>
    <t>Base</t>
  </si>
  <si>
    <t>Geo textile</t>
  </si>
  <si>
    <t>BILL No. 4.1 - SITE CLEARING</t>
  </si>
  <si>
    <t>4.1.1</t>
  </si>
  <si>
    <t>Reshaping Gabion &amp; Nailing</t>
  </si>
  <si>
    <t>4.1.1.1</t>
  </si>
  <si>
    <t>4.1.1.2</t>
  </si>
  <si>
    <t>ROUGH QTY</t>
  </si>
  <si>
    <t>4.1.1.3</t>
  </si>
  <si>
    <t>4.1.1.4</t>
  </si>
  <si>
    <t>4.1.1.5</t>
  </si>
  <si>
    <t>4.1.1.6</t>
  </si>
  <si>
    <t>4.1.1.7</t>
  </si>
  <si>
    <t>4.1.2</t>
  </si>
  <si>
    <t>4.1.2.1</t>
  </si>
  <si>
    <t>4.1.2.2</t>
  </si>
  <si>
    <t>Total of Bill No 4.1 - Site Clearing (Transfer to Summary of Bills of Quantities)</t>
  </si>
  <si>
    <t>BILL No. 4.2 - EARTHWORKS</t>
  </si>
  <si>
    <t>4.2.1</t>
  </si>
  <si>
    <t>4.2.1.1</t>
  </si>
  <si>
    <t>Excavation of slope up to required angle (suitable &amp; unsuitable soils including soft rock)</t>
  </si>
  <si>
    <t>4.2.1.2</t>
  </si>
  <si>
    <t>Excavation– Boulders (0.25 m3-1.0 m3) - Provisional Quantity</t>
  </si>
  <si>
    <t>4.2.1.3</t>
  </si>
  <si>
    <t>Excavation (chemical blasting) of Hard rock &gt; 1.0 m3 (Provisional Quantity)</t>
  </si>
  <si>
    <t>4.2.1.4</t>
  </si>
  <si>
    <t>Disposal of excess soils away from site( provisional Qty.)</t>
  </si>
  <si>
    <t>4.2.2</t>
  </si>
  <si>
    <t>4.2.2.1</t>
  </si>
  <si>
    <t>4.2.2.2</t>
  </si>
  <si>
    <t>4.2.2.3</t>
  </si>
  <si>
    <t>4.2.2.4</t>
  </si>
  <si>
    <r>
      <t>Excavation of Boulders - 0.25 m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- 1.0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(Provisional Quantity)</t>
    </r>
  </si>
  <si>
    <t>4.2.2.5</t>
  </si>
  <si>
    <t>4.2.2.6</t>
  </si>
  <si>
    <t>Total of Bill No 4.2 - Earthworks (Transfer to Summary of Bills of Quantities)</t>
  </si>
  <si>
    <t>BILL No. 4.3 - STRUCTURE CONSTRUCTION</t>
  </si>
  <si>
    <t>4.3.1</t>
  </si>
  <si>
    <t>4.3.1.1</t>
  </si>
  <si>
    <t>4.3.1.2</t>
  </si>
  <si>
    <t>4.3.1.3</t>
  </si>
  <si>
    <t>4.3.1.4</t>
  </si>
  <si>
    <t>4.3.2</t>
  </si>
  <si>
    <t>4.3.2.1</t>
  </si>
  <si>
    <t>4.3.2.2</t>
  </si>
  <si>
    <t>4.3.2.3</t>
  </si>
  <si>
    <t>4.3.2.4</t>
  </si>
  <si>
    <t>4.3.3</t>
  </si>
  <si>
    <t xml:space="preserve">DS(C)-B CASCADE DRAIN </t>
  </si>
  <si>
    <t>4.3.3.1</t>
  </si>
  <si>
    <t>4.3.3.2</t>
  </si>
  <si>
    <t>4.3.4.3</t>
  </si>
  <si>
    <t>4.3.3.4</t>
  </si>
  <si>
    <t>4.3.4</t>
  </si>
  <si>
    <t>DS(B)-A BERM DRAIN</t>
  </si>
  <si>
    <t>4.3.4.1</t>
  </si>
  <si>
    <t>4.3.4.2</t>
  </si>
  <si>
    <t>4.3.4.4</t>
  </si>
  <si>
    <t>4.3.5</t>
  </si>
  <si>
    <t>4.3.5.1</t>
  </si>
  <si>
    <t>4.3.6</t>
  </si>
  <si>
    <t>GABION WALL TYPE I</t>
  </si>
  <si>
    <t>4.3.6.1</t>
  </si>
  <si>
    <t>4.3.6.2</t>
  </si>
  <si>
    <t>4.3.6.3</t>
  </si>
  <si>
    <t>GABION WALL TYPE II</t>
  </si>
  <si>
    <t>Total of Bill No 4.3 - Structure Construction (Transfer to Summary of Bills of Quantities)</t>
  </si>
  <si>
    <t>BILL No. 4.4 - SOIL NAILING AND HORIZONTAL DRAINS</t>
  </si>
  <si>
    <t xml:space="preserve">Note : Dowels will be used for fixing wire mesh and boundary beams whenever necessary and will be paid seperately </t>
  </si>
  <si>
    <t>4.4.1</t>
  </si>
  <si>
    <t>4.4.1.1</t>
  </si>
  <si>
    <t>4.4.1.2</t>
  </si>
  <si>
    <t>4.4.1.3</t>
  </si>
  <si>
    <t>4.4.1.4</t>
  </si>
  <si>
    <t>Grid beam (250x250)-concrete C 30/20 grid beams with nail heads including slope preparation, excavation, formwork, RF and dowels.</t>
  </si>
  <si>
    <t>4.4.1.5</t>
  </si>
  <si>
    <t>Concrete C30/20 boundary beams including slope preparation, excavation, formwork and reinforcement</t>
  </si>
  <si>
    <t>4.4.1.6</t>
  </si>
  <si>
    <t>4.4.1.7</t>
  </si>
  <si>
    <t>4.4.2</t>
  </si>
  <si>
    <t>Total of Bill No 4.4 - Soil Nailing and Horizontal Draining (Transfer to Summary of Bills of Quantities)</t>
  </si>
  <si>
    <t>BILL No. 4.5 - INCIDENTIAL CONSTRUCTION</t>
  </si>
  <si>
    <t>4.5.1</t>
  </si>
  <si>
    <t>GRASSING/PLANTING</t>
  </si>
  <si>
    <t>4.5.1.1</t>
  </si>
  <si>
    <t>4.5.1.2</t>
  </si>
  <si>
    <t>Turfing/Planting/Seeding on slope stabilized surface and regular maintenane for three months</t>
  </si>
  <si>
    <t>4.5.1.3</t>
  </si>
  <si>
    <t>502(2)</t>
  </si>
  <si>
    <t>Turfing as directed by the Engineer, and regular maintanance for three months</t>
  </si>
  <si>
    <t>Total of Bill No 4.5 - Incidential Construction (Transfer to Summary of Bills of Quantities)</t>
  </si>
  <si>
    <t>REDUCTION OF LANDSLIDE VULNERABILITY BY MITIGATION MEASURES SITE NO.84 - QUANTITY CALCULATION</t>
  </si>
  <si>
    <t>CS03 - CS06</t>
  </si>
  <si>
    <t>CS06~</t>
  </si>
  <si>
    <t>Wall Type I</t>
  </si>
  <si>
    <t>Wall Type II</t>
  </si>
  <si>
    <t>~CS 02</t>
  </si>
  <si>
    <t>CS03~</t>
  </si>
  <si>
    <t xml:space="preserve">32mm dia               </t>
  </si>
  <si>
    <t>10m</t>
  </si>
  <si>
    <t>12m</t>
  </si>
  <si>
    <t>Site 84</t>
  </si>
  <si>
    <t>CS Length</t>
  </si>
  <si>
    <t>Mesh</t>
  </si>
  <si>
    <t>DS B A Type I</t>
  </si>
  <si>
    <t xml:space="preserve">Backfilling </t>
  </si>
  <si>
    <t>Backfill (Gabion)</t>
  </si>
  <si>
    <t>Excavation (Gabion)</t>
  </si>
  <si>
    <t>Gabion Wall T1</t>
  </si>
  <si>
    <t>15m</t>
  </si>
  <si>
    <t>BILL No. 5.1 - SITE CLEARING</t>
  </si>
  <si>
    <t>5.1.1</t>
  </si>
  <si>
    <t>5.1.1.1</t>
  </si>
  <si>
    <t>5.1.1.2</t>
  </si>
  <si>
    <t>5.1.1.3</t>
  </si>
  <si>
    <t>5.1.1.4</t>
  </si>
  <si>
    <t>5.1.1.5</t>
  </si>
  <si>
    <t>5.1.1.6</t>
  </si>
  <si>
    <t>5.1.1.7</t>
  </si>
  <si>
    <t>5.1.2</t>
  </si>
  <si>
    <t>5.1.2.1</t>
  </si>
  <si>
    <t>5.1.2.2</t>
  </si>
  <si>
    <t>Total of Bill No 5.1 - Site Clearing (Transfer to Summary of Bills of Quantities)</t>
  </si>
  <si>
    <t>BILL No. 5.2 - EARTHWORKS</t>
  </si>
  <si>
    <t>5.2.1</t>
  </si>
  <si>
    <t>5.2.1.1</t>
  </si>
  <si>
    <t>5.2.1.2</t>
  </si>
  <si>
    <t>5.2.1.3</t>
  </si>
  <si>
    <t>5.2.1.4</t>
  </si>
  <si>
    <t>5.2.2</t>
  </si>
  <si>
    <t>5.2.2.1</t>
  </si>
  <si>
    <t>5.2.2.2</t>
  </si>
  <si>
    <t>5.2.2.3</t>
  </si>
  <si>
    <t>5.2.2.4</t>
  </si>
  <si>
    <t>5.2.2.5</t>
  </si>
  <si>
    <t>5.2.2.6</t>
  </si>
  <si>
    <t>Total of Bill No 5.2 - Earthworks (Transfer to Summary of Bills of Quantities)</t>
  </si>
  <si>
    <t>5.3.1</t>
  </si>
  <si>
    <t>5.3.1.1</t>
  </si>
  <si>
    <t>5.3.1.2</t>
  </si>
  <si>
    <t>5.3.1.3</t>
  </si>
  <si>
    <t>5.3.1.4</t>
  </si>
  <si>
    <t>5.3.2</t>
  </si>
  <si>
    <t>5.3.2.1</t>
  </si>
  <si>
    <t>5.3.2.2</t>
  </si>
  <si>
    <t>5.3.2.3</t>
  </si>
  <si>
    <t>5.3.2.4</t>
  </si>
  <si>
    <t>5.3.3</t>
  </si>
  <si>
    <t>5.3.3.1</t>
  </si>
  <si>
    <t>5.3.3.2</t>
  </si>
  <si>
    <t>5.3.3.4</t>
  </si>
  <si>
    <t>5.3.4</t>
  </si>
  <si>
    <t>5.3.4.1</t>
  </si>
  <si>
    <t>5.3.4.2</t>
  </si>
  <si>
    <t>5.3.4.3</t>
  </si>
  <si>
    <t>5.3.4.4</t>
  </si>
  <si>
    <t>5.3.5</t>
  </si>
  <si>
    <t>5.3.5.1</t>
  </si>
  <si>
    <t>5.3.6</t>
  </si>
  <si>
    <t>5.3.6.1</t>
  </si>
  <si>
    <t>5.3.6.2</t>
  </si>
  <si>
    <t>5.3.6.3</t>
  </si>
  <si>
    <t>Total of Bill No 5.3 - Structure Construction (Transfer to Summary of Bills of Quantities)</t>
  </si>
  <si>
    <t>REDUCTION OF LANDSLIDE VULNERABILITY BY MITIGATION MEASURES SITE NO.87 - QUANTITY CALCULATION</t>
  </si>
  <si>
    <t>~CS01</t>
  </si>
  <si>
    <t>CS01 - CS02</t>
  </si>
  <si>
    <t>CS04 - CS05</t>
  </si>
  <si>
    <t>CS05 - CS06</t>
  </si>
  <si>
    <t>~CS 04</t>
  </si>
  <si>
    <t>8m</t>
  </si>
  <si>
    <t>6m</t>
  </si>
  <si>
    <t>~CS03</t>
  </si>
  <si>
    <t>CS03 - CS01</t>
  </si>
  <si>
    <t>CS01~</t>
  </si>
  <si>
    <t>Site 87</t>
  </si>
  <si>
    <t xml:space="preserve">Geo Textile </t>
  </si>
  <si>
    <t>20m</t>
  </si>
  <si>
    <t>PROJECT : REDUCTION OF LANDSLIDE VULNERABILITY BY MITIGATION MEASURES</t>
  </si>
  <si>
    <t xml:space="preserve">
</t>
  </si>
  <si>
    <t>GRAND SUMMARY</t>
  </si>
  <si>
    <t>BILL No. 01 - GENERAL PRELIMINARIES EXCEPT PROVISIONAL SUM</t>
  </si>
  <si>
    <t>ADD 10%  PHYSICAL CONTINGENCIES TO SUB TOTAL</t>
  </si>
  <si>
    <t>ADD 10%  PRICE CONTINGENCIES TO SUB TOTAL</t>
  </si>
  <si>
    <t>PROVISIONAL SUMS</t>
  </si>
  <si>
    <t>Rs.</t>
  </si>
  <si>
    <t>ADD 08% VAT</t>
  </si>
  <si>
    <t>BILL No. 01 - GENERAL PRELIMINARIES</t>
  </si>
  <si>
    <t>CONTRACTOR'S SITE ESTABLISHMENT</t>
  </si>
  <si>
    <t>1.1.1</t>
  </si>
  <si>
    <t>106.4(1)</t>
  </si>
  <si>
    <t xml:space="preserve">Mobilization of Contractor's Facilities and Plant/ Equipment </t>
  </si>
  <si>
    <t>1.1.2</t>
  </si>
  <si>
    <t>106.4(2)</t>
  </si>
  <si>
    <t xml:space="preserve">De-mobilization of Contractor's Facilities and Plant/Equipment </t>
  </si>
  <si>
    <t>1.1.3</t>
  </si>
  <si>
    <t>106.4(3)</t>
  </si>
  <si>
    <t>Maintenance of Site establishment for the Contractor</t>
  </si>
  <si>
    <t>mth</t>
  </si>
  <si>
    <t>QUALITY STANDARD &amp; PROGRESS</t>
  </si>
  <si>
    <t>1.2.1</t>
  </si>
  <si>
    <t>106.5(1)</t>
  </si>
  <si>
    <t>Progress Reports</t>
  </si>
  <si>
    <t>1.2.2</t>
  </si>
  <si>
    <t>108(1)</t>
  </si>
  <si>
    <t>Provision of standards/ technical literatures as required by the Engineer</t>
  </si>
  <si>
    <t>PS</t>
  </si>
  <si>
    <t>1.2.3</t>
  </si>
  <si>
    <t>Allow for overhead and profit by the contractor for providing  standards/ technical literatures as required by the Engineer</t>
  </si>
  <si>
    <t>item</t>
  </si>
  <si>
    <t>PROJECT NAME BOARDS/ PLAQUES</t>
  </si>
  <si>
    <t>1.3.1</t>
  </si>
  <si>
    <t>106.6(1)</t>
  </si>
  <si>
    <t>Provide and Maintain project Name Boards</t>
  </si>
  <si>
    <t>1.3.2</t>
  </si>
  <si>
    <t>106.6(2)</t>
  </si>
  <si>
    <t>Project Inauguration Plaque and related services</t>
  </si>
  <si>
    <t>1.3.3</t>
  </si>
  <si>
    <t>Allow for overhead and profit by the contractor for providing Project Inauguration Plaque and related services</t>
  </si>
  <si>
    <t>SERVICES</t>
  </si>
  <si>
    <t>1.4.1</t>
  </si>
  <si>
    <t>110(1)</t>
  </si>
  <si>
    <t>Temporary supporting and protecting public utility services during execution of works</t>
  </si>
  <si>
    <t>1.4.2</t>
  </si>
  <si>
    <t>Allow for overhead and profit by the contractor for temporary supporting and protecting public utility services during execution of works</t>
  </si>
  <si>
    <t>SETTING-OUT, CROSS SECTION SURVEY &amp; DRAWINGS</t>
  </si>
  <si>
    <t>1.5.1</t>
  </si>
  <si>
    <t>115(1)</t>
  </si>
  <si>
    <t>Allow for setting out work, working drawings, as build drawings and cross sections</t>
  </si>
  <si>
    <t>ENVIRONMENTAL MANAGEMENT</t>
  </si>
  <si>
    <t>1.6.1</t>
  </si>
  <si>
    <t>2000(1)</t>
  </si>
  <si>
    <t>Allow for submission of satisfactory Environmental Management ActionPlan (EMAP) and on-site arrangement before commencing the project actions</t>
  </si>
  <si>
    <t>1.6.2</t>
  </si>
  <si>
    <t>2000(2)</t>
  </si>
  <si>
    <t>Allow for Baseline Environmental Monitoring and submission of the report</t>
  </si>
  <si>
    <t>1.6.3</t>
  </si>
  <si>
    <t>2000(4)</t>
  </si>
  <si>
    <t>1.6.4</t>
  </si>
  <si>
    <t>TRAFFIC CONTROL</t>
  </si>
  <si>
    <t>1.7.1</t>
  </si>
  <si>
    <t>101(1)</t>
  </si>
  <si>
    <t>Management, Safety &amp; Control &amp; Temporary Diversion of
Traffic, including provision of a general traffic management plan</t>
  </si>
  <si>
    <t>HEALTH &amp; SAFETY</t>
  </si>
  <si>
    <t>1.8.1</t>
  </si>
  <si>
    <t>2003(1)</t>
  </si>
  <si>
    <t>Health and safety meassures during construction confirming to the latest industrial standards</t>
  </si>
  <si>
    <t>1.8.2</t>
  </si>
  <si>
    <t>2003(2)</t>
  </si>
  <si>
    <t>Awareness Programme for STDs</t>
  </si>
  <si>
    <t>1.8.3</t>
  </si>
  <si>
    <t>Allow for overhead and profit by the contractor for the awareness Programme for STDs</t>
  </si>
  <si>
    <t>UTILITY RELOCATION</t>
  </si>
  <si>
    <t>Proj manager</t>
  </si>
  <si>
    <t>full</t>
  </si>
  <si>
    <t>1.9.1</t>
  </si>
  <si>
    <t>203(1)</t>
  </si>
  <si>
    <t>Relocation of utility services as per requirements of the utility service agency</t>
  </si>
  <si>
    <t>Geo technical Engineer</t>
  </si>
  <si>
    <t>1.9.2</t>
  </si>
  <si>
    <t>Allow for overhead and profit by the contractor for work involved except payment to relevant authorities for relocation of utility services.</t>
  </si>
  <si>
    <t>Surveyor</t>
  </si>
  <si>
    <t>1.10</t>
  </si>
  <si>
    <t>CONSTRUCTION MANAGEMENT &amp; STAFF</t>
  </si>
  <si>
    <t>site engineer</t>
  </si>
  <si>
    <t>1.10.1</t>
  </si>
  <si>
    <t>120(1)</t>
  </si>
  <si>
    <t>Employing all necessary construction management staff &amp; technical supervisory staff</t>
  </si>
  <si>
    <t>QA/QC</t>
  </si>
  <si>
    <t>1.11</t>
  </si>
  <si>
    <t>MONITORING</t>
  </si>
  <si>
    <t xml:space="preserve">Safety officer </t>
  </si>
  <si>
    <t>1.11.1</t>
  </si>
  <si>
    <t>703(1)</t>
  </si>
  <si>
    <t>Instrument supply and installation as Instructed by the Engineer</t>
  </si>
  <si>
    <t>Technical officer</t>
  </si>
  <si>
    <t>1.11.2</t>
  </si>
  <si>
    <t>Allow for overhead and profit by the contractor for work related to Instrument supply and installation as Instructed by the Engineer</t>
  </si>
  <si>
    <t>Item</t>
  </si>
  <si>
    <t>1.11.3</t>
  </si>
  <si>
    <t>703(2)</t>
  </si>
  <si>
    <t>Instrument monitoring &amp; testing as Instructed by the Engineer</t>
  </si>
  <si>
    <t>QS</t>
  </si>
  <si>
    <t>1.12</t>
  </si>
  <si>
    <t>1.12.1</t>
  </si>
  <si>
    <t>Removal of existing srtuctures and related work</t>
  </si>
  <si>
    <t>1.12.2</t>
  </si>
  <si>
    <t>Allow for overhead and profit by the contractor for Removal of existing srtuctures and related work</t>
  </si>
  <si>
    <t>%</t>
  </si>
  <si>
    <t>1.13</t>
  </si>
  <si>
    <t>1.13.1</t>
  </si>
  <si>
    <t>1.13.2</t>
  </si>
  <si>
    <t>Total of Bill No 1 - Preliminaries without PS (Transfer to Summary of Bills of Quantities)</t>
  </si>
  <si>
    <t>ITEM</t>
  </si>
  <si>
    <t>QTY.</t>
  </si>
  <si>
    <t>AMOUNT</t>
  </si>
  <si>
    <t>LABOUR</t>
  </si>
  <si>
    <t>Skilled Labour</t>
  </si>
  <si>
    <t>hr</t>
  </si>
  <si>
    <t>Unskilled Labour</t>
  </si>
  <si>
    <t>Mason</t>
  </si>
  <si>
    <t>Carpenter</t>
  </si>
  <si>
    <t>Steel fixer</t>
  </si>
  <si>
    <t>Mechanic</t>
  </si>
  <si>
    <t>Plumber, Electrician</t>
  </si>
  <si>
    <t>Welder, Fitter</t>
  </si>
  <si>
    <t>Driver</t>
  </si>
  <si>
    <t>MATERIAL</t>
  </si>
  <si>
    <t>Cement</t>
  </si>
  <si>
    <t>50 kg bag</t>
  </si>
  <si>
    <t>Sand</t>
  </si>
  <si>
    <t>20 mm agregate</t>
  </si>
  <si>
    <t>Gravel(20-200mm)</t>
  </si>
  <si>
    <t>Mild Steel reinforcement</t>
  </si>
  <si>
    <t>Tor Steel reinforcement</t>
  </si>
  <si>
    <t>PVC Pipes 90 mm</t>
  </si>
  <si>
    <t>PVC Pipes 75 mm</t>
  </si>
  <si>
    <t>Random Rubble (100mm)</t>
  </si>
  <si>
    <t>Random Rubble (225mm)</t>
  </si>
  <si>
    <t>Timber Plywood Sheet 12mm</t>
  </si>
  <si>
    <t>Asphalt concrete: binder course material</t>
  </si>
  <si>
    <t>Mt</t>
  </si>
  <si>
    <t>Asphalt concrete: wearing course material</t>
  </si>
  <si>
    <t>Bituminous Emulsion CSS-1</t>
  </si>
  <si>
    <t>liter</t>
  </si>
  <si>
    <t>Bituminous Emulsion (CRS-1)</t>
  </si>
  <si>
    <t>Bituminous Emulsion (CRS-2)</t>
  </si>
  <si>
    <t>Aggregate Base Course</t>
  </si>
  <si>
    <t>Grade 25 Readymix Concrete</t>
  </si>
  <si>
    <t>PLANT</t>
  </si>
  <si>
    <t>Hydraulic Excavator 130HP</t>
  </si>
  <si>
    <t>Dump Truck/Tipper 20T</t>
  </si>
  <si>
    <t>Km</t>
  </si>
  <si>
    <t>feb</t>
  </si>
  <si>
    <t>Tractor/Trailer 100HP</t>
  </si>
  <si>
    <t xml:space="preserve">Air Compressor 450 cfm </t>
  </si>
  <si>
    <t>Soil nailing machine with accessories</t>
  </si>
  <si>
    <t>Backhoe Loader (JCB)</t>
  </si>
  <si>
    <t>Shotcrete Gunning machine</t>
  </si>
  <si>
    <t>Concrete Mixer</t>
  </si>
  <si>
    <t>Generator (420 KW )</t>
  </si>
  <si>
    <t>Long reach Excavator</t>
  </si>
  <si>
    <t>Vibrating Rammer</t>
  </si>
  <si>
    <t>Day</t>
  </si>
  <si>
    <t>Plate Compactor</t>
  </si>
  <si>
    <t xml:space="preserve">1 Tonn Roller </t>
  </si>
  <si>
    <t>5 Tonn Roller</t>
  </si>
  <si>
    <t>Jack hammer</t>
  </si>
  <si>
    <t>CLEARING &amp; GRUBBING</t>
  </si>
  <si>
    <t>6.1.1.1</t>
  </si>
  <si>
    <t>6.1.1.2</t>
  </si>
  <si>
    <t>Removal of trees: 600 ≤ Girth &lt; 1,200 mm</t>
  </si>
  <si>
    <t>6.1.2.1</t>
  </si>
  <si>
    <t>6.1.2.2</t>
  </si>
  <si>
    <t>Nailing</t>
  </si>
  <si>
    <t>6.2.1.1</t>
  </si>
  <si>
    <t>6.2.1.2</t>
  </si>
  <si>
    <t>6.2.2.1</t>
  </si>
  <si>
    <t>6.2.2.2</t>
  </si>
  <si>
    <r>
      <t xml:space="preserve">Excavation for </t>
    </r>
    <r>
      <rPr>
        <b/>
        <sz val="10"/>
        <rFont val="Times New Roman"/>
        <family val="1"/>
      </rPr>
      <t xml:space="preserve"> Resting Type Retaining Wall, </t>
    </r>
    <r>
      <rPr>
        <sz val="10"/>
        <rFont val="Times New Roman"/>
        <family val="1"/>
      </rPr>
      <t>soil suitable for filling including soft rock for reuse(Rate shall include Excavation &amp; Backfill for the working space)</t>
    </r>
  </si>
  <si>
    <r>
      <t xml:space="preserve">Backfill behind the </t>
    </r>
    <r>
      <rPr>
        <b/>
        <sz val="10"/>
        <rFont val="Times New Roman"/>
        <family val="1"/>
      </rPr>
      <t>Resting Type Retaining Wall</t>
    </r>
    <r>
      <rPr>
        <sz val="10"/>
        <rFont val="Times New Roman"/>
        <family val="1"/>
      </rPr>
      <t xml:space="preserve"> with suitable existing soil.(Rate shall include for necessary compaction.)</t>
    </r>
  </si>
  <si>
    <t xml:space="preserve">DS(C)-A CASCADE DRAIN </t>
  </si>
  <si>
    <t xml:space="preserve">RESTING TYPE RETAINING WALL </t>
  </si>
  <si>
    <t xml:space="preserve">Concrete C25/20 for base. Rate shall include expansion joints </t>
  </si>
  <si>
    <t>Formwork for concrete sides of walls plain smooth finish</t>
  </si>
  <si>
    <t>603(1)</t>
  </si>
  <si>
    <t>RR Masonry using cement mortar</t>
  </si>
  <si>
    <t>405(2)</t>
  </si>
  <si>
    <t>Geotextile/ Filter fabric</t>
  </si>
  <si>
    <t>302(5)</t>
  </si>
  <si>
    <t>Backfill with crush stone aggregate (20-200mm)</t>
  </si>
  <si>
    <t>406(1)</t>
  </si>
  <si>
    <t>90mm dia. PVC Weep holes (type 600) for walls</t>
  </si>
  <si>
    <t>603(3)</t>
  </si>
  <si>
    <t xml:space="preserve">Plastering </t>
  </si>
  <si>
    <t xml:space="preserve">COVER SLABS </t>
  </si>
  <si>
    <t>SAFETY FENCE (CHAIN LINK FENCE)</t>
  </si>
  <si>
    <t>504(1)</t>
  </si>
  <si>
    <t>Chain link wire fence, core wire diameter 3.0 mm with 50mm x 50mm openings, fence height 1.5 m, including GI pipes / posts(in 2m intervals), Excavation, Concrete works and all as per thedetailed  drawing</t>
  </si>
  <si>
    <t>Resting Type wall</t>
  </si>
  <si>
    <t>LOCATION 89 QUANTITY CALCULATION</t>
  </si>
  <si>
    <t xml:space="preserve">Drains </t>
  </si>
  <si>
    <t xml:space="preserve">RRM Wall </t>
  </si>
  <si>
    <t xml:space="preserve">Reataining Wall 01 </t>
  </si>
  <si>
    <t xml:space="preserve">CS 2 - CS 18 </t>
  </si>
  <si>
    <t>CS2</t>
  </si>
  <si>
    <t>CS18</t>
  </si>
  <si>
    <t>Reataining Wall 02</t>
  </si>
  <si>
    <t xml:space="preserve">CS 8 - CS 6 </t>
  </si>
  <si>
    <t>0 - CS6</t>
  </si>
  <si>
    <t>CS6 - CS 7</t>
  </si>
  <si>
    <t>CS7- CS 8</t>
  </si>
  <si>
    <t>CS8- C</t>
  </si>
  <si>
    <t>Reataining Wall 03</t>
  </si>
  <si>
    <t>CS 10 - CS 19</t>
  </si>
  <si>
    <t>0 - CS10</t>
  </si>
  <si>
    <t>CS10 - CS 11</t>
  </si>
  <si>
    <t>CS11- CS 19</t>
  </si>
  <si>
    <t>CS19- C</t>
  </si>
  <si>
    <t>Reataining Wall 04</t>
  </si>
  <si>
    <t>CS 12 - CS 17</t>
  </si>
  <si>
    <t>0 - CS12</t>
  </si>
  <si>
    <t>CS12 - CS 13</t>
  </si>
  <si>
    <t>CS13- CS 14</t>
  </si>
  <si>
    <t>CS14- CS 15</t>
  </si>
  <si>
    <t>CS15- CS 17</t>
  </si>
  <si>
    <t>CS17- C</t>
  </si>
  <si>
    <t xml:space="preserve">Disposal of Excavated soil </t>
  </si>
  <si>
    <t>~CS 12 - CS 13</t>
  </si>
  <si>
    <t xml:space="preserve">Disposal of excavated soil </t>
  </si>
  <si>
    <t xml:space="preserve">RRM Retaining Wall </t>
  </si>
  <si>
    <t xml:space="preserve">cover slabs </t>
  </si>
  <si>
    <t>CS 2</t>
  </si>
  <si>
    <t>Ch 0.00 - 3.50</t>
  </si>
  <si>
    <t>Ch 3.50 - 8.50</t>
  </si>
  <si>
    <t>CS 18</t>
  </si>
  <si>
    <t>Ch 8.50 - 12.50</t>
  </si>
  <si>
    <t>Ch 12.50 - 19.00</t>
  </si>
  <si>
    <t>CS 8</t>
  </si>
  <si>
    <t>Ch 0.00 - 3.00</t>
  </si>
  <si>
    <t>CS 7</t>
  </si>
  <si>
    <t>Ch 3.00 - 9.00</t>
  </si>
  <si>
    <t>CS 6</t>
  </si>
  <si>
    <t>Ch 9.00 -19.50</t>
  </si>
  <si>
    <t>CS 10</t>
  </si>
  <si>
    <t>Ch 0.00 - 9.20</t>
  </si>
  <si>
    <t>CS 11</t>
  </si>
  <si>
    <t>Ch 9.20 - 17.00</t>
  </si>
  <si>
    <t>CS 19</t>
  </si>
  <si>
    <t>Ch 17.00 -30.20</t>
  </si>
  <si>
    <t>CS 12</t>
  </si>
  <si>
    <t>Ch 60.50 - 51.75</t>
  </si>
  <si>
    <t>CS 13</t>
  </si>
  <si>
    <t>Ch 51.75 - 41.75</t>
  </si>
  <si>
    <t>CS 14</t>
  </si>
  <si>
    <t>Ch 41.75 - 32.75</t>
  </si>
  <si>
    <t>CS 15</t>
  </si>
  <si>
    <t>Ch 32.75 - 20.50</t>
  </si>
  <si>
    <t>CS 17</t>
  </si>
  <si>
    <t>Ch 20.5 - 0</t>
  </si>
  <si>
    <t xml:space="preserve">C15 Screed Conc </t>
  </si>
  <si>
    <t xml:space="preserve">C25 Conc </t>
  </si>
  <si>
    <t>20-200mm aggregate backfill</t>
  </si>
  <si>
    <t>90mm weep holes</t>
  </si>
  <si>
    <t xml:space="preserve">Geotextile </t>
  </si>
  <si>
    <t xml:space="preserve">Cement;Sand plaster </t>
  </si>
  <si>
    <t xml:space="preserve">Reinforcemnt </t>
  </si>
  <si>
    <t>Reataining Wall 01</t>
  </si>
  <si>
    <t xml:space="preserve">Vertical </t>
  </si>
  <si>
    <t xml:space="preserve">Formwork </t>
  </si>
  <si>
    <t xml:space="preserve">Cover Slabs </t>
  </si>
  <si>
    <t>C25 Conc (DS M -C)</t>
  </si>
  <si>
    <t xml:space="preserve">Reinforcement </t>
  </si>
  <si>
    <t>Horizontal</t>
  </si>
  <si>
    <t xml:space="preserve">Chain Link Fence </t>
  </si>
  <si>
    <t>Crack Sealing</t>
  </si>
  <si>
    <t>Trimming Reshaping</t>
  </si>
  <si>
    <t>Reshaping &amp; Trimming</t>
  </si>
  <si>
    <t xml:space="preserve">DS(C)-C CASCADE DRAIN </t>
  </si>
  <si>
    <t xml:space="preserve">Note : Dowels will be used for fixing wire mesh whenever necessary and will be paid seperately </t>
  </si>
  <si>
    <t>Coated Metallic Mesh for Concrete Pillow Method including connecting clips and other necessary accessories</t>
  </si>
  <si>
    <t>Grid beam (300x300)-concrete C 30/20 grid beams with nail heads including slope preparation, excavation, formwork, RF and dowels.</t>
  </si>
  <si>
    <t>Rough QTY</t>
  </si>
  <si>
    <t>LOCATION 90L1 QUANTITY CALCULATION</t>
  </si>
  <si>
    <t>CS01-CS02</t>
  </si>
  <si>
    <t>CS02-CS03</t>
  </si>
  <si>
    <t>CS03-CS04</t>
  </si>
  <si>
    <t>Metalic mesh/Coir mesh</t>
  </si>
  <si>
    <t>32mm dia                      06m</t>
  </si>
  <si>
    <t>Gabion Construction</t>
  </si>
  <si>
    <t>Crack sealing Area</t>
  </si>
  <si>
    <t>Site No 90 L1</t>
  </si>
  <si>
    <t>Section</t>
  </si>
  <si>
    <t>Clrearing</t>
  </si>
  <si>
    <t>DS C C</t>
  </si>
  <si>
    <t>Bou. Beam</t>
  </si>
  <si>
    <t>Soil nailing</t>
  </si>
  <si>
    <t>32mm dia</t>
  </si>
  <si>
    <t>H drain</t>
  </si>
  <si>
    <t>90mm dia</t>
  </si>
  <si>
    <t>Other Area</t>
  </si>
  <si>
    <r>
      <t xml:space="preserve">Excavation for  </t>
    </r>
    <r>
      <rPr>
        <b/>
        <sz val="10"/>
        <rFont val="Times New Roman"/>
        <family val="1"/>
      </rPr>
      <t xml:space="preserve">Gravity Wall, </t>
    </r>
    <r>
      <rPr>
        <sz val="10"/>
        <rFont val="Times New Roman"/>
        <family val="1"/>
      </rPr>
      <t>soil suitable for filling including soft rock for reuse(Rate shall include Excavation &amp; Backfill for the working space)</t>
    </r>
  </si>
  <si>
    <r>
      <t xml:space="preserve">Backfill behind the </t>
    </r>
    <r>
      <rPr>
        <b/>
        <sz val="10"/>
        <rFont val="Times New Roman"/>
        <family val="1"/>
      </rPr>
      <t>Gravity Wall</t>
    </r>
    <r>
      <rPr>
        <sz val="10"/>
        <rFont val="Times New Roman"/>
        <family val="1"/>
      </rPr>
      <t xml:space="preserve"> with suitable existing soil for structures.(Rate shall include for necessary compaction.)</t>
    </r>
  </si>
  <si>
    <t>DS(M)-D DRAIN</t>
  </si>
  <si>
    <t xml:space="preserve">DS(C)-D CASCADE DRAIN </t>
  </si>
  <si>
    <t>GRAVITY WALL</t>
  </si>
  <si>
    <t>Typical drawing Not found. quantities calculated using previous typical drawings</t>
  </si>
  <si>
    <t>Lean Concrete C15/20 for beds poured on or against earth or unblinded hardcore</t>
  </si>
  <si>
    <t>Concrete C25/20 for Base of wall</t>
  </si>
  <si>
    <t>405(1)</t>
  </si>
  <si>
    <t>Aggregate backfill (20- 200mm)</t>
  </si>
  <si>
    <t>Weep hole using  PVC pipe (type 600) - 90mm dia</t>
  </si>
  <si>
    <t>Plastering</t>
  </si>
  <si>
    <t>CHAIN LINK FENCE</t>
  </si>
  <si>
    <t>Chain link wire fence, core wire diameter 3.0 mm with 50mm x 50mm openings, fence height 1.5 m, including GI pipes / posts, Excavation, Concrete works and all as per detailed drawing no.RLVMMP/WORKS/NCB/G3/T/DR-12</t>
  </si>
  <si>
    <t>CS01-CS03</t>
  </si>
  <si>
    <t>~CS05</t>
  </si>
  <si>
    <t>CS05-CS06</t>
  </si>
  <si>
    <t>Gravity Wall</t>
  </si>
  <si>
    <t>Wall - RRM</t>
  </si>
  <si>
    <t>G 25</t>
  </si>
  <si>
    <t>Aggregate</t>
  </si>
  <si>
    <t>Plaster</t>
  </si>
  <si>
    <t>Laps</t>
  </si>
  <si>
    <t>Weep hole</t>
  </si>
  <si>
    <t>Hydroseeding</t>
  </si>
  <si>
    <t>Site 90 L2</t>
  </si>
  <si>
    <t>Backfill</t>
  </si>
  <si>
    <t>DS M D</t>
  </si>
  <si>
    <t>DS C D</t>
  </si>
  <si>
    <t>Gravity wall</t>
  </si>
  <si>
    <t>C.Fence</t>
  </si>
  <si>
    <t>2.1.2</t>
  </si>
  <si>
    <t>2.1.2.1</t>
  </si>
  <si>
    <t>2.1.2.2</t>
  </si>
  <si>
    <t>2.3.6</t>
  </si>
  <si>
    <t>2.3.6.1</t>
  </si>
  <si>
    <t>2.3.6.2</t>
  </si>
  <si>
    <t xml:space="preserve">Landslide Mitigation Works in 32 sites of phase-II in Kalutara, Rathnapura and Matara Districts. </t>
  </si>
  <si>
    <t>Contract No: RLVMMP/WORKS/ 07</t>
  </si>
  <si>
    <t>LOT -05 - BILLS OF QUANTITIES</t>
  </si>
  <si>
    <t>1.6.5</t>
  </si>
  <si>
    <t>2000(3)</t>
  </si>
  <si>
    <t xml:space="preserve">Monitoring Environmental Quality Parameters </t>
  </si>
  <si>
    <t>Allow for overhead and profit by the contractor for Monitoring Environmental Quality Parameters</t>
  </si>
  <si>
    <t>4.4.2.1</t>
  </si>
  <si>
    <t>LANDSLIDE MITIGATION WORKS AT 05 LOCATIONS IN  KALUTARA  DISTRICT (SITE NO.80,84,87,89,90)</t>
  </si>
  <si>
    <t>BILL No. 2.2- EARTH WORKS</t>
  </si>
  <si>
    <t>2.2.2.6</t>
  </si>
  <si>
    <t>2.3.3.3</t>
  </si>
  <si>
    <t>2.3.6.3</t>
  </si>
  <si>
    <t>BILL No. 2.4 - SOIL NAILING, HORIZONTAL DRAINS AND VEGETATION</t>
  </si>
  <si>
    <t>2.4.1</t>
  </si>
  <si>
    <t>2.4.1.1</t>
  </si>
  <si>
    <t>2.4.1.2</t>
  </si>
  <si>
    <t>2.4.1.3</t>
  </si>
  <si>
    <t>2.4.1.4</t>
  </si>
  <si>
    <t>2.4.1.5</t>
  </si>
  <si>
    <t>2.4.1.6</t>
  </si>
  <si>
    <t>2.4.1.7</t>
  </si>
  <si>
    <t>2.4.2</t>
  </si>
  <si>
    <t>2.4.2.1</t>
  </si>
  <si>
    <t>2.4.3</t>
  </si>
  <si>
    <t>2.4.3.1</t>
  </si>
  <si>
    <t>2.4.3.2</t>
  </si>
  <si>
    <t>2.4.3.3</t>
  </si>
  <si>
    <t>3.3.7</t>
  </si>
  <si>
    <t>3.3.7.1</t>
  </si>
  <si>
    <t>3.3.7.2</t>
  </si>
  <si>
    <t>3.3.7.3</t>
  </si>
  <si>
    <t>BILL No. 3.4 - SOIL NAILING AND HORIZONTAL DRAINS</t>
  </si>
  <si>
    <t>BILL No. 3.5 - INCIDENTIAL CONSTRUCTION</t>
  </si>
  <si>
    <t>3.5.1</t>
  </si>
  <si>
    <t>3.5.1.1</t>
  </si>
  <si>
    <t>3.5.1.2</t>
  </si>
  <si>
    <t>3.5.1.3</t>
  </si>
  <si>
    <t>Total of Bill No 3.5 - Incidential Construction (Transfer to Summary of Bills of Quantities)</t>
  </si>
  <si>
    <t>Total of Bill No 2.4 - Soil Nailing and Horizontal Draining (Transfer to Summary of Bills of Quantities)</t>
  </si>
  <si>
    <t>4.3.3.3</t>
  </si>
  <si>
    <t>BILL No.5.3 - STRUCTURE CONSTRUCTION</t>
  </si>
  <si>
    <t>5.3.3.3</t>
  </si>
  <si>
    <t xml:space="preserve">BILL NO. 03 - 
REDUCTION OF LANDSLIDE VULNERABILITY BY MITIGATION MEASURES 
BETWEEN CULVERT NO. 25/3~25/4 ALONG PELAWATTA - NELUWA ROAD (B363) (SITE NO.84)
</t>
  </si>
  <si>
    <t>5.3.6.4</t>
  </si>
  <si>
    <t>5.3.6.5</t>
  </si>
  <si>
    <t>5.3.6.6</t>
  </si>
  <si>
    <t>5.3.6.7</t>
  </si>
  <si>
    <t>5.3.6.8</t>
  </si>
  <si>
    <t>5.3.6.9</t>
  </si>
  <si>
    <t>5.3.7</t>
  </si>
  <si>
    <t>5.3.7.1</t>
  </si>
  <si>
    <t>5.3.7.2</t>
  </si>
  <si>
    <t>5.3.7.3</t>
  </si>
  <si>
    <t>5.3.8</t>
  </si>
  <si>
    <t>5.3.8.1</t>
  </si>
  <si>
    <t>BILL No. 6.1.1 - SITE CLEARING</t>
  </si>
  <si>
    <t>6.1.1.1.1</t>
  </si>
  <si>
    <t>6.1.1.1.2</t>
  </si>
  <si>
    <t>6.1.1.1.3</t>
  </si>
  <si>
    <t>6.1.1.1.4</t>
  </si>
  <si>
    <t>6.1.1.1.5</t>
  </si>
  <si>
    <t>6.1.1.1.6</t>
  </si>
  <si>
    <t>6.1.1.1.7</t>
  </si>
  <si>
    <t>6.1.1.2.1</t>
  </si>
  <si>
    <t>6.1.1.2.2</t>
  </si>
  <si>
    <t>Total of Bill No 6.1.1 - Site Clearing (Transfer to Summary of Bills of Quantities)</t>
  </si>
  <si>
    <t>BILL No. 6.1.2 - EARTHWORKS</t>
  </si>
  <si>
    <t>6.1.2.1.1</t>
  </si>
  <si>
    <t>6.1.2.1.2</t>
  </si>
  <si>
    <t>6.1.2.1.3</t>
  </si>
  <si>
    <t>6.1.2.1.4</t>
  </si>
  <si>
    <t>6.1.2.2.1</t>
  </si>
  <si>
    <t>6.1.2.2.2</t>
  </si>
  <si>
    <t>6.1.2.2.3</t>
  </si>
  <si>
    <t>6.1.2.2.4</t>
  </si>
  <si>
    <t>Total of Bill No 6.1.2 - Earthworks (Transfer to Summary of Bills of Quantities)</t>
  </si>
  <si>
    <t>BILL No. 6.1.3 - STRUCTURE CONSTRUCTION</t>
  </si>
  <si>
    <t>6.1.3.1</t>
  </si>
  <si>
    <t>6.1.3.1.1</t>
  </si>
  <si>
    <t>6.1.3.1.2</t>
  </si>
  <si>
    <t>6.1.3.1.3</t>
  </si>
  <si>
    <t>6.1.3.1.4</t>
  </si>
  <si>
    <t>6.1.3.2</t>
  </si>
  <si>
    <t>6.1.3.2.1</t>
  </si>
  <si>
    <t>6.1.3.2.2</t>
  </si>
  <si>
    <t>6.1.3.2.3</t>
  </si>
  <si>
    <t>6.1.3.2.4</t>
  </si>
  <si>
    <t>6.1.3.3</t>
  </si>
  <si>
    <t>6.1.3.3.1</t>
  </si>
  <si>
    <t>6.1.3.3.2</t>
  </si>
  <si>
    <t>6.1.3.3.3</t>
  </si>
  <si>
    <t>6.1.3.3.4</t>
  </si>
  <si>
    <t>6.1.3.4</t>
  </si>
  <si>
    <t>6.1.3.4.1</t>
  </si>
  <si>
    <t>Total of Bill No 6.1.3 - Structure Construction (Transfer to Summary of Bills of Quantities)</t>
  </si>
  <si>
    <t>BILL No. 6.1.4 - SOIL NAILING AND HORIZONTAL DRAINS</t>
  </si>
  <si>
    <t>6.1.4.1</t>
  </si>
  <si>
    <t>6.1.4.1.1</t>
  </si>
  <si>
    <t>6.1.4.1.2</t>
  </si>
  <si>
    <t>6.1.4.1.3</t>
  </si>
  <si>
    <t>6.1.4.1.4</t>
  </si>
  <si>
    <t>6.1.4.1.5</t>
  </si>
  <si>
    <t>6.1.4.1.6</t>
  </si>
  <si>
    <t>6.1.4.1.7</t>
  </si>
  <si>
    <t>6.1.4.2</t>
  </si>
  <si>
    <t>6.1.4.2.2</t>
  </si>
  <si>
    <t>Total of Bill No 6.1.4 - Soil Nailing and Horizontal Draining (Transfer to Summary of Bills of Quantities)</t>
  </si>
  <si>
    <t>BILL No. 6.1.5 - INCIDENTIAL CONSTRUCTION</t>
  </si>
  <si>
    <t>6.1.5.1</t>
  </si>
  <si>
    <t>6.1.5.1.1</t>
  </si>
  <si>
    <t>6.1.5.1.2</t>
  </si>
  <si>
    <t>6.1.5.1.3</t>
  </si>
  <si>
    <t>Total of Bill No 6.1.5 - Incidential Construction (Transfer to Summary of Bills of Quantities)</t>
  </si>
  <si>
    <t>BILL No. 6.2.1 - SITE CLEARING</t>
  </si>
  <si>
    <t>6.2.1.1.1</t>
  </si>
  <si>
    <t>6.2.1.1.2</t>
  </si>
  <si>
    <t>6.2.1.1.3</t>
  </si>
  <si>
    <t>6.2.1.1.4</t>
  </si>
  <si>
    <t>6.2.1.1.5</t>
  </si>
  <si>
    <t>6.2.1.1.6</t>
  </si>
  <si>
    <t>6.2.1.1.7</t>
  </si>
  <si>
    <t>6.2.1.2.1</t>
  </si>
  <si>
    <t>6.2.1.2.2</t>
  </si>
  <si>
    <t>Total of Bill No 6.2.1 - Site Clearing (Transfer to Summary of Bills of Quantities)</t>
  </si>
  <si>
    <t>BILL No. 6.2.2 - EARTHWORKS</t>
  </si>
  <si>
    <t>6.2.2.1.1</t>
  </si>
  <si>
    <t>6.2.2.1.2</t>
  </si>
  <si>
    <t>6.2.2.1.3</t>
  </si>
  <si>
    <t>6.2.2.1.4</t>
  </si>
  <si>
    <t>6.2.2.2.1</t>
  </si>
  <si>
    <t>6.2.2.2.2</t>
  </si>
  <si>
    <t>6.2.2.2.3</t>
  </si>
  <si>
    <t>6.2.2.2.4</t>
  </si>
  <si>
    <t>6.2.2.2.5</t>
  </si>
  <si>
    <t>6.2.2.2.6</t>
  </si>
  <si>
    <t>Total of Bill No 6.2.2 - Earthworks (Transfer to Summary of Bills of Quantities)</t>
  </si>
  <si>
    <t>BILL No. 6.2.3 - STRUCTURE CONSTRUCTION</t>
  </si>
  <si>
    <t>6.2.3.1</t>
  </si>
  <si>
    <t>6.2.3.1.1</t>
  </si>
  <si>
    <t>6.2.3.1.2</t>
  </si>
  <si>
    <t>6.2.3.1.3</t>
  </si>
  <si>
    <t>6.2.3.1.4</t>
  </si>
  <si>
    <t>6.2.3.2</t>
  </si>
  <si>
    <t>6.2.3.2.1</t>
  </si>
  <si>
    <t>6.2.3.2.2</t>
  </si>
  <si>
    <t>6.2.3.2.3</t>
  </si>
  <si>
    <t>6.2.3.2.4</t>
  </si>
  <si>
    <t>6.2.3.3</t>
  </si>
  <si>
    <t>6.2.3.3.1</t>
  </si>
  <si>
    <t>6.2.3.3.2</t>
  </si>
  <si>
    <t>6.2.3.3.3</t>
  </si>
  <si>
    <t>6.2.3.3.4</t>
  </si>
  <si>
    <t>6.2.3.4</t>
  </si>
  <si>
    <t>6.2.3.4.1</t>
  </si>
  <si>
    <t>6.2.3.4.2</t>
  </si>
  <si>
    <t>6.2.3.4.3</t>
  </si>
  <si>
    <t>6.2.3.4.4</t>
  </si>
  <si>
    <t>6.2.3.5</t>
  </si>
  <si>
    <t>6.2.3.5.1</t>
  </si>
  <si>
    <t>6.2.3.5.2</t>
  </si>
  <si>
    <t>6.2.3.5.3</t>
  </si>
  <si>
    <t>6.2.3.5.4</t>
  </si>
  <si>
    <t>6.2.3.6</t>
  </si>
  <si>
    <t>6.2.3.6.1</t>
  </si>
  <si>
    <t>6.2.3.7</t>
  </si>
  <si>
    <t>6.2.3.7.1</t>
  </si>
  <si>
    <t>6.2.3.7.2</t>
  </si>
  <si>
    <t>6.2.3.7.3</t>
  </si>
  <si>
    <t>6.2.3.7.4</t>
  </si>
  <si>
    <t>6.2.3.7.5</t>
  </si>
  <si>
    <t>6.2.3.7.6</t>
  </si>
  <si>
    <t>6.2.3.7.7</t>
  </si>
  <si>
    <t>6.2.3.7.8</t>
  </si>
  <si>
    <t>6.2.3.7.9</t>
  </si>
  <si>
    <t>6.2.3.8</t>
  </si>
  <si>
    <t>6.2.3.8.1</t>
  </si>
  <si>
    <t>6.2.3.9</t>
  </si>
  <si>
    <t>6.2.3.9.1</t>
  </si>
  <si>
    <t>Total of Bill No 6.2.3 - Structure Construction (Transfer to Summary of Bills of Quantities)</t>
  </si>
  <si>
    <t>BILL NO. 07- DAYWORKS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</si>
  <si>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</si>
  <si>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</si>
  <si>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</si>
  <si>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</si>
  <si>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</si>
  <si>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</si>
  <si>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</si>
  <si>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</si>
  <si>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</si>
  <si>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</si>
  <si>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</si>
  <si>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</si>
  <si>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</si>
  <si>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</si>
  <si>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</si>
  <si>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</si>
  <si>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</si>
  <si>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</si>
  <si>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</si>
  <si>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</si>
  <si>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</si>
  <si>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</si>
  <si>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</si>
  <si>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</si>
  <si>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</si>
  <si>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</si>
  <si>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</si>
  <si>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</si>
  <si>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</si>
  <si>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</si>
  <si>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</si>
  <si>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</si>
  <si>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</si>
  <si>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</si>
  <si>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</si>
  <si>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</si>
  <si>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7.3.10</t>
  </si>
  <si>
    <t>7.3.11</t>
  </si>
  <si>
    <t>7.3.12</t>
  </si>
  <si>
    <t>7.3.13</t>
  </si>
  <si>
    <t>7.3.14</t>
  </si>
  <si>
    <t>7.3.15</t>
  </si>
  <si>
    <t xml:space="preserve">  Total of Bill No 07 - DayWorks (Transfer to Summary of Bills of Quantities)</t>
  </si>
  <si>
    <t xml:space="preserve">BILL NO. 02 -
 REDUCTION OF LANDSLIDE VULNERABILITY  BY MITIGATION MEASURES
BETWEEN 18/3 ~ 18/4 CULVERT ON PELAWATTA NELUWA ROAD (B363)(SITE NO. 80)
</t>
  </si>
  <si>
    <t xml:space="preserve">BILL NO. 04 - 
REDUCTION OF LANDSLIDE VULNERABILITY BY MITIGATION MEASURES
 BETWEEN 17/5 ~ 18/1 CULVERTS ON PELAWATTA - NELUWA ROAD (B363) (SITE NO. 87)
</t>
  </si>
  <si>
    <t xml:space="preserve">BILL NO. 05 - 
REDUCTION OF LANDSLIDE VULNERABILITY BY MITIGATION MEASURES 
AT HEWESSA KANISHTA VIDYALAYA, MATHUGAMA (SITE NO. 89) </t>
  </si>
  <si>
    <t>BILL NO. 06 -
 REDUCTION OF LANDSLIDE VULNERABILITY  BY MITIGATION MEASURES
 GAMMANA MAHA VIDYALAYA (SITE NO. 90)</t>
  </si>
  <si>
    <t xml:space="preserve">BILL NO. 05 - REDUCTION OF LANDSLIDE VULNERABILITY BY MITIGATION MEASURES 
AT HEWESSA KANISHTA VIDYALAYA, MATHUGAMA (SITE NO. 89) </t>
  </si>
  <si>
    <t>BILL NO. 06 -REDUCTION OF LANDSLIDE VULNERABILITY  BY MITIGATION MEASURES
 GAMMANA MAHA VIDYALAYA (SITE NO. 90)</t>
  </si>
  <si>
    <t>LANDSLIDE MITIGATION WORKS AT 05 LOCATIONS IN  KALUTARA  DISTRICT (SITE NO. 80,84,87,89,90)</t>
  </si>
  <si>
    <t>SUB TOTAL (Bill No. 01 - 07)</t>
  </si>
  <si>
    <t>TENDER PRICE EXCLUDING VAT</t>
  </si>
  <si>
    <t>TENDER PRICE INCLUDING VAT</t>
  </si>
  <si>
    <t>BILL NO. 02 -REDUCTION OF LANDSLIDE VULNERABILITY  BY MITIGATION MEASURES
BETWEEN 18/3 ~ 18/4 CULVERT ON PELAWATTA NELUWA ROAD (B363)(SITE NO. 80)</t>
  </si>
  <si>
    <t>BILL NO. 03 - REDUCTION OF LANDSLIDE VULNERABILITY BY MITIGATION MEASURES 
BETWEEN CULVERT NO. 25/3~25/4 ALONG PELAWATTA - NELUWA ROAD (B363) (SITE NO.84)</t>
  </si>
  <si>
    <t>BILL NO. 04 - REDUCTION OF LANDSLIDE VULNERABILITY BY MITIGATION MEASURES
 BETWEEN 17/5 ~ 18/1 CULVERTS ON PELAWATTA - NELUWA ROAD (B363) (SITE NO. 87)</t>
  </si>
  <si>
    <t>BILL NO. 03 - 
REDUCTION OF LANDSLIDE VULNERABILITY BY MITIGATION MEASURES 
BETWEEN CULVERT NO. 25/3~25/4 ALONG PELAWATTA - NELUWA ROAD (B363) (SITE NO.84)</t>
  </si>
  <si>
    <t>BILL NO. 6.1 - 
REDUCTION OF LANDSLIDE VULNERABILITY  BY MITIGATION MEASURES GAMMANA MAHA VIDYALAYA - AREA I (SITE NO. 90)</t>
  </si>
  <si>
    <t>BILL NO. 6.2 - 
REDUCTION OF LANDSLIDE VULNERABILITY  BY MITIGATION MEASURES GAMMANA MAHA VIDYALAYA - AREA II (SITE NO. 90)</t>
  </si>
  <si>
    <t>BILL NO. 6.1 - REDUCTION OF LANDSLIDE VULNERABILITY  BY MITIGATION MEASURES GAMMANA MAHA VIDYALAYA - AREA I (SITE NO. 90)</t>
  </si>
  <si>
    <t>BILL NO. 6.2 - REDUCTION OF LANDSLIDE VULNERABILITY  BY MITIGATION MEASURES GAMMANA MAHA VIDYALAYA - AREA II (SITE NO. 90)</t>
  </si>
  <si>
    <t>UNCONDITIONAL DISCOUNT</t>
  </si>
  <si>
    <t>DISCOUNTED TENDER PRICE</t>
  </si>
  <si>
    <t>BILL NO. 01 - GENERAL PRELIMINARIES</t>
  </si>
  <si>
    <t>BILL No. 1 - GENERAL PRELIMINARIES EXCEPT PROVISIONAL SUM</t>
  </si>
  <si>
    <t>ESMP Monthly Progress Reports</t>
  </si>
  <si>
    <t>1.6.6</t>
  </si>
  <si>
    <t>2000(5)</t>
  </si>
  <si>
    <t>Final payment upon submission of letter of satisfaction of the work by the Employer</t>
  </si>
  <si>
    <t>REHABILITATION OF ROAD &amp; EXISTING DRAINAGE</t>
  </si>
  <si>
    <t>Rehabilitation of Road Pavement ,drainage and relevant work (items under this work shall comply with CIDA publication SCA - 05 - Second edition [STANDARD SPECIFICATION FOR CONSTRUCTION AND MAINTENANCE OF ROADS AND BRIDGES]</t>
  </si>
  <si>
    <t>Allow for overhead and profit by the contractor for the Rehabilitation of Road Pavement,drainage and relavant work</t>
  </si>
  <si>
    <t>HOT DIPPED GALVANIZED MILD STEEL  DOWELS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</si>
</sst>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.000_);_(* \(#,##0.000\);_(* &quot;-&quot;??_);_(@_)"/>
    <numFmt numFmtId="165" formatCode="0.0"/>
    <numFmt numFmtId="166" formatCode="0.000"/>
    <numFmt numFmtId="167" formatCode="_(* #,##0_);_(* \(#,##0\);_(* &quot;-&quot;??_);_(@_)"/>
    <numFmt numFmtId="168" formatCode="0.0%"/>
    <numFmt numFmtId="169" formatCode="_(* #,##0.000_);_(* \(#,##0.000\);_(* &quot;-&quot;???_);_(@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11"/>
      <color rgb="FFFF0000"/>
      <name val="Arial"/>
      <family val="2"/>
    </font>
    <font>
      <b/>
      <sz val="11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u/>
      <sz val="10"/>
      <name val="Arial Unicode MS"/>
      <family val="2"/>
    </font>
    <font>
      <b/>
      <sz val="10"/>
      <color rgb="FFFF000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rgb="FFC00000"/>
      <name val="Arial"/>
      <family val="2"/>
    </font>
    <font>
      <sz val="10"/>
      <color rgb="FFFF0000"/>
      <name val="Arial Unicode MS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i/>
      <u/>
      <sz val="10"/>
      <name val="Times New Roman"/>
      <family val="1"/>
    </font>
    <font>
      <b/>
      <u/>
      <sz val="10"/>
      <name val="Times New Roman"/>
      <family val="1"/>
    </font>
    <font>
      <b/>
      <sz val="11"/>
      <name val="Arial"/>
      <family val="2"/>
    </font>
    <font>
      <sz val="11"/>
      <color theme="1"/>
      <name val="Times New Roman"/>
      <family val="1"/>
    </font>
    <font>
      <sz val="9"/>
      <name val="Arial"/>
      <family val="2"/>
    </font>
    <font>
      <sz val="12"/>
      <color rgb="FFFF0000"/>
      <name val="Times New Roman"/>
      <family val="1"/>
    </font>
    <font>
      <b/>
      <sz val="16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sz val="10"/>
      <color rgb="FF000000"/>
      <name val="Times New Roman"/>
      <family val="1"/>
    </font>
    <font>
      <sz val="12"/>
      <name val="Plot"/>
    </font>
    <font>
      <sz val="9"/>
      <color theme="1"/>
      <name val="Times New Roman"/>
      <family val="1"/>
    </font>
    <font>
      <sz val="12"/>
      <color theme="1"/>
      <name val="Plot"/>
    </font>
    <font>
      <sz val="11"/>
      <color theme="1"/>
      <name val="Plot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9" fontId="1" fillId="0" borderId="0" applyFont="0" applyFill="0" applyBorder="0" applyAlignment="0" applyProtection="0"/>
    <xf numFmtId="0" fontId="8" fillId="0" borderId="0"/>
  </cellStyleXfs>
  <cellXfs count="839">
    <xf numFmtId="0" fontId="0" fillId="0" borderId="0" xfId="0"/>
    <xf numFmtId="43" fontId="0" fillId="0" borderId="0" xfId="1" applyFont="1"/>
    <xf numFmtId="43" fontId="0" fillId="0" borderId="0" xfId="1" applyFont="1" applyAlignment="1">
      <alignment vertical="center"/>
    </xf>
    <xf numFmtId="43" fontId="0" fillId="0" borderId="0" xfId="1" applyFont="1" applyAlignment="1">
      <alignment horizontal="center" vertical="center"/>
    </xf>
    <xf numFmtId="43" fontId="3" fillId="0" borderId="0" xfId="1" applyFont="1"/>
    <xf numFmtId="43" fontId="4" fillId="0" borderId="0" xfId="1" applyFont="1"/>
    <xf numFmtId="0" fontId="9" fillId="0" borderId="6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43" fontId="9" fillId="0" borderId="7" xfId="2" applyFont="1" applyBorder="1" applyAlignment="1">
      <alignment horizontal="center" vertical="center"/>
    </xf>
    <xf numFmtId="0" fontId="9" fillId="0" borderId="8" xfId="3" applyFont="1" applyBorder="1" applyAlignment="1">
      <alignment horizontal="left" vertical="center"/>
    </xf>
    <xf numFmtId="43" fontId="9" fillId="0" borderId="11" xfId="2" applyFont="1" applyBorder="1" applyAlignment="1">
      <alignment horizontal="right" vertical="center"/>
    </xf>
    <xf numFmtId="0" fontId="9" fillId="0" borderId="0" xfId="3" applyFont="1" applyAlignment="1">
      <alignment vertical="center"/>
    </xf>
    <xf numFmtId="43" fontId="9" fillId="0" borderId="0" xfId="2" applyFont="1" applyAlignment="1">
      <alignment vertical="center"/>
    </xf>
    <xf numFmtId="9" fontId="9" fillId="0" borderId="0" xfId="4" applyFont="1" applyAlignment="1">
      <alignment vertical="center"/>
    </xf>
    <xf numFmtId="43" fontId="9" fillId="0" borderId="0" xfId="3" applyNumberFormat="1" applyFont="1" applyAlignment="1">
      <alignment vertical="center"/>
    </xf>
    <xf numFmtId="0" fontId="7" fillId="0" borderId="12" xfId="3" applyFont="1" applyBorder="1" applyAlignment="1">
      <alignment horizontal="center" vertical="center"/>
    </xf>
    <xf numFmtId="43" fontId="7" fillId="0" borderId="14" xfId="2" applyFont="1" applyBorder="1" applyAlignment="1">
      <alignment horizontal="right" vertical="center"/>
    </xf>
    <xf numFmtId="10" fontId="9" fillId="0" borderId="0" xfId="4" applyNumberFormat="1" applyFont="1" applyAlignment="1">
      <alignment vertical="center"/>
    </xf>
    <xf numFmtId="0" fontId="9" fillId="0" borderId="0" xfId="3" applyFont="1" applyAlignment="1">
      <alignment horizontal="center" vertical="center"/>
    </xf>
    <xf numFmtId="3" fontId="9" fillId="0" borderId="0" xfId="3" applyNumberFormat="1" applyFont="1" applyAlignment="1">
      <alignment horizontal="center" vertical="center"/>
    </xf>
    <xf numFmtId="43" fontId="9" fillId="0" borderId="0" xfId="2" applyFont="1" applyAlignment="1">
      <alignment horizontal="right" vertical="center"/>
    </xf>
    <xf numFmtId="0" fontId="9" fillId="0" borderId="0" xfId="3" applyFont="1" applyAlignment="1">
      <alignment horizontal="center"/>
    </xf>
    <xf numFmtId="0" fontId="9" fillId="0" borderId="0" xfId="3" applyFont="1"/>
    <xf numFmtId="3" fontId="9" fillId="0" borderId="0" xfId="3" applyNumberFormat="1" applyFont="1" applyAlignment="1">
      <alignment horizontal="center"/>
    </xf>
    <xf numFmtId="43" fontId="9" fillId="0" borderId="0" xfId="2" applyFont="1" applyAlignment="1">
      <alignment horizontal="right"/>
    </xf>
    <xf numFmtId="43" fontId="9" fillId="0" borderId="0" xfId="2" applyFont="1"/>
    <xf numFmtId="9" fontId="9" fillId="0" borderId="0" xfId="4" applyFont="1"/>
    <xf numFmtId="3" fontId="11" fillId="0" borderId="0" xfId="3" applyNumberFormat="1" applyFont="1" applyAlignment="1">
      <alignment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43" fontId="7" fillId="0" borderId="15" xfId="1" applyFont="1" applyBorder="1" applyAlignment="1">
      <alignment horizontal="center" vertical="center" wrapText="1"/>
    </xf>
    <xf numFmtId="0" fontId="12" fillId="0" borderId="0" xfId="0" applyFont="1"/>
    <xf numFmtId="0" fontId="12" fillId="0" borderId="17" xfId="0" applyFont="1" applyBorder="1"/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wrapText="1"/>
    </xf>
    <xf numFmtId="43" fontId="12" fillId="0" borderId="18" xfId="1" applyFont="1" applyBorder="1" applyAlignment="1">
      <alignment vertical="center"/>
    </xf>
    <xf numFmtId="3" fontId="9" fillId="0" borderId="19" xfId="3" applyNumberFormat="1" applyFont="1" applyBorder="1" applyAlignment="1">
      <alignment horizontal="center" vertical="center" wrapText="1"/>
    </xf>
    <xf numFmtId="3" fontId="9" fillId="0" borderId="19" xfId="3" applyNumberFormat="1" applyFont="1" applyBorder="1" applyAlignment="1">
      <alignment horizontal="left" vertical="center" wrapText="1"/>
    </xf>
    <xf numFmtId="4" fontId="9" fillId="0" borderId="20" xfId="3" applyNumberFormat="1" applyFont="1" applyBorder="1" applyAlignment="1">
      <alignment vertical="center" wrapText="1"/>
    </xf>
    <xf numFmtId="4" fontId="9" fillId="0" borderId="21" xfId="3" applyNumberFormat="1" applyFont="1" applyBorder="1" applyAlignment="1">
      <alignment vertical="center" wrapText="1"/>
    </xf>
    <xf numFmtId="4" fontId="15" fillId="0" borderId="0" xfId="3" applyNumberFormat="1" applyFont="1" applyAlignment="1">
      <alignment horizontal="center" vertical="center" wrapText="1"/>
    </xf>
    <xf numFmtId="0" fontId="12" fillId="0" borderId="18" xfId="0" applyFont="1" applyBorder="1"/>
    <xf numFmtId="0" fontId="13" fillId="0" borderId="18" xfId="0" applyFont="1" applyBorder="1" applyAlignment="1">
      <alignment vertical="center"/>
    </xf>
    <xf numFmtId="3" fontId="12" fillId="0" borderId="18" xfId="0" applyNumberFormat="1" applyFont="1" applyBorder="1"/>
    <xf numFmtId="43" fontId="12" fillId="0" borderId="0" xfId="0" applyNumberFormat="1" applyFont="1"/>
    <xf numFmtId="0" fontId="12" fillId="0" borderId="18" xfId="0" applyFont="1" applyBorder="1" applyAlignment="1">
      <alignment vertical="center" wrapText="1"/>
    </xf>
    <xf numFmtId="3" fontId="9" fillId="0" borderId="18" xfId="3" applyNumberFormat="1" applyFont="1" applyBorder="1" applyAlignment="1">
      <alignment horizontal="center" vertical="center" wrapText="1"/>
    </xf>
    <xf numFmtId="3" fontId="9" fillId="0" borderId="18" xfId="3" applyNumberFormat="1" applyFont="1" applyBorder="1" applyAlignment="1">
      <alignment horizontal="left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vertical="center" wrapText="1"/>
    </xf>
    <xf numFmtId="3" fontId="12" fillId="4" borderId="18" xfId="0" applyNumberFormat="1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vertical="center"/>
    </xf>
    <xf numFmtId="3" fontId="9" fillId="0" borderId="18" xfId="5" applyNumberFormat="1" applyFont="1" applyBorder="1" applyAlignment="1">
      <alignment horizontal="center" vertical="center" wrapText="1"/>
    </xf>
    <xf numFmtId="3" fontId="9" fillId="0" borderId="18" xfId="5" applyNumberFormat="1" applyFont="1" applyBorder="1" applyAlignment="1">
      <alignment vertical="center" wrapText="1"/>
    </xf>
    <xf numFmtId="3" fontId="12" fillId="0" borderId="0" xfId="0" applyNumberFormat="1" applyFont="1"/>
    <xf numFmtId="3" fontId="7" fillId="4" borderId="18" xfId="0" applyNumberFormat="1" applyFont="1" applyFill="1" applyBorder="1" applyAlignment="1">
      <alignment horizontal="left" vertical="center" wrapText="1"/>
    </xf>
    <xf numFmtId="3" fontId="9" fillId="4" borderId="18" xfId="0" applyNumberFormat="1" applyFont="1" applyFill="1" applyBorder="1" applyAlignment="1">
      <alignment horizontal="center" vertical="center" wrapText="1"/>
    </xf>
    <xf numFmtId="43" fontId="9" fillId="0" borderId="18" xfId="2" applyFont="1" applyBorder="1" applyAlignment="1">
      <alignment horizontal="left" vertical="center" wrapText="1"/>
    </xf>
    <xf numFmtId="3" fontId="9" fillId="0" borderId="18" xfId="0" applyNumberFormat="1" applyFont="1" applyBorder="1" applyAlignment="1">
      <alignment vertical="center" wrapText="1"/>
    </xf>
    <xf numFmtId="164" fontId="12" fillId="0" borderId="0" xfId="1" applyNumberFormat="1" applyFont="1"/>
    <xf numFmtId="0" fontId="12" fillId="0" borderId="19" xfId="0" applyFont="1" applyBorder="1" applyAlignment="1">
      <alignment vertical="center"/>
    </xf>
    <xf numFmtId="0" fontId="12" fillId="0" borderId="19" xfId="0" applyFont="1" applyBorder="1"/>
    <xf numFmtId="0" fontId="12" fillId="0" borderId="18" xfId="0" applyFont="1" applyBorder="1" applyAlignment="1">
      <alignment horizontal="center" vertical="center" wrapText="1"/>
    </xf>
    <xf numFmtId="43" fontId="11" fillId="3" borderId="0" xfId="2" applyFont="1" applyFill="1" applyAlignment="1">
      <alignment vertical="center" wrapText="1"/>
    </xf>
    <xf numFmtId="0" fontId="17" fillId="3" borderId="0" xfId="2" applyNumberFormat="1" applyFont="1" applyFill="1" applyAlignment="1">
      <alignment vertical="center" wrapText="1"/>
    </xf>
    <xf numFmtId="3" fontId="11" fillId="3" borderId="0" xfId="3" applyNumberFormat="1" applyFont="1" applyFill="1" applyAlignment="1">
      <alignment vertical="center" wrapText="1"/>
    </xf>
    <xf numFmtId="3" fontId="7" fillId="0" borderId="18" xfId="3" applyNumberFormat="1" applyFont="1" applyBorder="1" applyAlignment="1">
      <alignment horizontal="left" vertical="center" wrapText="1"/>
    </xf>
    <xf numFmtId="0" fontId="8" fillId="0" borderId="0" xfId="3"/>
    <xf numFmtId="0" fontId="19" fillId="6" borderId="15" xfId="3" applyFont="1" applyFill="1" applyBorder="1" applyAlignment="1">
      <alignment vertical="center"/>
    </xf>
    <xf numFmtId="0" fontId="20" fillId="6" borderId="15" xfId="3" applyFont="1" applyFill="1" applyBorder="1" applyAlignment="1">
      <alignment horizontal="center" vertical="center"/>
    </xf>
    <xf numFmtId="0" fontId="8" fillId="0" borderId="0" xfId="3" applyAlignment="1">
      <alignment vertical="center"/>
    </xf>
    <xf numFmtId="0" fontId="8" fillId="7" borderId="0" xfId="3" applyFill="1" applyAlignment="1">
      <alignment vertical="center"/>
    </xf>
    <xf numFmtId="43" fontId="22" fillId="0" borderId="15" xfId="3" applyNumberFormat="1" applyFont="1" applyBorder="1"/>
    <xf numFmtId="0" fontId="22" fillId="0" borderId="15" xfId="3" applyFont="1" applyBorder="1"/>
    <xf numFmtId="0" fontId="19" fillId="0" borderId="18" xfId="3" applyFont="1" applyBorder="1" applyAlignment="1">
      <alignment wrapText="1"/>
    </xf>
    <xf numFmtId="43" fontId="19" fillId="0" borderId="19" xfId="2" applyFont="1" applyBorder="1"/>
    <xf numFmtId="0" fontId="19" fillId="0" borderId="19" xfId="3" applyFont="1" applyBorder="1"/>
    <xf numFmtId="166" fontId="19" fillId="0" borderId="19" xfId="3" applyNumberFormat="1" applyFont="1" applyBorder="1"/>
    <xf numFmtId="43" fontId="19" fillId="0" borderId="19" xfId="3" applyNumberFormat="1" applyFont="1" applyBorder="1"/>
    <xf numFmtId="43" fontId="8" fillId="0" borderId="0" xfId="3" applyNumberFormat="1"/>
    <xf numFmtId="0" fontId="23" fillId="0" borderId="19" xfId="3" applyFont="1" applyBorder="1" applyAlignment="1">
      <alignment wrapText="1"/>
    </xf>
    <xf numFmtId="43" fontId="19" fillId="0" borderId="18" xfId="2" applyFont="1" applyBorder="1"/>
    <xf numFmtId="43" fontId="23" fillId="8" borderId="19" xfId="3" applyNumberFormat="1" applyFont="1" applyFill="1" applyBorder="1"/>
    <xf numFmtId="0" fontId="19" fillId="0" borderId="19" xfId="3" applyFont="1" applyBorder="1" applyAlignment="1">
      <alignment wrapText="1"/>
    </xf>
    <xf numFmtId="43" fontId="24" fillId="8" borderId="19" xfId="3" applyNumberFormat="1" applyFont="1" applyFill="1" applyBorder="1"/>
    <xf numFmtId="43" fontId="24" fillId="0" borderId="19" xfId="3" applyNumberFormat="1" applyFont="1" applyBorder="1"/>
    <xf numFmtId="0" fontId="19" fillId="0" borderId="27" xfId="3" applyFont="1" applyBorder="1" applyAlignment="1">
      <alignment wrapText="1"/>
    </xf>
    <xf numFmtId="43" fontId="19" fillId="0" borderId="27" xfId="2" applyFont="1" applyBorder="1"/>
    <xf numFmtId="2" fontId="19" fillId="0" borderId="27" xfId="3" applyNumberFormat="1" applyFont="1" applyBorder="1"/>
    <xf numFmtId="166" fontId="19" fillId="0" borderId="27" xfId="3" applyNumberFormat="1" applyFont="1" applyBorder="1"/>
    <xf numFmtId="0" fontId="19" fillId="0" borderId="27" xfId="3" applyFont="1" applyBorder="1"/>
    <xf numFmtId="43" fontId="19" fillId="0" borderId="18" xfId="3" applyNumberFormat="1" applyFont="1" applyBorder="1"/>
    <xf numFmtId="43" fontId="20" fillId="0" borderId="18" xfId="3" applyNumberFormat="1" applyFont="1" applyBorder="1"/>
    <xf numFmtId="0" fontId="25" fillId="0" borderId="0" xfId="3" applyFont="1"/>
    <xf numFmtId="43" fontId="20" fillId="0" borderId="15" xfId="3" applyNumberFormat="1" applyFont="1" applyBorder="1"/>
    <xf numFmtId="0" fontId="20" fillId="0" borderId="15" xfId="3" applyFont="1" applyBorder="1"/>
    <xf numFmtId="0" fontId="26" fillId="0" borderId="15" xfId="3" applyFont="1" applyBorder="1"/>
    <xf numFmtId="0" fontId="20" fillId="0" borderId="17" xfId="3" applyFont="1" applyBorder="1" applyAlignment="1">
      <alignment horizontal="left" wrapText="1"/>
    </xf>
    <xf numFmtId="166" fontId="19" fillId="0" borderId="18" xfId="3" applyNumberFormat="1" applyFont="1" applyBorder="1"/>
    <xf numFmtId="0" fontId="19" fillId="0" borderId="18" xfId="3" applyFont="1" applyBorder="1"/>
    <xf numFmtId="43" fontId="20" fillId="0" borderId="19" xfId="3" applyNumberFormat="1" applyFont="1" applyBorder="1"/>
    <xf numFmtId="43" fontId="19" fillId="0" borderId="27" xfId="3" applyNumberFormat="1" applyFont="1" applyBorder="1"/>
    <xf numFmtId="43" fontId="20" fillId="8" borderId="19" xfId="3" applyNumberFormat="1" applyFont="1" applyFill="1" applyBorder="1"/>
    <xf numFmtId="164" fontId="19" fillId="0" borderId="18" xfId="3" applyNumberFormat="1" applyFont="1" applyBorder="1"/>
    <xf numFmtId="1" fontId="19" fillId="0" borderId="18" xfId="3" applyNumberFormat="1" applyFont="1" applyBorder="1"/>
    <xf numFmtId="167" fontId="19" fillId="0" borderId="18" xfId="2" applyNumberFormat="1" applyFont="1" applyBorder="1"/>
    <xf numFmtId="43" fontId="8" fillId="9" borderId="0" xfId="3" applyNumberFormat="1" applyFill="1"/>
    <xf numFmtId="43" fontId="19" fillId="0" borderId="16" xfId="3" applyNumberFormat="1" applyFont="1" applyBorder="1" applyAlignment="1">
      <alignment wrapText="1"/>
    </xf>
    <xf numFmtId="164" fontId="19" fillId="0" borderId="16" xfId="3" applyNumberFormat="1" applyFont="1" applyBorder="1"/>
    <xf numFmtId="43" fontId="19" fillId="0" borderId="26" xfId="2" applyFont="1" applyBorder="1"/>
    <xf numFmtId="167" fontId="19" fillId="0" borderId="16" xfId="2" applyNumberFormat="1" applyFont="1" applyBorder="1"/>
    <xf numFmtId="43" fontId="19" fillId="0" borderId="16" xfId="3" applyNumberFormat="1" applyFont="1" applyBorder="1"/>
    <xf numFmtId="43" fontId="23" fillId="0" borderId="19" xfId="3" applyNumberFormat="1" applyFont="1" applyBorder="1"/>
    <xf numFmtId="0" fontId="19" fillId="10" borderId="15" xfId="3" applyFont="1" applyFill="1" applyBorder="1" applyAlignment="1">
      <alignment vertical="center"/>
    </xf>
    <xf numFmtId="0" fontId="20" fillId="10" borderId="15" xfId="3" applyFont="1" applyFill="1" applyBorder="1" applyAlignment="1">
      <alignment horizontal="center" vertical="center"/>
    </xf>
    <xf numFmtId="0" fontId="20" fillId="10" borderId="15" xfId="3" applyFont="1" applyFill="1" applyBorder="1" applyAlignment="1">
      <alignment horizontal="center" vertical="center" wrapText="1"/>
    </xf>
    <xf numFmtId="0" fontId="19" fillId="0" borderId="18" xfId="3" applyFont="1" applyBorder="1" applyAlignment="1">
      <alignment horizontal="right" wrapText="1"/>
    </xf>
    <xf numFmtId="2" fontId="19" fillId="0" borderId="18" xfId="3" applyNumberFormat="1" applyFont="1" applyBorder="1"/>
    <xf numFmtId="0" fontId="19" fillId="0" borderId="28" xfId="3" applyFont="1" applyBorder="1" applyAlignment="1">
      <alignment horizontal="right" wrapText="1"/>
    </xf>
    <xf numFmtId="2" fontId="19" fillId="0" borderId="28" xfId="3" applyNumberFormat="1" applyFont="1" applyBorder="1"/>
    <xf numFmtId="0" fontId="19" fillId="0" borderId="28" xfId="3" applyFont="1" applyBorder="1"/>
    <xf numFmtId="166" fontId="19" fillId="0" borderId="28" xfId="3" applyNumberFormat="1" applyFont="1" applyBorder="1"/>
    <xf numFmtId="43" fontId="19" fillId="0" borderId="28" xfId="2" applyFont="1" applyBorder="1"/>
    <xf numFmtId="43" fontId="19" fillId="0" borderId="28" xfId="3" applyNumberFormat="1" applyFont="1" applyBorder="1"/>
    <xf numFmtId="9" fontId="20" fillId="0" borderId="23" xfId="3" applyNumberFormat="1" applyFont="1" applyBorder="1" applyAlignment="1">
      <alignment wrapText="1"/>
    </xf>
    <xf numFmtId="0" fontId="20" fillId="0" borderId="24" xfId="3" applyFont="1" applyBorder="1" applyAlignment="1">
      <alignment wrapText="1"/>
    </xf>
    <xf numFmtId="0" fontId="24" fillId="0" borderId="19" xfId="3" applyFont="1" applyBorder="1" applyAlignment="1">
      <alignment wrapText="1"/>
    </xf>
    <xf numFmtId="43" fontId="19" fillId="8" borderId="19" xfId="3" applyNumberFormat="1" applyFont="1" applyFill="1" applyBorder="1"/>
    <xf numFmtId="0" fontId="19" fillId="0" borderId="26" xfId="3" applyFont="1" applyBorder="1"/>
    <xf numFmtId="0" fontId="19" fillId="0" borderId="19" xfId="3" applyFont="1" applyBorder="1" applyAlignment="1">
      <alignment horizontal="right" wrapText="1"/>
    </xf>
    <xf numFmtId="2" fontId="19" fillId="0" borderId="19" xfId="3" applyNumberFormat="1" applyFont="1" applyBorder="1"/>
    <xf numFmtId="0" fontId="24" fillId="0" borderId="19" xfId="3" applyFont="1" applyBorder="1" applyAlignment="1">
      <alignment horizontal="right" wrapText="1"/>
    </xf>
    <xf numFmtId="43" fontId="20" fillId="8" borderId="18" xfId="3" applyNumberFormat="1" applyFont="1" applyFill="1" applyBorder="1"/>
    <xf numFmtId="43" fontId="20" fillId="0" borderId="27" xfId="3" applyNumberFormat="1" applyFont="1" applyBorder="1"/>
    <xf numFmtId="0" fontId="19" fillId="0" borderId="27" xfId="3" applyFont="1" applyBorder="1" applyAlignment="1">
      <alignment horizontal="right" wrapText="1"/>
    </xf>
    <xf numFmtId="164" fontId="19" fillId="0" borderId="27" xfId="3" applyNumberFormat="1" applyFont="1" applyBorder="1"/>
    <xf numFmtId="43" fontId="23" fillId="8" borderId="18" xfId="3" applyNumberFormat="1" applyFont="1" applyFill="1" applyBorder="1"/>
    <xf numFmtId="43" fontId="20" fillId="8" borderId="27" xfId="3" applyNumberFormat="1" applyFont="1" applyFill="1" applyBorder="1"/>
    <xf numFmtId="0" fontId="20" fillId="0" borderId="22" xfId="3" applyFont="1" applyBorder="1" applyAlignment="1">
      <alignment horizontal="left" wrapText="1"/>
    </xf>
    <xf numFmtId="0" fontId="20" fillId="0" borderId="23" xfId="3" applyFont="1" applyBorder="1" applyAlignment="1">
      <alignment horizontal="left" wrapText="1"/>
    </xf>
    <xf numFmtId="0" fontId="20" fillId="0" borderId="24" xfId="3" applyFont="1" applyBorder="1" applyAlignment="1">
      <alignment horizontal="left" wrapText="1"/>
    </xf>
    <xf numFmtId="0" fontId="19" fillId="0" borderId="15" xfId="3" applyFont="1" applyBorder="1" applyAlignment="1">
      <alignment horizontal="right" wrapText="1"/>
    </xf>
    <xf numFmtId="2" fontId="19" fillId="0" borderId="15" xfId="3" applyNumberFormat="1" applyFont="1" applyBorder="1"/>
    <xf numFmtId="0" fontId="19" fillId="0" borderId="15" xfId="3" applyFont="1" applyBorder="1"/>
    <xf numFmtId="166" fontId="19" fillId="0" borderId="15" xfId="3" applyNumberFormat="1" applyFont="1" applyBorder="1"/>
    <xf numFmtId="43" fontId="19" fillId="0" borderId="15" xfId="2" applyFont="1" applyBorder="1"/>
    <xf numFmtId="43" fontId="19" fillId="0" borderId="15" xfId="3" applyNumberFormat="1" applyFont="1" applyBorder="1"/>
    <xf numFmtId="43" fontId="20" fillId="8" borderId="15" xfId="3" applyNumberFormat="1" applyFont="1" applyFill="1" applyBorder="1"/>
    <xf numFmtId="0" fontId="19" fillId="0" borderId="17" xfId="3" applyFont="1" applyBorder="1" applyAlignment="1">
      <alignment wrapText="1"/>
    </xf>
    <xf numFmtId="43" fontId="22" fillId="0" borderId="27" xfId="3" applyNumberFormat="1" applyFont="1" applyBorder="1"/>
    <xf numFmtId="0" fontId="2" fillId="0" borderId="25" xfId="6" applyFont="1" applyBorder="1"/>
    <xf numFmtId="0" fontId="2" fillId="0" borderId="17" xfId="6" applyFont="1" applyBorder="1"/>
    <xf numFmtId="0" fontId="1" fillId="0" borderId="17" xfId="6" applyBorder="1"/>
    <xf numFmtId="0" fontId="1" fillId="0" borderId="0" xfId="6"/>
    <xf numFmtId="0" fontId="1" fillId="0" borderId="16" xfId="6" applyBorder="1"/>
    <xf numFmtId="0" fontId="2" fillId="0" borderId="16" xfId="6" applyFont="1" applyBorder="1"/>
    <xf numFmtId="0" fontId="2" fillId="0" borderId="18" xfId="6" applyFont="1" applyBorder="1"/>
    <xf numFmtId="0" fontId="1" fillId="0" borderId="19" xfId="6" applyBorder="1"/>
    <xf numFmtId="0" fontId="2" fillId="0" borderId="19" xfId="6" applyFont="1" applyBorder="1"/>
    <xf numFmtId="0" fontId="1" fillId="0" borderId="18" xfId="6" applyBorder="1"/>
    <xf numFmtId="43" fontId="0" fillId="0" borderId="18" xfId="7" applyFont="1" applyBorder="1"/>
    <xf numFmtId="0" fontId="1" fillId="11" borderId="0" xfId="6" applyFill="1"/>
    <xf numFmtId="164" fontId="0" fillId="0" borderId="18" xfId="7" applyNumberFormat="1" applyFont="1" applyBorder="1"/>
    <xf numFmtId="0" fontId="0" fillId="0" borderId="18" xfId="6" applyFont="1" applyBorder="1"/>
    <xf numFmtId="0" fontId="1" fillId="12" borderId="0" xfId="6" applyFill="1"/>
    <xf numFmtId="0" fontId="1" fillId="0" borderId="27" xfId="6" applyBorder="1"/>
    <xf numFmtId="43" fontId="0" fillId="0" borderId="27" xfId="7" applyFont="1" applyBorder="1"/>
    <xf numFmtId="0" fontId="1" fillId="13" borderId="18" xfId="6" applyFill="1" applyBorder="1"/>
    <xf numFmtId="0" fontId="0" fillId="13" borderId="18" xfId="6" applyFont="1" applyFill="1" applyBorder="1"/>
    <xf numFmtId="0" fontId="1" fillId="5" borderId="18" xfId="6" applyFill="1" applyBorder="1"/>
    <xf numFmtId="0" fontId="1" fillId="6" borderId="18" xfId="6" applyFill="1" applyBorder="1"/>
    <xf numFmtId="0" fontId="1" fillId="14" borderId="18" xfId="6" applyFill="1" applyBorder="1"/>
    <xf numFmtId="0" fontId="1" fillId="14" borderId="27" xfId="6" applyFill="1" applyBorder="1"/>
    <xf numFmtId="0" fontId="1" fillId="15" borderId="18" xfId="6" applyFill="1" applyBorder="1"/>
    <xf numFmtId="0" fontId="1" fillId="15" borderId="27" xfId="6" applyFill="1" applyBorder="1"/>
    <xf numFmtId="0" fontId="1" fillId="0" borderId="28" xfId="6" applyBorder="1"/>
    <xf numFmtId="43" fontId="0" fillId="0" borderId="28" xfId="7" applyFont="1" applyBorder="1"/>
    <xf numFmtId="0" fontId="2" fillId="0" borderId="0" xfId="6" applyFont="1"/>
    <xf numFmtId="10" fontId="1" fillId="0" borderId="0" xfId="6" applyNumberFormat="1"/>
    <xf numFmtId="0" fontId="1" fillId="13" borderId="0" xfId="6" applyFill="1"/>
    <xf numFmtId="0" fontId="1" fillId="17" borderId="0" xfId="6" applyFill="1" applyAlignment="1">
      <alignment horizontal="center"/>
    </xf>
    <xf numFmtId="0" fontId="1" fillId="7" borderId="0" xfId="6" applyFill="1" applyAlignment="1">
      <alignment horizontal="center"/>
    </xf>
    <xf numFmtId="0" fontId="28" fillId="0" borderId="15" xfId="8" applyFont="1" applyBorder="1" applyAlignment="1">
      <alignment horizontal="center"/>
    </xf>
    <xf numFmtId="43" fontId="0" fillId="0" borderId="0" xfId="7" applyFont="1"/>
    <xf numFmtId="43" fontId="0" fillId="0" borderId="15" xfId="2" applyFont="1" applyBorder="1"/>
    <xf numFmtId="43" fontId="1" fillId="0" borderId="15" xfId="6" applyNumberFormat="1" applyBorder="1"/>
    <xf numFmtId="43" fontId="1" fillId="0" borderId="15" xfId="2" applyFont="1" applyBorder="1"/>
    <xf numFmtId="43" fontId="28" fillId="0" borderId="15" xfId="8" applyNumberFormat="1" applyFont="1" applyBorder="1"/>
    <xf numFmtId="164" fontId="28" fillId="0" borderId="24" xfId="8" applyNumberFormat="1" applyFont="1" applyBorder="1"/>
    <xf numFmtId="43" fontId="28" fillId="0" borderId="15" xfId="2" applyFont="1" applyBorder="1"/>
    <xf numFmtId="43" fontId="1" fillId="0" borderId="0" xfId="6" applyNumberFormat="1"/>
    <xf numFmtId="43" fontId="0" fillId="0" borderId="0" xfId="2" applyFont="1"/>
    <xf numFmtId="43" fontId="1" fillId="0" borderId="0" xfId="2" applyFont="1"/>
    <xf numFmtId="164" fontId="28" fillId="0" borderId="0" xfId="8" applyNumberFormat="1" applyFont="1"/>
    <xf numFmtId="43" fontId="28" fillId="0" borderId="0" xfId="8" applyNumberFormat="1" applyFont="1"/>
    <xf numFmtId="43" fontId="0" fillId="18" borderId="15" xfId="2" applyFont="1" applyFill="1" applyBorder="1"/>
    <xf numFmtId="43" fontId="1" fillId="18" borderId="15" xfId="6" applyNumberFormat="1" applyFill="1" applyBorder="1"/>
    <xf numFmtId="43" fontId="28" fillId="19" borderId="15" xfId="8" applyNumberFormat="1" applyFont="1" applyFill="1" applyBorder="1"/>
    <xf numFmtId="43" fontId="0" fillId="18" borderId="0" xfId="2" applyFont="1" applyFill="1"/>
    <xf numFmtId="43" fontId="1" fillId="18" borderId="0" xfId="6" applyNumberFormat="1" applyFill="1"/>
    <xf numFmtId="43" fontId="28" fillId="19" borderId="0" xfId="8" applyNumberFormat="1" applyFont="1" applyFill="1"/>
    <xf numFmtId="0" fontId="0" fillId="0" borderId="0" xfId="6" applyFont="1"/>
    <xf numFmtId="43" fontId="28" fillId="0" borderId="0" xfId="2" applyFont="1"/>
    <xf numFmtId="0" fontId="1" fillId="19" borderId="0" xfId="6" applyFill="1"/>
    <xf numFmtId="0" fontId="1" fillId="0" borderId="0" xfId="6" applyAlignment="1">
      <alignment wrapText="1"/>
    </xf>
    <xf numFmtId="0" fontId="0" fillId="0" borderId="0" xfId="6" applyFont="1" applyAlignment="1">
      <alignment horizontal="center" vertical="center"/>
    </xf>
    <xf numFmtId="0" fontId="0" fillId="0" borderId="0" xfId="6" applyFont="1" applyAlignment="1">
      <alignment wrapText="1"/>
    </xf>
    <xf numFmtId="0" fontId="1" fillId="0" borderId="0" xfId="6" applyAlignment="1">
      <alignment horizontal="right" vertical="center"/>
    </xf>
    <xf numFmtId="43" fontId="1" fillId="0" borderId="0" xfId="1"/>
    <xf numFmtId="0" fontId="1" fillId="0" borderId="0" xfId="6" applyFill="1"/>
    <xf numFmtId="0" fontId="2" fillId="0" borderId="0" xfId="6" applyFont="1" applyFill="1"/>
    <xf numFmtId="0" fontId="0" fillId="0" borderId="0" xfId="6" applyFont="1" applyFill="1" applyAlignment="1">
      <alignment wrapText="1"/>
    </xf>
    <xf numFmtId="43" fontId="1" fillId="0" borderId="0" xfId="6" applyNumberFormat="1" applyFill="1"/>
    <xf numFmtId="43" fontId="23" fillId="0" borderId="19" xfId="3" applyNumberFormat="1" applyFont="1" applyFill="1" applyBorder="1"/>
    <xf numFmtId="43" fontId="24" fillId="0" borderId="19" xfId="3" applyNumberFormat="1" applyFont="1" applyFill="1" applyBorder="1"/>
    <xf numFmtId="43" fontId="19" fillId="0" borderId="19" xfId="3" applyNumberFormat="1" applyFont="1" applyFill="1" applyBorder="1"/>
    <xf numFmtId="43" fontId="22" fillId="0" borderId="15" xfId="3" applyNumberFormat="1" applyFont="1" applyFill="1" applyBorder="1"/>
    <xf numFmtId="43" fontId="20" fillId="0" borderId="18" xfId="3" applyNumberFormat="1" applyFont="1" applyFill="1" applyBorder="1"/>
    <xf numFmtId="0" fontId="13" fillId="0" borderId="17" xfId="0" applyFont="1" applyBorder="1" applyAlignment="1">
      <alignment vertical="center"/>
    </xf>
    <xf numFmtId="0" fontId="12" fillId="0" borderId="0" xfId="0" applyFont="1" applyAlignment="1">
      <alignment vertical="center"/>
    </xf>
    <xf numFmtId="43" fontId="24" fillId="8" borderId="27" xfId="3" applyNumberFormat="1" applyFont="1" applyFill="1" applyBorder="1"/>
    <xf numFmtId="165" fontId="9" fillId="0" borderId="29" xfId="3" applyNumberFormat="1" applyFont="1" applyBorder="1" applyAlignment="1">
      <alignment horizontal="center" vertical="center" wrapText="1"/>
    </xf>
    <xf numFmtId="3" fontId="9" fillId="4" borderId="18" xfId="0" applyNumberFormat="1" applyFont="1" applyFill="1" applyBorder="1" applyAlignment="1">
      <alignment horizontal="left" vertical="center" wrapText="1"/>
    </xf>
    <xf numFmtId="0" fontId="0" fillId="0" borderId="0" xfId="6" applyFont="1" applyFill="1"/>
    <xf numFmtId="0" fontId="28" fillId="0" borderId="0" xfId="6" applyFont="1" applyFill="1"/>
    <xf numFmtId="0" fontId="29" fillId="0" borderId="0" xfId="6" applyFont="1" applyFill="1"/>
    <xf numFmtId="0" fontId="1" fillId="0" borderId="0" xfId="6" applyFill="1" applyAlignment="1">
      <alignment wrapText="1"/>
    </xf>
    <xf numFmtId="0" fontId="1" fillId="0" borderId="0" xfId="6" applyFill="1" applyAlignment="1">
      <alignment horizontal="center"/>
    </xf>
    <xf numFmtId="0" fontId="28" fillId="0" borderId="22" xfId="8" applyFont="1" applyFill="1" applyBorder="1" applyAlignment="1">
      <alignment horizontal="center"/>
    </xf>
    <xf numFmtId="0" fontId="28" fillId="0" borderId="24" xfId="8" applyFont="1" applyFill="1" applyBorder="1" applyAlignment="1">
      <alignment horizontal="center"/>
    </xf>
    <xf numFmtId="0" fontId="28" fillId="0" borderId="15" xfId="8" applyFont="1" applyFill="1" applyBorder="1" applyAlignment="1">
      <alignment horizontal="center"/>
    </xf>
    <xf numFmtId="3" fontId="9" fillId="0" borderId="18" xfId="3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3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0" fontId="12" fillId="0" borderId="19" xfId="0" applyFont="1" applyFill="1" applyBorder="1"/>
    <xf numFmtId="0" fontId="12" fillId="0" borderId="18" xfId="0" applyFont="1" applyFill="1" applyBorder="1"/>
    <xf numFmtId="0" fontId="22" fillId="0" borderId="23" xfId="3" applyFont="1" applyBorder="1"/>
    <xf numFmtId="0" fontId="20" fillId="0" borderId="22" xfId="3" applyFont="1" applyBorder="1" applyAlignment="1">
      <alignment horizontal="left" wrapText="1"/>
    </xf>
    <xf numFmtId="0" fontId="20" fillId="0" borderId="23" xfId="3" applyFont="1" applyBorder="1" applyAlignment="1">
      <alignment horizontal="left" wrapText="1"/>
    </xf>
    <xf numFmtId="0" fontId="20" fillId="0" borderId="24" xfId="3" applyFont="1" applyBorder="1" applyAlignment="1">
      <alignment horizontal="left" wrapText="1"/>
    </xf>
    <xf numFmtId="0" fontId="20" fillId="0" borderId="22" xfId="3" applyFont="1" applyBorder="1" applyAlignment="1">
      <alignment wrapText="1"/>
    </xf>
    <xf numFmtId="0" fontId="20" fillId="0" borderId="23" xfId="3" applyFont="1" applyBorder="1" applyAlignment="1">
      <alignment wrapText="1"/>
    </xf>
    <xf numFmtId="0" fontId="20" fillId="0" borderId="24" xfId="3" applyFont="1" applyBorder="1" applyAlignment="1">
      <alignment wrapText="1"/>
    </xf>
    <xf numFmtId="3" fontId="9" fillId="0" borderId="18" xfId="9" applyNumberFormat="1" applyFont="1" applyBorder="1" applyAlignment="1">
      <alignment horizontal="left" vertical="center" wrapText="1"/>
    </xf>
    <xf numFmtId="3" fontId="12" fillId="0" borderId="18" xfId="9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3" fontId="12" fillId="0" borderId="0" xfId="1" applyFont="1"/>
    <xf numFmtId="3" fontId="9" fillId="0" borderId="19" xfId="3" applyNumberFormat="1" applyFont="1" applyBorder="1" applyAlignment="1" applyProtection="1">
      <alignment horizontal="center" vertical="center" wrapText="1"/>
      <protection locked="0"/>
    </xf>
    <xf numFmtId="3" fontId="17" fillId="0" borderId="0" xfId="3" applyNumberFormat="1" applyFont="1" applyAlignment="1">
      <alignment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left" vertical="center" wrapText="1"/>
    </xf>
    <xf numFmtId="3" fontId="9" fillId="0" borderId="18" xfId="0" applyNumberFormat="1" applyFont="1" applyBorder="1" applyAlignment="1" applyProtection="1">
      <alignment horizontal="center" vertical="center" wrapText="1"/>
      <protection locked="0"/>
    </xf>
    <xf numFmtId="3" fontId="9" fillId="0" borderId="18" xfId="0" applyNumberFormat="1" applyFont="1" applyBorder="1" applyAlignment="1">
      <alignment horizontal="left" vertical="center" wrapText="1"/>
    </xf>
    <xf numFmtId="3" fontId="9" fillId="0" borderId="27" xfId="0" applyNumberFormat="1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left" vertical="center" wrapText="1"/>
    </xf>
    <xf numFmtId="3" fontId="9" fillId="0" borderId="27" xfId="0" applyNumberFormat="1" applyFont="1" applyBorder="1" applyAlignment="1" applyProtection="1">
      <alignment horizontal="center" vertical="center" wrapText="1"/>
      <protection locked="0"/>
    </xf>
    <xf numFmtId="43" fontId="9" fillId="0" borderId="27" xfId="2" applyFont="1" applyBorder="1" applyAlignment="1">
      <alignment horizontal="left" vertical="center" wrapText="1"/>
    </xf>
    <xf numFmtId="3" fontId="9" fillId="0" borderId="18" xfId="0" applyNumberFormat="1" applyFont="1" applyBorder="1" applyAlignment="1">
      <alignment horizontal="center" vertical="center"/>
    </xf>
    <xf numFmtId="3" fontId="9" fillId="0" borderId="18" xfId="3" applyNumberFormat="1" applyFont="1" applyBorder="1" applyAlignment="1" applyProtection="1">
      <alignment horizontal="center" vertical="center" wrapText="1"/>
      <protection locked="0"/>
    </xf>
    <xf numFmtId="3" fontId="7" fillId="4" borderId="19" xfId="0" applyNumberFormat="1" applyFont="1" applyFill="1" applyBorder="1" applyAlignment="1">
      <alignment horizontal="left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33" fillId="0" borderId="26" xfId="0" applyNumberFormat="1" applyFont="1" applyBorder="1" applyAlignment="1">
      <alignment horizontal="left" vertical="center" wrapText="1"/>
    </xf>
    <xf numFmtId="43" fontId="7" fillId="0" borderId="25" xfId="1" applyFont="1" applyBorder="1" applyAlignment="1">
      <alignment horizontal="center" vertical="center" wrapText="1"/>
    </xf>
    <xf numFmtId="3" fontId="9" fillId="20" borderId="17" xfId="0" applyNumberFormat="1" applyFont="1" applyFill="1" applyBorder="1" applyAlignment="1">
      <alignment horizontal="center" vertical="center" wrapText="1"/>
    </xf>
    <xf numFmtId="3" fontId="7" fillId="20" borderId="17" xfId="0" applyNumberFormat="1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justify" vertical="center"/>
    </xf>
    <xf numFmtId="3" fontId="12" fillId="0" borderId="18" xfId="0" applyNumberFormat="1" applyFont="1" applyBorder="1" applyAlignment="1">
      <alignment horizontal="center" vertical="center"/>
    </xf>
    <xf numFmtId="43" fontId="12" fillId="0" borderId="18" xfId="1" applyFont="1" applyFill="1" applyBorder="1" applyAlignment="1">
      <alignment vertical="center"/>
    </xf>
    <xf numFmtId="43" fontId="12" fillId="3" borderId="0" xfId="1" applyFont="1" applyFill="1"/>
    <xf numFmtId="0" fontId="12" fillId="3" borderId="0" xfId="0" applyFont="1" applyFill="1"/>
    <xf numFmtId="3" fontId="9" fillId="0" borderId="18" xfId="0" applyNumberFormat="1" applyFont="1" applyBorder="1" applyAlignment="1">
      <alignment horizontal="justify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justify" vertical="center" wrapText="1"/>
    </xf>
    <xf numFmtId="3" fontId="34" fillId="0" borderId="18" xfId="3" applyNumberFormat="1" applyFont="1" applyBorder="1" applyAlignment="1">
      <alignment horizontal="left" vertical="center" wrapText="1"/>
    </xf>
    <xf numFmtId="43" fontId="9" fillId="0" borderId="30" xfId="2" applyFont="1" applyBorder="1" applyAlignment="1">
      <alignment horizontal="righ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9" fillId="0" borderId="16" xfId="3" applyFont="1" applyBorder="1" applyAlignment="1">
      <alignment wrapText="1"/>
    </xf>
    <xf numFmtId="43" fontId="19" fillId="0" borderId="16" xfId="2" applyFont="1" applyBorder="1"/>
    <xf numFmtId="2" fontId="19" fillId="0" borderId="16" xfId="3" applyNumberFormat="1" applyFont="1" applyBorder="1"/>
    <xf numFmtId="166" fontId="19" fillId="0" borderId="16" xfId="3" applyNumberFormat="1" applyFont="1" applyBorder="1"/>
    <xf numFmtId="0" fontId="19" fillId="0" borderId="16" xfId="3" applyFont="1" applyBorder="1"/>
    <xf numFmtId="43" fontId="20" fillId="0" borderId="16" xfId="3" applyNumberFormat="1" applyFont="1" applyBorder="1"/>
    <xf numFmtId="0" fontId="19" fillId="0" borderId="26" xfId="3" applyFont="1" applyBorder="1" applyAlignment="1">
      <alignment wrapText="1"/>
    </xf>
    <xf numFmtId="0" fontId="20" fillId="0" borderId="19" xfId="3" applyFont="1" applyBorder="1" applyAlignment="1">
      <alignment wrapText="1"/>
    </xf>
    <xf numFmtId="0" fontId="20" fillId="0" borderId="19" xfId="3" applyFont="1" applyBorder="1" applyAlignment="1">
      <alignment horizontal="right" wrapText="1"/>
    </xf>
    <xf numFmtId="43" fontId="19" fillId="8" borderId="18" xfId="3" applyNumberFormat="1" applyFont="1" applyFill="1" applyBorder="1"/>
    <xf numFmtId="43" fontId="0" fillId="0" borderId="0" xfId="7" applyFont="1" applyFill="1"/>
    <xf numFmtId="43" fontId="0" fillId="0" borderId="15" xfId="2" applyFont="1" applyFill="1" applyBorder="1"/>
    <xf numFmtId="43" fontId="1" fillId="0" borderId="15" xfId="2" applyFont="1" applyFill="1" applyBorder="1"/>
    <xf numFmtId="43" fontId="28" fillId="0" borderId="15" xfId="2" applyFont="1" applyFill="1" applyBorder="1"/>
    <xf numFmtId="43" fontId="0" fillId="0" borderId="0" xfId="2" applyFont="1" applyFill="1"/>
    <xf numFmtId="43" fontId="1" fillId="0" borderId="0" xfId="2" applyFont="1" applyFill="1"/>
    <xf numFmtId="43" fontId="28" fillId="0" borderId="0" xfId="2" applyFont="1" applyFill="1"/>
    <xf numFmtId="0" fontId="28" fillId="0" borderId="0" xfId="6" applyFont="1"/>
    <xf numFmtId="0" fontId="29" fillId="0" borderId="0" xfId="6" applyFont="1"/>
    <xf numFmtId="43" fontId="0" fillId="0" borderId="0" xfId="1" applyFont="1" applyAlignment="1">
      <alignment vertical="center" wrapText="1"/>
    </xf>
    <xf numFmtId="43" fontId="0" fillId="0" borderId="0" xfId="1" applyFont="1" applyAlignment="1">
      <alignment wrapText="1"/>
    </xf>
    <xf numFmtId="3" fontId="9" fillId="0" borderId="31" xfId="3" applyNumberFormat="1" applyFont="1" applyBorder="1" applyAlignment="1">
      <alignment horizontal="left" vertical="center"/>
    </xf>
    <xf numFmtId="0" fontId="12" fillId="8" borderId="0" xfId="0" applyFont="1" applyFill="1"/>
    <xf numFmtId="43" fontId="37" fillId="0" borderId="0" xfId="1" applyFont="1" applyAlignment="1">
      <alignment vertical="center" wrapText="1"/>
    </xf>
    <xf numFmtId="0" fontId="20" fillId="0" borderId="27" xfId="3" applyFont="1" applyBorder="1" applyAlignment="1">
      <alignment wrapText="1"/>
    </xf>
    <xf numFmtId="0" fontId="1" fillId="21" borderId="0" xfId="6" applyFill="1"/>
    <xf numFmtId="0" fontId="2" fillId="21" borderId="0" xfId="6" applyFont="1" applyFill="1"/>
    <xf numFmtId="0" fontId="1" fillId="21" borderId="0" xfId="6" applyFill="1" applyAlignment="1">
      <alignment wrapText="1"/>
    </xf>
    <xf numFmtId="43" fontId="1" fillId="0" borderId="0" xfId="1" applyFill="1"/>
    <xf numFmtId="43" fontId="0" fillId="22" borderId="0" xfId="1" applyFont="1" applyFill="1"/>
    <xf numFmtId="43" fontId="0" fillId="0" borderId="0" xfId="1" applyFont="1" applyAlignment="1">
      <alignment horizontal="left" vertical="center"/>
    </xf>
    <xf numFmtId="43" fontId="0" fillId="0" borderId="0" xfId="1" applyFont="1" applyAlignment="1">
      <alignment horizontal="left"/>
    </xf>
    <xf numFmtId="43" fontId="0" fillId="0" borderId="0" xfId="1" applyFont="1" applyAlignment="1">
      <alignment horizontal="left" vertical="top"/>
    </xf>
    <xf numFmtId="43" fontId="0" fillId="0" borderId="0" xfId="1" applyFont="1" applyAlignment="1">
      <alignment horizontal="right"/>
    </xf>
    <xf numFmtId="43" fontId="0" fillId="0" borderId="0" xfId="1" applyFont="1" applyAlignment="1"/>
    <xf numFmtId="43" fontId="0" fillId="0" borderId="0" xfId="1" applyFont="1" applyAlignment="1">
      <alignment horizontal="center"/>
    </xf>
    <xf numFmtId="0" fontId="9" fillId="0" borderId="1" xfId="3" applyFont="1" applyBorder="1" applyAlignment="1">
      <alignment horizontal="center"/>
    </xf>
    <xf numFmtId="0" fontId="9" fillId="0" borderId="2" xfId="3" applyFont="1" applyBorder="1"/>
    <xf numFmtId="0" fontId="9" fillId="0" borderId="2" xfId="3" applyFont="1" applyBorder="1" applyAlignment="1">
      <alignment horizontal="center"/>
    </xf>
    <xf numFmtId="3" fontId="9" fillId="0" borderId="2" xfId="3" applyNumberFormat="1" applyFont="1" applyBorder="1" applyAlignment="1">
      <alignment horizontal="center"/>
    </xf>
    <xf numFmtId="43" fontId="9" fillId="0" borderId="2" xfId="2" applyFont="1" applyBorder="1" applyAlignment="1">
      <alignment horizontal="right"/>
    </xf>
    <xf numFmtId="43" fontId="9" fillId="0" borderId="3" xfId="2" applyFont="1" applyBorder="1" applyAlignment="1">
      <alignment horizontal="right"/>
    </xf>
    <xf numFmtId="43" fontId="9" fillId="0" borderId="0" xfId="2" applyFont="1" applyBorder="1" applyAlignment="1">
      <alignment horizontal="right"/>
    </xf>
    <xf numFmtId="0" fontId="9" fillId="0" borderId="0" xfId="3" applyFont="1" applyAlignment="1">
      <alignment vertical="top"/>
    </xf>
    <xf numFmtId="0" fontId="38" fillId="0" borderId="0" xfId="3" applyFont="1" applyAlignment="1">
      <alignment horizontal="center" vertical="center" wrapText="1"/>
    </xf>
    <xf numFmtId="43" fontId="9" fillId="0" borderId="0" xfId="2" applyFont="1" applyAlignment="1">
      <alignment vertical="top"/>
    </xf>
    <xf numFmtId="9" fontId="9" fillId="0" borderId="0" xfId="4" applyFont="1" applyAlignment="1">
      <alignment vertical="top"/>
    </xf>
    <xf numFmtId="0" fontId="6" fillId="0" borderId="0" xfId="3" applyFont="1" applyAlignment="1">
      <alignment horizontal="center" vertical="center"/>
    </xf>
    <xf numFmtId="0" fontId="7" fillId="0" borderId="33" xfId="3" applyFont="1" applyBorder="1" applyAlignment="1">
      <alignment horizontal="center" vertical="center"/>
    </xf>
    <xf numFmtId="43" fontId="7" fillId="0" borderId="34" xfId="2" applyFont="1" applyBorder="1" applyAlignment="1">
      <alignment horizontal="center" vertical="center"/>
    </xf>
    <xf numFmtId="43" fontId="7" fillId="0" borderId="0" xfId="2" applyFont="1" applyBorder="1" applyAlignment="1">
      <alignment horizontal="center" vertical="center"/>
    </xf>
    <xf numFmtId="0" fontId="9" fillId="0" borderId="0" xfId="3" applyFont="1" applyAlignment="1">
      <alignment wrapText="1"/>
    </xf>
    <xf numFmtId="0" fontId="39" fillId="2" borderId="0" xfId="3" applyFont="1" applyFill="1" applyAlignment="1">
      <alignment horizontal="center" vertical="center"/>
    </xf>
    <xf numFmtId="168" fontId="39" fillId="2" borderId="0" xfId="4" applyNumberFormat="1" applyFont="1" applyFill="1" applyBorder="1" applyAlignment="1">
      <alignment horizontal="center" vertical="center"/>
    </xf>
    <xf numFmtId="0" fontId="7" fillId="0" borderId="33" xfId="3" applyFont="1" applyBorder="1" applyAlignment="1">
      <alignment horizontal="left" vertical="center" indent="1"/>
    </xf>
    <xf numFmtId="3" fontId="7" fillId="0" borderId="33" xfId="3" applyNumberFormat="1" applyFont="1" applyBorder="1" applyAlignment="1">
      <alignment horizontal="center" vertical="center"/>
    </xf>
    <xf numFmtId="43" fontId="7" fillId="0" borderId="16" xfId="2" applyFont="1" applyBorder="1" applyAlignment="1">
      <alignment horizontal="center" vertical="center"/>
    </xf>
    <xf numFmtId="43" fontId="9" fillId="0" borderId="0" xfId="2" applyFont="1" applyBorder="1" applyAlignment="1">
      <alignment horizontal="right" vertical="center"/>
    </xf>
    <xf numFmtId="43" fontId="9" fillId="0" borderId="0" xfId="4" applyNumberFormat="1" applyFont="1" applyAlignment="1">
      <alignment vertical="center"/>
    </xf>
    <xf numFmtId="43" fontId="9" fillId="0" borderId="0" xfId="2" applyFont="1" applyFill="1" applyBorder="1" applyAlignment="1">
      <alignment horizontal="right" vertical="center"/>
    </xf>
    <xf numFmtId="168" fontId="9" fillId="0" borderId="0" xfId="10" applyNumberFormat="1" applyFont="1" applyFill="1" applyBorder="1" applyAlignment="1">
      <alignment horizontal="right" vertical="center"/>
    </xf>
    <xf numFmtId="3" fontId="9" fillId="0" borderId="9" xfId="3" applyNumberFormat="1" applyFont="1" applyBorder="1" applyAlignment="1">
      <alignment vertical="center"/>
    </xf>
    <xf numFmtId="166" fontId="9" fillId="0" borderId="0" xfId="4" applyNumberFormat="1" applyFont="1" applyAlignment="1">
      <alignment vertical="center"/>
    </xf>
    <xf numFmtId="14" fontId="9" fillId="0" borderId="0" xfId="3" applyNumberFormat="1" applyFont="1" applyAlignment="1">
      <alignment vertical="center"/>
    </xf>
    <xf numFmtId="9" fontId="9" fillId="0" borderId="10" xfId="4" applyFont="1" applyFill="1" applyBorder="1" applyAlignment="1">
      <alignment vertical="center"/>
    </xf>
    <xf numFmtId="3" fontId="9" fillId="0" borderId="40" xfId="3" applyNumberFormat="1" applyFont="1" applyBorder="1" applyAlignment="1">
      <alignment vertical="center"/>
    </xf>
    <xf numFmtId="0" fontId="9" fillId="0" borderId="41" xfId="3" applyFont="1" applyBorder="1" applyAlignment="1">
      <alignment vertical="center"/>
    </xf>
    <xf numFmtId="0" fontId="9" fillId="0" borderId="41" xfId="3" applyFont="1" applyBorder="1" applyAlignment="1">
      <alignment horizontal="center" vertical="center"/>
    </xf>
    <xf numFmtId="43" fontId="9" fillId="0" borderId="41" xfId="2" applyFont="1" applyFill="1" applyBorder="1" applyAlignment="1">
      <alignment horizontal="left" vertical="center"/>
    </xf>
    <xf numFmtId="43" fontId="7" fillId="0" borderId="15" xfId="2" applyFont="1" applyBorder="1" applyAlignment="1">
      <alignment horizontal="right" vertical="center"/>
    </xf>
    <xf numFmtId="43" fontId="7" fillId="0" borderId="0" xfId="2" applyFont="1" applyBorder="1" applyAlignment="1">
      <alignment horizontal="right" vertical="center"/>
    </xf>
    <xf numFmtId="168" fontId="9" fillId="0" borderId="0" xfId="4" applyNumberFormat="1" applyFont="1" applyAlignment="1">
      <alignment vertical="center"/>
    </xf>
    <xf numFmtId="3" fontId="9" fillId="0" borderId="23" xfId="3" applyNumberFormat="1" applyFont="1" applyBorder="1" applyAlignment="1">
      <alignment vertical="center"/>
    </xf>
    <xf numFmtId="0" fontId="9" fillId="0" borderId="23" xfId="3" applyFont="1" applyBorder="1" applyAlignment="1">
      <alignment horizontal="center" vertical="center"/>
    </xf>
    <xf numFmtId="43" fontId="9" fillId="0" borderId="24" xfId="2" applyFont="1" applyBorder="1" applyAlignment="1">
      <alignment horizontal="center" vertical="center"/>
    </xf>
    <xf numFmtId="0" fontId="9" fillId="0" borderId="0" xfId="3" applyFont="1" applyAlignment="1">
      <alignment horizontal="left" vertical="top" wrapText="1"/>
    </xf>
    <xf numFmtId="43" fontId="9" fillId="0" borderId="0" xfId="3" applyNumberFormat="1" applyFont="1" applyAlignment="1">
      <alignment horizontal="left" vertical="top" wrapText="1"/>
    </xf>
    <xf numFmtId="43" fontId="9" fillId="0" borderId="0" xfId="2" applyFont="1" applyAlignment="1">
      <alignment horizontal="left" vertical="top" wrapText="1"/>
    </xf>
    <xf numFmtId="0" fontId="9" fillId="0" borderId="0" xfId="3" applyFont="1" applyAlignment="1">
      <alignment vertical="center" wrapText="1"/>
    </xf>
    <xf numFmtId="14" fontId="9" fillId="0" borderId="0" xfId="2" applyNumberFormat="1" applyFont="1" applyAlignment="1">
      <alignment horizontal="right" vertical="center"/>
    </xf>
    <xf numFmtId="3" fontId="15" fillId="0" borderId="0" xfId="3" applyNumberFormat="1" applyFont="1" applyAlignment="1">
      <alignment vertical="center" wrapText="1"/>
    </xf>
    <xf numFmtId="43" fontId="11" fillId="0" borderId="0" xfId="2" applyFont="1" applyAlignment="1">
      <alignment vertical="center" wrapText="1"/>
    </xf>
    <xf numFmtId="3" fontId="15" fillId="0" borderId="0" xfId="3" applyNumberFormat="1" applyFont="1" applyAlignment="1">
      <alignment horizontal="center" vertical="center" wrapText="1"/>
    </xf>
    <xf numFmtId="3" fontId="7" fillId="0" borderId="19" xfId="3" applyNumberFormat="1" applyFont="1" applyBorder="1" applyAlignment="1">
      <alignment horizontal="left" vertical="center" wrapText="1"/>
    </xf>
    <xf numFmtId="3" fontId="9" fillId="0" borderId="0" xfId="3" applyNumberFormat="1" applyFont="1" applyAlignment="1">
      <alignment vertical="center" wrapText="1"/>
    </xf>
    <xf numFmtId="3" fontId="9" fillId="0" borderId="18" xfId="3" applyNumberFormat="1" applyFont="1" applyBorder="1" applyAlignment="1">
      <alignment vertical="center" wrapText="1"/>
    </xf>
    <xf numFmtId="43" fontId="9" fillId="0" borderId="0" xfId="2" applyFont="1" applyAlignment="1">
      <alignment vertical="center" wrapText="1"/>
    </xf>
    <xf numFmtId="3" fontId="9" fillId="0" borderId="19" xfId="3" applyNumberFormat="1" applyFont="1" applyBorder="1" applyAlignment="1">
      <alignment vertical="center" wrapText="1"/>
    </xf>
    <xf numFmtId="3" fontId="7" fillId="0" borderId="18" xfId="3" applyNumberFormat="1" applyFont="1" applyBorder="1" applyAlignment="1">
      <alignment horizontal="center" vertical="center" wrapText="1"/>
    </xf>
    <xf numFmtId="9" fontId="9" fillId="0" borderId="18" xfId="4" applyFont="1" applyBorder="1" applyAlignment="1">
      <alignment horizontal="center" vertical="center" wrapText="1"/>
    </xf>
    <xf numFmtId="9" fontId="9" fillId="0" borderId="18" xfId="2" applyNumberFormat="1" applyFont="1" applyBorder="1" applyAlignment="1">
      <alignment horizontal="right" vertical="center" wrapText="1"/>
    </xf>
    <xf numFmtId="10" fontId="9" fillId="0" borderId="0" xfId="3" applyNumberFormat="1" applyFont="1" applyAlignment="1">
      <alignment vertical="center" wrapText="1"/>
    </xf>
    <xf numFmtId="43" fontId="9" fillId="0" borderId="18" xfId="2" applyFont="1" applyBorder="1" applyAlignment="1" applyProtection="1">
      <alignment horizontal="right" vertical="center" wrapText="1"/>
      <protection locked="0"/>
    </xf>
    <xf numFmtId="9" fontId="9" fillId="0" borderId="18" xfId="2" applyNumberFormat="1" applyFont="1" applyBorder="1" applyAlignment="1" applyProtection="1">
      <alignment horizontal="right" vertical="center" wrapText="1"/>
      <protection locked="0"/>
    </xf>
    <xf numFmtId="0" fontId="7" fillId="0" borderId="18" xfId="3" applyFont="1" applyBorder="1" applyAlignment="1">
      <alignment vertical="center"/>
    </xf>
    <xf numFmtId="0" fontId="9" fillId="0" borderId="18" xfId="3" applyFont="1" applyBorder="1" applyAlignment="1">
      <alignment vertical="center" wrapText="1"/>
    </xf>
    <xf numFmtId="0" fontId="9" fillId="0" borderId="19" xfId="3" applyFont="1" applyBorder="1" applyAlignment="1">
      <alignment vertical="center" wrapText="1"/>
    </xf>
    <xf numFmtId="3" fontId="7" fillId="0" borderId="19" xfId="3" applyNumberFormat="1" applyFont="1" applyBorder="1" applyAlignment="1">
      <alignment horizontal="left" vertical="center"/>
    </xf>
    <xf numFmtId="3" fontId="15" fillId="0" borderId="0" xfId="3" applyNumberFormat="1" applyFont="1" applyAlignment="1">
      <alignment vertical="center"/>
    </xf>
    <xf numFmtId="9" fontId="9" fillId="0" borderId="18" xfId="4" applyFont="1" applyBorder="1" applyAlignment="1">
      <alignment horizontal="right" vertical="center" wrapText="1"/>
    </xf>
    <xf numFmtId="3" fontId="9" fillId="0" borderId="15" xfId="3" applyNumberFormat="1" applyFont="1" applyBorder="1" applyAlignment="1">
      <alignment vertical="center" wrapText="1"/>
    </xf>
    <xf numFmtId="43" fontId="9" fillId="0" borderId="15" xfId="2" applyFont="1" applyBorder="1" applyAlignment="1">
      <alignment horizontal="center" vertical="center" wrapText="1"/>
    </xf>
    <xf numFmtId="3" fontId="9" fillId="0" borderId="27" xfId="3" applyNumberFormat="1" applyFont="1" applyBorder="1" applyAlignment="1">
      <alignment horizontal="center" vertical="center" wrapText="1"/>
    </xf>
    <xf numFmtId="3" fontId="7" fillId="0" borderId="27" xfId="3" applyNumberFormat="1" applyFont="1" applyBorder="1" applyAlignment="1">
      <alignment horizontal="center" vertical="center" wrapText="1"/>
    </xf>
    <xf numFmtId="3" fontId="7" fillId="0" borderId="27" xfId="3" applyNumberFormat="1" applyFont="1" applyBorder="1" applyAlignment="1" applyProtection="1">
      <alignment horizontal="center" vertical="center" wrapText="1"/>
      <protection locked="0"/>
    </xf>
    <xf numFmtId="43" fontId="7" fillId="0" borderId="27" xfId="2" applyFont="1" applyBorder="1" applyAlignment="1">
      <alignment horizontal="left" vertical="center" wrapText="1"/>
    </xf>
    <xf numFmtId="9" fontId="9" fillId="0" borderId="27" xfId="4" applyFont="1" applyBorder="1" applyAlignment="1" applyProtection="1">
      <alignment horizontal="center" vertical="center" wrapText="1"/>
      <protection locked="0"/>
    </xf>
    <xf numFmtId="9" fontId="9" fillId="0" borderId="27" xfId="4" applyFont="1" applyBorder="1" applyAlignment="1" applyProtection="1">
      <alignment horizontal="right" vertical="center" wrapText="1"/>
      <protection locked="0"/>
    </xf>
    <xf numFmtId="0" fontId="9" fillId="0" borderId="18" xfId="3" applyFont="1" applyBorder="1" applyAlignment="1" applyProtection="1">
      <alignment horizontal="center" vertical="center" wrapText="1"/>
      <protection locked="0"/>
    </xf>
    <xf numFmtId="43" fontId="9" fillId="0" borderId="30" xfId="2" applyFont="1" applyBorder="1" applyAlignment="1">
      <alignment vertical="center" wrapText="1"/>
    </xf>
    <xf numFmtId="0" fontId="7" fillId="0" borderId="18" xfId="3" applyFont="1" applyBorder="1" applyAlignment="1">
      <alignment horizontal="center" vertical="center" wrapText="1"/>
    </xf>
    <xf numFmtId="43" fontId="7" fillId="0" borderId="18" xfId="2" applyFont="1" applyBorder="1" applyAlignment="1" applyProtection="1">
      <alignment horizontal="right" vertical="center" wrapText="1"/>
      <protection locked="0"/>
    </xf>
    <xf numFmtId="43" fontId="7" fillId="0" borderId="30" xfId="2" applyFont="1" applyBorder="1" applyAlignment="1">
      <alignment vertical="center" wrapText="1"/>
    </xf>
    <xf numFmtId="9" fontId="9" fillId="0" borderId="18" xfId="3" applyNumberFormat="1" applyFont="1" applyBorder="1" applyAlignment="1">
      <alignment horizontal="right" vertical="center" wrapText="1"/>
    </xf>
    <xf numFmtId="3" fontId="9" fillId="0" borderId="15" xfId="3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 applyProtection="1">
      <alignment horizontal="center" vertical="center" wrapText="1"/>
      <protection locked="0"/>
    </xf>
    <xf numFmtId="3" fontId="9" fillId="0" borderId="26" xfId="3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  <protection locked="0"/>
    </xf>
    <xf numFmtId="3" fontId="9" fillId="0" borderId="26" xfId="0" applyNumberFormat="1" applyFont="1" applyBorder="1" applyAlignment="1">
      <alignment horizontal="center" vertical="center" wrapText="1"/>
    </xf>
    <xf numFmtId="43" fontId="42" fillId="0" borderId="15" xfId="2" applyFont="1" applyBorder="1" applyAlignment="1">
      <alignment horizontal="right" vertical="center" wrapText="1" indent="1"/>
    </xf>
    <xf numFmtId="3" fontId="15" fillId="0" borderId="0" xfId="3" applyNumberFormat="1" applyFont="1" applyAlignment="1">
      <alignment wrapText="1"/>
    </xf>
    <xf numFmtId="3" fontId="11" fillId="0" borderId="0" xfId="3" applyNumberFormat="1" applyFont="1" applyAlignment="1">
      <alignment wrapText="1"/>
    </xf>
    <xf numFmtId="3" fontId="11" fillId="0" borderId="0" xfId="3" applyNumberFormat="1" applyFont="1" applyAlignment="1">
      <alignment horizontal="center" vertical="center" wrapText="1"/>
    </xf>
    <xf numFmtId="43" fontId="11" fillId="0" borderId="0" xfId="2" applyFont="1" applyAlignment="1">
      <alignment horizontal="right" vertical="center" wrapText="1"/>
    </xf>
    <xf numFmtId="3" fontId="11" fillId="0" borderId="0" xfId="3" applyNumberFormat="1" applyFont="1" applyAlignment="1">
      <alignment horizontal="center" wrapText="1"/>
    </xf>
    <xf numFmtId="43" fontId="11" fillId="0" borderId="0" xfId="2" applyFont="1" applyAlignment="1">
      <alignment horizontal="right" wrapText="1"/>
    </xf>
    <xf numFmtId="3" fontId="11" fillId="0" borderId="15" xfId="3" applyNumberFormat="1" applyFont="1" applyBorder="1" applyAlignment="1">
      <alignment wrapText="1"/>
    </xf>
    <xf numFmtId="0" fontId="43" fillId="0" borderId="15" xfId="3" applyFont="1" applyBorder="1" applyAlignment="1">
      <alignment horizontal="justify" vertical="center" wrapText="1"/>
    </xf>
    <xf numFmtId="0" fontId="44" fillId="0" borderId="19" xfId="3" applyFont="1" applyBorder="1" applyAlignment="1">
      <alignment horizontal="justify" vertical="center" wrapText="1"/>
    </xf>
    <xf numFmtId="0" fontId="44" fillId="0" borderId="19" xfId="3" applyFont="1" applyBorder="1" applyAlignment="1">
      <alignment horizontal="center" vertical="center" wrapText="1"/>
    </xf>
    <xf numFmtId="43" fontId="11" fillId="0" borderId="19" xfId="2" applyFont="1" applyBorder="1" applyAlignment="1">
      <alignment wrapText="1"/>
    </xf>
    <xf numFmtId="3" fontId="11" fillId="0" borderId="19" xfId="3" applyNumberFormat="1" applyFont="1" applyBorder="1" applyAlignment="1">
      <alignment wrapText="1"/>
    </xf>
    <xf numFmtId="0" fontId="44" fillId="0" borderId="18" xfId="3" applyFont="1" applyBorder="1" applyAlignment="1">
      <alignment horizontal="justify" vertical="center" wrapText="1"/>
    </xf>
    <xf numFmtId="0" fontId="44" fillId="0" borderId="18" xfId="3" applyFont="1" applyBorder="1" applyAlignment="1">
      <alignment horizontal="center" vertical="center" wrapText="1"/>
    </xf>
    <xf numFmtId="3" fontId="11" fillId="0" borderId="18" xfId="3" applyNumberFormat="1" applyFont="1" applyBorder="1" applyAlignment="1">
      <alignment wrapText="1"/>
    </xf>
    <xf numFmtId="10" fontId="11" fillId="0" borderId="0" xfId="10" applyNumberFormat="1" applyFont="1" applyAlignment="1">
      <alignment wrapText="1"/>
    </xf>
    <xf numFmtId="168" fontId="11" fillId="0" borderId="0" xfId="4" applyNumberFormat="1" applyFont="1" applyAlignment="1">
      <alignment horizontal="right" wrapText="1"/>
    </xf>
    <xf numFmtId="3" fontId="11" fillId="0" borderId="28" xfId="3" applyNumberFormat="1" applyFont="1" applyBorder="1" applyAlignment="1">
      <alignment wrapText="1"/>
    </xf>
    <xf numFmtId="9" fontId="11" fillId="0" borderId="0" xfId="4" applyFont="1" applyAlignment="1">
      <alignment horizontal="right" wrapText="1"/>
    </xf>
    <xf numFmtId="3" fontId="11" fillId="4" borderId="0" xfId="5" applyNumberFormat="1" applyFont="1" applyFill="1" applyAlignment="1">
      <alignment vertical="center" wrapText="1"/>
    </xf>
    <xf numFmtId="0" fontId="7" fillId="0" borderId="16" xfId="5" applyFont="1" applyBorder="1" applyAlignment="1">
      <alignment horizontal="center" vertical="center"/>
    </xf>
    <xf numFmtId="0" fontId="8" fillId="0" borderId="0" xfId="5"/>
    <xf numFmtId="0" fontId="7" fillId="0" borderId="15" xfId="5" applyFont="1" applyBorder="1" applyAlignment="1">
      <alignment horizontal="left" vertical="center" indent="1"/>
    </xf>
    <xf numFmtId="0" fontId="45" fillId="0" borderId="15" xfId="5" applyFont="1" applyBorder="1" applyAlignment="1">
      <alignment vertical="center"/>
    </xf>
    <xf numFmtId="167" fontId="7" fillId="0" borderId="15" xfId="2" applyNumberFormat="1" applyFont="1" applyBorder="1" applyAlignment="1">
      <alignment horizontal="center" vertical="center"/>
    </xf>
    <xf numFmtId="0" fontId="9" fillId="0" borderId="17" xfId="5" applyFont="1" applyBorder="1" applyAlignment="1">
      <alignment horizontal="center" vertical="center"/>
    </xf>
    <xf numFmtId="0" fontId="9" fillId="0" borderId="17" xfId="5" applyFont="1" applyBorder="1" applyAlignment="1">
      <alignment horizontal="left" vertical="center" indent="1"/>
    </xf>
    <xf numFmtId="0" fontId="46" fillId="0" borderId="17" xfId="5" applyFont="1" applyBorder="1" applyAlignment="1">
      <alignment horizontal="center" vertical="center" wrapText="1"/>
    </xf>
    <xf numFmtId="43" fontId="9" fillId="0" borderId="17" xfId="2" applyFont="1" applyBorder="1" applyAlignment="1">
      <alignment horizontal="right" vertical="center" wrapText="1" indent="1"/>
    </xf>
    <xf numFmtId="0" fontId="9" fillId="0" borderId="18" xfId="5" applyFont="1" applyBorder="1" applyAlignment="1">
      <alignment horizontal="left" vertical="center" indent="1"/>
    </xf>
    <xf numFmtId="0" fontId="9" fillId="0" borderId="18" xfId="5" applyFont="1" applyBorder="1" applyAlignment="1">
      <alignment horizontal="center" vertical="center"/>
    </xf>
    <xf numFmtId="0" fontId="46" fillId="0" borderId="18" xfId="5" applyFont="1" applyBorder="1" applyAlignment="1">
      <alignment horizontal="center" vertical="center" wrapText="1"/>
    </xf>
    <xf numFmtId="43" fontId="9" fillId="0" borderId="18" xfId="2" applyFont="1" applyBorder="1" applyAlignment="1">
      <alignment horizontal="right" vertical="center" wrapText="1" indent="1"/>
    </xf>
    <xf numFmtId="0" fontId="9" fillId="0" borderId="28" xfId="5" applyFont="1" applyBorder="1" applyAlignment="1">
      <alignment horizontal="left" vertical="center" indent="1"/>
    </xf>
    <xf numFmtId="0" fontId="9" fillId="0" borderId="28" xfId="5" applyFont="1" applyBorder="1" applyAlignment="1">
      <alignment horizontal="center" vertical="center"/>
    </xf>
    <xf numFmtId="43" fontId="9" fillId="0" borderId="28" xfId="2" applyFont="1" applyBorder="1" applyAlignment="1">
      <alignment horizontal="right" vertical="center" wrapText="1" indent="1"/>
    </xf>
    <xf numFmtId="167" fontId="45" fillId="0" borderId="15" xfId="2" applyNumberFormat="1" applyFont="1" applyBorder="1" applyAlignment="1">
      <alignment horizontal="right" vertical="center"/>
    </xf>
    <xf numFmtId="0" fontId="9" fillId="0" borderId="17" xfId="5" applyFont="1" applyBorder="1" applyAlignment="1">
      <alignment horizontal="left" vertical="center" wrapText="1" indent="1"/>
    </xf>
    <xf numFmtId="0" fontId="9" fillId="0" borderId="17" xfId="5" applyFont="1" applyBorder="1" applyAlignment="1">
      <alignment horizontal="center" vertical="center" wrapText="1"/>
    </xf>
    <xf numFmtId="0" fontId="9" fillId="0" borderId="19" xfId="5" applyFont="1" applyBorder="1" applyAlignment="1">
      <alignment horizontal="center" vertical="center" wrapText="1"/>
    </xf>
    <xf numFmtId="0" fontId="9" fillId="0" borderId="18" xfId="5" applyFont="1" applyBorder="1" applyAlignment="1">
      <alignment horizontal="left" vertical="center" wrapText="1" indent="1"/>
    </xf>
    <xf numFmtId="0" fontId="9" fillId="0" borderId="18" xfId="5" applyFont="1" applyBorder="1" applyAlignment="1">
      <alignment horizontal="center" vertical="center" wrapText="1"/>
    </xf>
    <xf numFmtId="0" fontId="9" fillId="0" borderId="19" xfId="5" applyFont="1" applyBorder="1" applyAlignment="1">
      <alignment horizontal="center" vertical="center"/>
    </xf>
    <xf numFmtId="0" fontId="0" fillId="0" borderId="0" xfId="5" applyFont="1"/>
    <xf numFmtId="0" fontId="46" fillId="0" borderId="18" xfId="5" applyFont="1" applyBorder="1" applyAlignment="1">
      <alignment horizontal="left" vertical="center" wrapText="1" indent="1"/>
    </xf>
    <xf numFmtId="0" fontId="46" fillId="0" borderId="18" xfId="5" applyFont="1" applyBorder="1" applyAlignment="1">
      <alignment horizontal="center" vertical="center"/>
    </xf>
    <xf numFmtId="43" fontId="46" fillId="0" borderId="18" xfId="2" applyFont="1" applyBorder="1" applyAlignment="1">
      <alignment horizontal="right" vertical="center" wrapText="1" indent="1"/>
    </xf>
    <xf numFmtId="0" fontId="9" fillId="0" borderId="27" xfId="5" applyFont="1" applyBorder="1" applyAlignment="1">
      <alignment horizontal="left" vertical="center" wrapText="1" indent="1"/>
    </xf>
    <xf numFmtId="0" fontId="9" fillId="0" borderId="27" xfId="5" applyFont="1" applyBorder="1" applyAlignment="1">
      <alignment horizontal="center" vertical="center"/>
    </xf>
    <xf numFmtId="43" fontId="9" fillId="0" borderId="27" xfId="2" applyFont="1" applyBorder="1" applyAlignment="1">
      <alignment horizontal="right" vertical="center" wrapText="1" indent="1"/>
    </xf>
    <xf numFmtId="0" fontId="8" fillId="0" borderId="0" xfId="5" applyAlignment="1">
      <alignment horizontal="center"/>
    </xf>
    <xf numFmtId="165" fontId="7" fillId="0" borderId="42" xfId="3" quotePrefix="1" applyNumberFormat="1" applyFont="1" applyBorder="1" applyAlignment="1">
      <alignment horizontal="center" vertical="center" wrapText="1"/>
    </xf>
    <xf numFmtId="3" fontId="7" fillId="0" borderId="26" xfId="3" applyNumberFormat="1" applyFont="1" applyBorder="1" applyAlignment="1">
      <alignment horizontal="center" vertical="center" wrapText="1"/>
    </xf>
    <xf numFmtId="3" fontId="34" fillId="0" borderId="26" xfId="3" applyNumberFormat="1" applyFont="1" applyBorder="1" applyAlignment="1">
      <alignment horizontal="left" vertical="center" wrapText="1"/>
    </xf>
    <xf numFmtId="3" fontId="9" fillId="0" borderId="43" xfId="3" applyNumberFormat="1" applyFont="1" applyBorder="1" applyAlignment="1">
      <alignment vertical="center" wrapText="1"/>
    </xf>
    <xf numFmtId="4" fontId="9" fillId="0" borderId="44" xfId="3" applyNumberFormat="1" applyFont="1" applyBorder="1" applyAlignment="1">
      <alignment vertical="center" wrapText="1"/>
    </xf>
    <xf numFmtId="4" fontId="9" fillId="0" borderId="43" xfId="3" applyNumberFormat="1" applyFont="1" applyBorder="1" applyAlignment="1">
      <alignment vertical="center" wrapText="1"/>
    </xf>
    <xf numFmtId="3" fontId="47" fillId="0" borderId="0" xfId="3" applyNumberFormat="1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43" fontId="49" fillId="0" borderId="0" xfId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3" fontId="9" fillId="0" borderId="18" xfId="11" applyNumberFormat="1" applyFont="1" applyBorder="1" applyAlignment="1">
      <alignment horizontal="center" vertical="center" wrapText="1"/>
    </xf>
    <xf numFmtId="3" fontId="9" fillId="0" borderId="18" xfId="11" applyNumberFormat="1" applyFont="1" applyBorder="1" applyAlignment="1">
      <alignment vertical="center" wrapText="1"/>
    </xf>
    <xf numFmtId="43" fontId="50" fillId="0" borderId="0" xfId="0" applyNumberFormat="1" applyFont="1" applyAlignment="1">
      <alignment horizontal="center" vertical="center"/>
    </xf>
    <xf numFmtId="43" fontId="49" fillId="0" borderId="0" xfId="0" applyNumberFormat="1" applyFont="1" applyAlignment="1">
      <alignment horizontal="center" vertical="center"/>
    </xf>
    <xf numFmtId="3" fontId="47" fillId="0" borderId="0" xfId="3" applyNumberFormat="1" applyFont="1" applyAlignment="1">
      <alignment vertical="center" wrapText="1"/>
    </xf>
    <xf numFmtId="0" fontId="49" fillId="0" borderId="0" xfId="0" applyFont="1"/>
    <xf numFmtId="43" fontId="49" fillId="0" borderId="0" xfId="0" applyNumberFormat="1" applyFont="1"/>
    <xf numFmtId="3" fontId="47" fillId="3" borderId="0" xfId="3" applyNumberFormat="1" applyFont="1" applyFill="1" applyAlignment="1">
      <alignment vertical="center" wrapText="1"/>
    </xf>
    <xf numFmtId="43" fontId="47" fillId="3" borderId="0" xfId="1" applyFont="1" applyFill="1" applyAlignment="1">
      <alignment vertical="center" wrapText="1"/>
    </xf>
    <xf numFmtId="3" fontId="9" fillId="4" borderId="18" xfId="9" applyNumberFormat="1" applyFont="1" applyFill="1" applyBorder="1" applyAlignment="1">
      <alignment horizontal="left" vertical="center" wrapText="1"/>
    </xf>
    <xf numFmtId="3" fontId="9" fillId="4" borderId="18" xfId="9" applyNumberFormat="1" applyFont="1" applyFill="1" applyBorder="1" applyAlignment="1">
      <alignment horizontal="center" vertical="center" wrapText="1"/>
    </xf>
    <xf numFmtId="3" fontId="9" fillId="0" borderId="18" xfId="9" applyNumberFormat="1" applyFont="1" applyBorder="1" applyAlignment="1">
      <alignment horizontal="center" vertical="center" wrapText="1"/>
    </xf>
    <xf numFmtId="43" fontId="9" fillId="0" borderId="18" xfId="2" applyFont="1" applyFill="1" applyBorder="1" applyAlignment="1">
      <alignment horizontal="left" vertical="center" wrapText="1"/>
    </xf>
    <xf numFmtId="167" fontId="9" fillId="0" borderId="18" xfId="2" applyNumberFormat="1" applyFont="1" applyFill="1" applyBorder="1" applyAlignment="1">
      <alignment vertical="center" wrapText="1"/>
    </xf>
    <xf numFmtId="0" fontId="2" fillId="0" borderId="25" xfId="0" applyFont="1" applyBorder="1"/>
    <xf numFmtId="0" fontId="2" fillId="0" borderId="17" xfId="0" applyFont="1" applyBorder="1"/>
    <xf numFmtId="0" fontId="0" fillId="0" borderId="17" xfId="0" applyBorder="1"/>
    <xf numFmtId="0" fontId="0" fillId="0" borderId="16" xfId="0" applyBorder="1"/>
    <xf numFmtId="0" fontId="2" fillId="0" borderId="16" xfId="0" applyFont="1" applyBorder="1"/>
    <xf numFmtId="0" fontId="2" fillId="0" borderId="18" xfId="0" applyFont="1" applyBorder="1"/>
    <xf numFmtId="0" fontId="0" fillId="0" borderId="19" xfId="0" applyBorder="1"/>
    <xf numFmtId="0" fontId="2" fillId="0" borderId="19" xfId="0" applyFont="1" applyBorder="1"/>
    <xf numFmtId="0" fontId="0" fillId="0" borderId="18" xfId="0" applyBorder="1"/>
    <xf numFmtId="43" fontId="0" fillId="0" borderId="18" xfId="1" applyFont="1" applyBorder="1"/>
    <xf numFmtId="43" fontId="0" fillId="0" borderId="18" xfId="1" applyFont="1" applyFill="1" applyBorder="1"/>
    <xf numFmtId="0" fontId="0" fillId="11" borderId="0" xfId="0" applyFill="1"/>
    <xf numFmtId="0" fontId="0" fillId="12" borderId="0" xfId="0" applyFill="1"/>
    <xf numFmtId="0" fontId="0" fillId="0" borderId="27" xfId="0" applyBorder="1"/>
    <xf numFmtId="43" fontId="0" fillId="0" borderId="27" xfId="1" applyFont="1" applyBorder="1"/>
    <xf numFmtId="43" fontId="0" fillId="0" borderId="27" xfId="1" applyFont="1" applyFill="1" applyBorder="1"/>
    <xf numFmtId="0" fontId="0" fillId="13" borderId="18" xfId="0" applyFill="1" applyBorder="1"/>
    <xf numFmtId="0" fontId="0" fillId="5" borderId="18" xfId="0" applyFill="1" applyBorder="1"/>
    <xf numFmtId="0" fontId="0" fillId="6" borderId="18" xfId="0" applyFill="1" applyBorder="1"/>
    <xf numFmtId="0" fontId="0" fillId="14" borderId="18" xfId="0" applyFill="1" applyBorder="1"/>
    <xf numFmtId="0" fontId="0" fillId="14" borderId="27" xfId="0" applyFill="1" applyBorder="1"/>
    <xf numFmtId="0" fontId="0" fillId="8" borderId="18" xfId="0" applyFill="1" applyBorder="1"/>
    <xf numFmtId="0" fontId="0" fillId="8" borderId="27" xfId="0" applyFill="1" applyBorder="1"/>
    <xf numFmtId="0" fontId="0" fillId="15" borderId="18" xfId="0" applyFill="1" applyBorder="1"/>
    <xf numFmtId="0" fontId="0" fillId="15" borderId="27" xfId="0" applyFill="1" applyBorder="1"/>
    <xf numFmtId="0" fontId="0" fillId="0" borderId="28" xfId="0" applyBorder="1"/>
    <xf numFmtId="43" fontId="0" fillId="0" borderId="28" xfId="1" applyFont="1" applyBorder="1"/>
    <xf numFmtId="0" fontId="2" fillId="0" borderId="0" xfId="0" applyFont="1"/>
    <xf numFmtId="10" fontId="0" fillId="0" borderId="0" xfId="0" applyNumberFormat="1"/>
    <xf numFmtId="0" fontId="0" fillId="13" borderId="0" xfId="0" applyFill="1"/>
    <xf numFmtId="0" fontId="0" fillId="17" borderId="0" xfId="0" applyFill="1" applyAlignment="1">
      <alignment horizontal="center"/>
    </xf>
    <xf numFmtId="0" fontId="0" fillId="7" borderId="0" xfId="0" applyFill="1" applyAlignment="1">
      <alignment horizontal="center"/>
    </xf>
    <xf numFmtId="43" fontId="0" fillId="18" borderId="15" xfId="0" applyNumberFormat="1" applyFill="1" applyBorder="1"/>
    <xf numFmtId="43" fontId="0" fillId="0" borderId="0" xfId="0" applyNumberFormat="1"/>
    <xf numFmtId="43" fontId="0" fillId="18" borderId="0" xfId="2" applyFont="1" applyFill="1" applyBorder="1"/>
    <xf numFmtId="43" fontId="0" fillId="18" borderId="0" xfId="0" applyNumberFormat="1" applyFill="1"/>
    <xf numFmtId="43" fontId="1" fillId="0" borderId="0" xfId="2" applyFont="1" applyBorder="1"/>
    <xf numFmtId="0" fontId="0" fillId="19" borderId="0" xfId="0" applyFill="1"/>
    <xf numFmtId="0" fontId="0" fillId="0" borderId="0" xfId="0" applyAlignment="1">
      <alignment wrapText="1"/>
    </xf>
    <xf numFmtId="43" fontId="51" fillId="0" borderId="0" xfId="0" applyNumberFormat="1" applyFont="1"/>
    <xf numFmtId="0" fontId="51" fillId="0" borderId="0" xfId="0" applyFont="1"/>
    <xf numFmtId="0" fontId="20" fillId="0" borderId="26" xfId="3" applyFont="1" applyBorder="1" applyAlignment="1">
      <alignment horizontal="left" wrapText="1"/>
    </xf>
    <xf numFmtId="43" fontId="19" fillId="0" borderId="27" xfId="2" applyFont="1" applyFill="1" applyBorder="1"/>
    <xf numFmtId="0" fontId="19" fillId="0" borderId="26" xfId="3" applyFont="1" applyBorder="1" applyAlignment="1">
      <alignment horizontal="right" wrapText="1"/>
    </xf>
    <xf numFmtId="43" fontId="19" fillId="0" borderId="26" xfId="2" applyFont="1" applyFill="1" applyBorder="1"/>
    <xf numFmtId="43" fontId="19" fillId="0" borderId="26" xfId="3" applyNumberFormat="1" applyFont="1" applyBorder="1"/>
    <xf numFmtId="43" fontId="22" fillId="0" borderId="23" xfId="3" applyNumberFormat="1" applyFont="1" applyBorder="1"/>
    <xf numFmtId="43" fontId="22" fillId="0" borderId="24" xfId="3" applyNumberFormat="1" applyFont="1" applyBorder="1"/>
    <xf numFmtId="0" fontId="21" fillId="5" borderId="1" xfId="3" applyFont="1" applyFill="1" applyBorder="1" applyAlignment="1">
      <alignment horizontal="left" vertical="center" wrapText="1"/>
    </xf>
    <xf numFmtId="0" fontId="21" fillId="5" borderId="0" xfId="3" applyFont="1" applyFill="1" applyAlignment="1">
      <alignment horizontal="left" vertical="center" wrapText="1"/>
    </xf>
    <xf numFmtId="0" fontId="21" fillId="5" borderId="5" xfId="3" applyFont="1" applyFill="1" applyBorder="1" applyAlignment="1">
      <alignment horizontal="left" vertical="center" wrapText="1"/>
    </xf>
    <xf numFmtId="0" fontId="19" fillId="0" borderId="27" xfId="3" applyFont="1" applyBorder="1" applyAlignment="1">
      <alignment horizontal="left" wrapText="1"/>
    </xf>
    <xf numFmtId="0" fontId="19" fillId="0" borderId="0" xfId="3" applyFont="1" applyAlignment="1">
      <alignment horizontal="right" wrapText="1"/>
    </xf>
    <xf numFmtId="43" fontId="19" fillId="0" borderId="0" xfId="2" applyFont="1" applyFill="1" applyBorder="1"/>
    <xf numFmtId="166" fontId="19" fillId="0" borderId="0" xfId="3" applyNumberFormat="1" applyFont="1"/>
    <xf numFmtId="169" fontId="19" fillId="0" borderId="0" xfId="3" applyNumberFormat="1" applyFont="1"/>
    <xf numFmtId="43" fontId="20" fillId="8" borderId="0" xfId="3" applyNumberFormat="1" applyFont="1" applyFill="1"/>
    <xf numFmtId="43" fontId="19" fillId="0" borderId="0" xfId="3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9" fillId="0" borderId="0" xfId="0" applyFont="1" applyAlignment="1">
      <alignment horizontal="center"/>
    </xf>
    <xf numFmtId="43" fontId="9" fillId="0" borderId="30" xfId="2" applyFont="1" applyFill="1" applyBorder="1" applyAlignment="1">
      <alignment horizontal="right" vertical="center" wrapText="1"/>
    </xf>
    <xf numFmtId="43" fontId="49" fillId="0" borderId="0" xfId="0" applyNumberFormat="1" applyFont="1" applyAlignment="1">
      <alignment horizontal="center"/>
    </xf>
    <xf numFmtId="3" fontId="35" fillId="0" borderId="0" xfId="3" applyNumberFormat="1" applyFont="1" applyAlignment="1">
      <alignment horizontal="center" vertical="center" wrapText="1"/>
    </xf>
    <xf numFmtId="43" fontId="19" fillId="0" borderId="19" xfId="2" applyFont="1" applyFill="1" applyBorder="1"/>
    <xf numFmtId="43" fontId="19" fillId="0" borderId="18" xfId="2" applyFont="1" applyFill="1" applyBorder="1"/>
    <xf numFmtId="0" fontId="19" fillId="0" borderId="4" xfId="3" applyFont="1" applyBorder="1" applyAlignment="1">
      <alignment wrapText="1"/>
    </xf>
    <xf numFmtId="2" fontId="19" fillId="0" borderId="0" xfId="3" applyNumberFormat="1" applyFont="1"/>
    <xf numFmtId="0" fontId="19" fillId="0" borderId="0" xfId="3" applyFont="1"/>
    <xf numFmtId="43" fontId="19" fillId="0" borderId="5" xfId="2" applyFont="1" applyFill="1" applyBorder="1"/>
    <xf numFmtId="43" fontId="20" fillId="0" borderId="26" xfId="3" applyNumberFormat="1" applyFont="1" applyBorder="1"/>
    <xf numFmtId="43" fontId="19" fillId="0" borderId="15" xfId="2" applyFont="1" applyFill="1" applyBorder="1"/>
    <xf numFmtId="0" fontId="19" fillId="0" borderId="28" xfId="3" applyFont="1" applyBorder="1" applyAlignment="1">
      <alignment wrapText="1"/>
    </xf>
    <xf numFmtId="164" fontId="19" fillId="0" borderId="28" xfId="3" applyNumberFormat="1" applyFont="1" applyBorder="1"/>
    <xf numFmtId="43" fontId="20" fillId="0" borderId="28" xfId="3" applyNumberFormat="1" applyFont="1" applyBorder="1"/>
    <xf numFmtId="43" fontId="19" fillId="0" borderId="27" xfId="1" applyFont="1" applyBorder="1"/>
    <xf numFmtId="43" fontId="28" fillId="0" borderId="0" xfId="2" applyFont="1" applyFill="1" applyBorder="1"/>
    <xf numFmtId="0" fontId="0" fillId="21" borderId="0" xfId="6" applyFont="1" applyFill="1" applyAlignment="1">
      <alignment wrapText="1"/>
    </xf>
    <xf numFmtId="0" fontId="0" fillId="0" borderId="0" xfId="0" applyAlignment="1">
      <alignment horizontal="right"/>
    </xf>
    <xf numFmtId="0" fontId="13" fillId="0" borderId="18" xfId="0" applyFont="1" applyBorder="1" applyAlignment="1">
      <alignment vertical="center" wrapText="1"/>
    </xf>
    <xf numFmtId="164" fontId="19" fillId="0" borderId="27" xfId="2" applyNumberFormat="1" applyFont="1" applyFill="1" applyBorder="1"/>
    <xf numFmtId="0" fontId="0" fillId="16" borderId="0" xfId="0" applyFill="1"/>
    <xf numFmtId="0" fontId="0" fillId="0" borderId="0" xfId="0" applyAlignment="1">
      <alignment horizontal="center"/>
    </xf>
    <xf numFmtId="3" fontId="7" fillId="0" borderId="15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/>
    <xf numFmtId="0" fontId="12" fillId="0" borderId="0" xfId="0" applyFont="1" applyFill="1"/>
    <xf numFmtId="0" fontId="12" fillId="0" borderId="17" xfId="0" applyFont="1" applyFill="1" applyBorder="1"/>
    <xf numFmtId="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5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/>
    <xf numFmtId="0" fontId="13" fillId="0" borderId="18" xfId="0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left" vertical="center" wrapText="1"/>
    </xf>
    <xf numFmtId="3" fontId="7" fillId="0" borderId="18" xfId="3" applyNumberFormat="1" applyFont="1" applyFill="1" applyBorder="1" applyAlignment="1">
      <alignment horizontal="left" vertical="center" wrapText="1"/>
    </xf>
    <xf numFmtId="3" fontId="7" fillId="0" borderId="26" xfId="3" applyNumberFormat="1" applyFont="1" applyFill="1" applyBorder="1" applyAlignment="1">
      <alignment horizontal="center" vertical="center" wrapText="1"/>
    </xf>
    <xf numFmtId="0" fontId="9" fillId="0" borderId="18" xfId="3" applyFont="1" applyFill="1" applyBorder="1" applyAlignment="1" applyProtection="1">
      <alignment horizontal="center" vertical="center" wrapText="1"/>
      <protection locked="0"/>
    </xf>
    <xf numFmtId="3" fontId="9" fillId="0" borderId="18" xfId="9" applyNumberFormat="1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7" fillId="2" borderId="33" xfId="3" applyFont="1" applyFill="1" applyBorder="1" applyAlignment="1">
      <alignment horizontal="center" vertical="center"/>
    </xf>
    <xf numFmtId="43" fontId="7" fillId="2" borderId="33" xfId="2" applyFont="1" applyFill="1" applyBorder="1" applyAlignment="1">
      <alignment horizontal="center" vertical="center"/>
    </xf>
    <xf numFmtId="0" fontId="7" fillId="2" borderId="48" xfId="3" applyFont="1" applyFill="1" applyBorder="1" applyAlignment="1">
      <alignment horizontal="center" vertical="center"/>
    </xf>
    <xf numFmtId="43" fontId="7" fillId="2" borderId="49" xfId="2" applyFont="1" applyFill="1" applyBorder="1" applyAlignment="1">
      <alignment horizontal="center" vertical="center"/>
    </xf>
    <xf numFmtId="0" fontId="9" fillId="0" borderId="52" xfId="3" applyFont="1" applyBorder="1" applyAlignment="1">
      <alignment horizontal="center" vertical="center"/>
    </xf>
    <xf numFmtId="43" fontId="7" fillId="0" borderId="53" xfId="2" applyFont="1" applyBorder="1" applyAlignment="1">
      <alignment horizontal="center" vertical="center"/>
    </xf>
    <xf numFmtId="0" fontId="9" fillId="0" borderId="29" xfId="3" applyFont="1" applyBorder="1" applyAlignment="1">
      <alignment horizontal="center" vertical="center"/>
    </xf>
    <xf numFmtId="43" fontId="9" fillId="0" borderId="11" xfId="2" applyFont="1" applyFill="1" applyBorder="1" applyAlignment="1">
      <alignment horizontal="left" vertical="center"/>
    </xf>
    <xf numFmtId="43" fontId="9" fillId="0" borderId="11" xfId="2" applyFont="1" applyFill="1" applyBorder="1" applyAlignment="1">
      <alignment horizontal="right" vertical="center"/>
    </xf>
    <xf numFmtId="43" fontId="9" fillId="0" borderId="54" xfId="2" applyFont="1" applyFill="1" applyBorder="1" applyAlignment="1">
      <alignment horizontal="right" vertical="center"/>
    </xf>
    <xf numFmtId="43" fontId="7" fillId="0" borderId="55" xfId="2" applyFont="1" applyBorder="1" applyAlignment="1">
      <alignment horizontal="right" vertical="center"/>
    </xf>
    <xf numFmtId="43" fontId="9" fillId="0" borderId="55" xfId="2" applyFont="1" applyBorder="1" applyAlignment="1">
      <alignment horizontal="right" vertical="center"/>
    </xf>
    <xf numFmtId="43" fontId="7" fillId="0" borderId="58" xfId="2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left" vertical="center"/>
    </xf>
    <xf numFmtId="3" fontId="9" fillId="0" borderId="10" xfId="3" applyNumberFormat="1" applyFont="1" applyBorder="1" applyAlignment="1">
      <alignment horizontal="left" vertical="center"/>
    </xf>
    <xf numFmtId="0" fontId="9" fillId="0" borderId="45" xfId="3" applyFont="1" applyBorder="1" applyAlignment="1">
      <alignment horizontal="left" vertical="center"/>
    </xf>
    <xf numFmtId="3" fontId="9" fillId="0" borderId="59" xfId="3" applyNumberFormat="1" applyFont="1" applyBorder="1" applyAlignment="1">
      <alignment horizontal="left" vertical="center"/>
    </xf>
    <xf numFmtId="3" fontId="9" fillId="0" borderId="0" xfId="3" applyNumberFormat="1" applyFont="1" applyBorder="1" applyAlignment="1">
      <alignment horizontal="left" vertical="center"/>
    </xf>
    <xf numFmtId="43" fontId="9" fillId="0" borderId="60" xfId="2" applyFont="1" applyBorder="1" applyAlignment="1">
      <alignment horizontal="right" vertical="center"/>
    </xf>
    <xf numFmtId="0" fontId="54" fillId="0" borderId="45" xfId="3" applyFont="1" applyBorder="1" applyAlignment="1">
      <alignment horizontal="center" vertical="center" wrapText="1"/>
    </xf>
    <xf numFmtId="0" fontId="54" fillId="0" borderId="0" xfId="3" applyFont="1" applyBorder="1" applyAlignment="1">
      <alignment horizontal="center" vertical="center" wrapText="1"/>
    </xf>
    <xf numFmtId="0" fontId="54" fillId="0" borderId="47" xfId="3" applyFont="1" applyBorder="1" applyAlignment="1">
      <alignment horizontal="center" vertical="center" wrapText="1"/>
    </xf>
    <xf numFmtId="3" fontId="7" fillId="2" borderId="65" xfId="3" applyNumberFormat="1" applyFont="1" applyFill="1" applyBorder="1" applyAlignment="1">
      <alignment vertical="center"/>
    </xf>
    <xf numFmtId="3" fontId="7" fillId="2" borderId="66" xfId="3" applyNumberFormat="1" applyFont="1" applyFill="1" applyBorder="1" applyAlignment="1">
      <alignment vertical="center"/>
    </xf>
    <xf numFmtId="3" fontId="7" fillId="2" borderId="66" xfId="3" applyNumberFormat="1" applyFont="1" applyFill="1" applyBorder="1" applyAlignment="1">
      <alignment vertical="center" wrapText="1"/>
    </xf>
    <xf numFmtId="165" fontId="7" fillId="0" borderId="29" xfId="3" applyNumberFormat="1" applyFont="1" applyBorder="1" applyAlignment="1">
      <alignment horizontal="left" vertical="center" wrapText="1" indent="1"/>
    </xf>
    <xf numFmtId="43" fontId="9" fillId="0" borderId="30" xfId="3" applyNumberFormat="1" applyFont="1" applyBorder="1" applyAlignment="1">
      <alignment vertical="center" wrapText="1"/>
    </xf>
    <xf numFmtId="3" fontId="9" fillId="0" borderId="29" xfId="3" applyNumberFormat="1" applyFont="1" applyBorder="1" applyAlignment="1">
      <alignment horizontal="left" vertical="center" wrapText="1" indent="1"/>
    </xf>
    <xf numFmtId="43" fontId="7" fillId="0" borderId="30" xfId="3" applyNumberFormat="1" applyFont="1" applyBorder="1" applyAlignment="1">
      <alignment vertical="center" wrapText="1"/>
    </xf>
    <xf numFmtId="165" fontId="7" fillId="0" borderId="29" xfId="3" applyNumberFormat="1" applyFont="1" applyBorder="1" applyAlignment="1">
      <alignment horizontal="center" vertical="center" wrapText="1"/>
    </xf>
    <xf numFmtId="3" fontId="9" fillId="0" borderId="29" xfId="3" applyNumberFormat="1" applyFont="1" applyBorder="1" applyAlignment="1">
      <alignment horizontal="center" vertical="center" wrapText="1"/>
    </xf>
    <xf numFmtId="165" fontId="7" fillId="0" borderId="29" xfId="3" quotePrefix="1" applyNumberFormat="1" applyFont="1" applyBorder="1" applyAlignment="1">
      <alignment horizontal="left" vertical="center" wrapText="1" indent="1"/>
    </xf>
    <xf numFmtId="3" fontId="9" fillId="0" borderId="70" xfId="3" applyNumberFormat="1" applyFont="1" applyBorder="1" applyAlignment="1">
      <alignment horizontal="left" vertical="center" wrapText="1" indent="1"/>
    </xf>
    <xf numFmtId="43" fontId="9" fillId="0" borderId="71" xfId="3" applyNumberFormat="1" applyFont="1" applyBorder="1" applyAlignment="1">
      <alignment vertical="center" wrapText="1"/>
    </xf>
    <xf numFmtId="2" fontId="7" fillId="0" borderId="29" xfId="3" quotePrefix="1" applyNumberFormat="1" applyFont="1" applyBorder="1" applyAlignment="1">
      <alignment horizontal="left" vertical="center" wrapText="1" indent="1"/>
    </xf>
    <xf numFmtId="43" fontId="9" fillId="0" borderId="71" xfId="2" applyFont="1" applyBorder="1" applyAlignment="1">
      <alignment vertical="center" wrapText="1"/>
    </xf>
    <xf numFmtId="3" fontId="9" fillId="0" borderId="72" xfId="3" applyNumberFormat="1" applyFont="1" applyBorder="1" applyAlignment="1">
      <alignment horizontal="left" vertical="center" wrapText="1" indent="1"/>
    </xf>
    <xf numFmtId="43" fontId="7" fillId="0" borderId="71" xfId="0" applyNumberFormat="1" applyFont="1" applyBorder="1" applyAlignment="1">
      <alignment vertical="center" wrapText="1"/>
    </xf>
    <xf numFmtId="3" fontId="42" fillId="0" borderId="73" xfId="3" applyNumberFormat="1" applyFont="1" applyBorder="1" applyAlignment="1">
      <alignment horizontal="left" vertical="center" wrapText="1"/>
    </xf>
    <xf numFmtId="43" fontId="42" fillId="0" borderId="58" xfId="2" applyFont="1" applyBorder="1" applyAlignment="1">
      <alignment horizontal="right" vertical="center" wrapText="1" indent="1"/>
    </xf>
    <xf numFmtId="3" fontId="7" fillId="0" borderId="52" xfId="0" applyNumberFormat="1" applyFont="1" applyBorder="1" applyAlignment="1">
      <alignment horizontal="center" vertical="center" wrapText="1"/>
    </xf>
    <xf numFmtId="43" fontId="7" fillId="0" borderId="55" xfId="1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/>
    </xf>
    <xf numFmtId="0" fontId="12" fillId="0" borderId="74" xfId="0" applyFont="1" applyBorder="1"/>
    <xf numFmtId="0" fontId="12" fillId="0" borderId="29" xfId="0" applyFont="1" applyBorder="1" applyAlignment="1">
      <alignment horizontal="center" vertical="center"/>
    </xf>
    <xf numFmtId="43" fontId="12" fillId="0" borderId="30" xfId="0" applyNumberFormat="1" applyFont="1" applyBorder="1" applyAlignment="1">
      <alignment vertical="center"/>
    </xf>
    <xf numFmtId="165" fontId="7" fillId="0" borderId="29" xfId="0" applyNumberFormat="1" applyFont="1" applyBorder="1" applyAlignment="1">
      <alignment horizontal="center" vertical="center" wrapText="1"/>
    </xf>
    <xf numFmtId="43" fontId="9" fillId="0" borderId="30" xfId="0" applyNumberFormat="1" applyFont="1" applyBorder="1" applyAlignment="1">
      <alignment horizontal="right" vertical="center" wrapText="1" indent="1"/>
    </xf>
    <xf numFmtId="0" fontId="13" fillId="0" borderId="29" xfId="0" applyFont="1" applyBorder="1" applyAlignment="1">
      <alignment horizontal="center" vertical="center"/>
    </xf>
    <xf numFmtId="43" fontId="12" fillId="0" borderId="30" xfId="1" applyFont="1" applyBorder="1" applyAlignment="1">
      <alignment vertical="center"/>
    </xf>
    <xf numFmtId="0" fontId="12" fillId="0" borderId="30" xfId="0" applyFont="1" applyBorder="1"/>
    <xf numFmtId="0" fontId="12" fillId="0" borderId="73" xfId="0" applyFont="1" applyBorder="1"/>
    <xf numFmtId="43" fontId="13" fillId="0" borderId="58" xfId="0" applyNumberFormat="1" applyFont="1" applyBorder="1" applyAlignment="1">
      <alignment vertical="center"/>
    </xf>
    <xf numFmtId="0" fontId="13" fillId="0" borderId="75" xfId="0" applyFont="1" applyBorder="1" applyAlignment="1">
      <alignment horizontal="center" vertical="center"/>
    </xf>
    <xf numFmtId="0" fontId="12" fillId="0" borderId="11" xfId="0" applyFont="1" applyBorder="1"/>
    <xf numFmtId="0" fontId="12" fillId="0" borderId="7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3" fontId="7" fillId="0" borderId="64" xfId="2" applyFont="1" applyBorder="1" applyAlignment="1">
      <alignment horizontal="center" vertical="center" wrapText="1"/>
    </xf>
    <xf numFmtId="3" fontId="7" fillId="0" borderId="68" xfId="0" applyNumberFormat="1" applyFont="1" applyBorder="1" applyAlignment="1">
      <alignment horizontal="center" vertical="center" wrapText="1"/>
    </xf>
    <xf numFmtId="43" fontId="7" fillId="0" borderId="76" xfId="1" applyFont="1" applyBorder="1" applyAlignment="1">
      <alignment horizontal="center" vertical="center" wrapText="1"/>
    </xf>
    <xf numFmtId="165" fontId="7" fillId="0" borderId="42" xfId="0" applyNumberFormat="1" applyFont="1" applyBorder="1" applyAlignment="1">
      <alignment horizontal="center" vertical="center" wrapText="1"/>
    </xf>
    <xf numFmtId="43" fontId="9" fillId="0" borderId="30" xfId="1" applyFont="1" applyFill="1" applyBorder="1" applyAlignment="1">
      <alignment vertical="center"/>
    </xf>
    <xf numFmtId="43" fontId="12" fillId="0" borderId="30" xfId="1" applyFont="1" applyFill="1" applyBorder="1" applyAlignment="1">
      <alignment vertical="center"/>
    </xf>
    <xf numFmtId="0" fontId="9" fillId="0" borderId="0" xfId="3" applyFont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3" fontId="7" fillId="2" borderId="0" xfId="2" applyFont="1" applyFill="1" applyBorder="1" applyAlignment="1">
      <alignment horizontal="center" vertical="center"/>
    </xf>
    <xf numFmtId="43" fontId="7" fillId="2" borderId="47" xfId="2" applyFont="1" applyFill="1" applyBorder="1" applyAlignment="1">
      <alignment horizontal="center" vertical="center"/>
    </xf>
    <xf numFmtId="43" fontId="12" fillId="0" borderId="0" xfId="0" applyNumberFormat="1" applyFont="1" applyBorder="1"/>
    <xf numFmtId="4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6" fillId="0" borderId="0" xfId="0" applyFont="1" applyBorder="1" applyAlignment="1">
      <alignment wrapText="1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43" fontId="12" fillId="0" borderId="27" xfId="1" applyFont="1" applyBorder="1" applyAlignment="1">
      <alignment vertical="center"/>
    </xf>
    <xf numFmtId="43" fontId="12" fillId="0" borderId="71" xfId="1" applyFont="1" applyBorder="1" applyAlignment="1">
      <alignment vertical="center"/>
    </xf>
    <xf numFmtId="4" fontId="15" fillId="0" borderId="0" xfId="3" applyNumberFormat="1" applyFont="1" applyBorder="1" applyAlignment="1">
      <alignment horizontal="center" vertical="center" wrapText="1"/>
    </xf>
    <xf numFmtId="43" fontId="9" fillId="4" borderId="30" xfId="2" applyFont="1" applyFill="1" applyBorder="1" applyAlignment="1">
      <alignment horizontal="right" vertical="center" wrapText="1"/>
    </xf>
    <xf numFmtId="0" fontId="12" fillId="0" borderId="45" xfId="0" applyFont="1" applyBorder="1" applyAlignment="1">
      <alignment horizontal="center" vertical="center"/>
    </xf>
    <xf numFmtId="0" fontId="12" fillId="0" borderId="29" xfId="0" applyFont="1" applyBorder="1" applyAlignment="1">
      <alignment vertical="center" wrapText="1"/>
    </xf>
    <xf numFmtId="3" fontId="9" fillId="0" borderId="29" xfId="0" applyNumberFormat="1" applyFont="1" applyBorder="1" applyAlignment="1">
      <alignment horizontal="center" vertical="center" wrapText="1"/>
    </xf>
    <xf numFmtId="165" fontId="7" fillId="4" borderId="29" xfId="0" applyNumberFormat="1" applyFont="1" applyFill="1" applyBorder="1" applyAlignment="1">
      <alignment horizontal="center" vertical="center" wrapText="1"/>
    </xf>
    <xf numFmtId="3" fontId="7" fillId="5" borderId="65" xfId="5" applyNumberFormat="1" applyFont="1" applyFill="1" applyBorder="1" applyAlignment="1">
      <alignment vertical="center"/>
    </xf>
    <xf numFmtId="3" fontId="7" fillId="5" borderId="66" xfId="5" applyNumberFormat="1" applyFont="1" applyFill="1" applyBorder="1" applyAlignment="1">
      <alignment vertical="center"/>
    </xf>
    <xf numFmtId="0" fontId="7" fillId="0" borderId="69" xfId="5" applyFont="1" applyBorder="1" applyAlignment="1">
      <alignment horizontal="center" vertical="center"/>
    </xf>
    <xf numFmtId="0" fontId="7" fillId="0" borderId="52" xfId="5" applyFont="1" applyBorder="1" applyAlignment="1">
      <alignment horizontal="center" vertical="center"/>
    </xf>
    <xf numFmtId="167" fontId="7" fillId="0" borderId="55" xfId="2" applyNumberFormat="1" applyFont="1" applyBorder="1" applyAlignment="1">
      <alignment horizontal="center" vertical="center"/>
    </xf>
    <xf numFmtId="0" fontId="9" fillId="0" borderId="42" xfId="5" applyFont="1" applyBorder="1" applyAlignment="1">
      <alignment horizontal="center" vertical="center"/>
    </xf>
    <xf numFmtId="43" fontId="9" fillId="0" borderId="74" xfId="2" applyFont="1" applyBorder="1" applyAlignment="1">
      <alignment horizontal="right" vertical="center" wrapText="1" indent="1"/>
    </xf>
    <xf numFmtId="43" fontId="9" fillId="0" borderId="30" xfId="2" applyFont="1" applyBorder="1" applyAlignment="1">
      <alignment horizontal="right" vertical="center" wrapText="1" indent="1"/>
    </xf>
    <xf numFmtId="167" fontId="45" fillId="0" borderId="55" xfId="2" applyNumberFormat="1" applyFont="1" applyBorder="1" applyAlignment="1">
      <alignment horizontal="right" vertical="center"/>
    </xf>
    <xf numFmtId="3" fontId="6" fillId="4" borderId="63" xfId="5" applyNumberFormat="1" applyFont="1" applyFill="1" applyBorder="1" applyAlignment="1">
      <alignment vertical="center" wrapText="1"/>
    </xf>
    <xf numFmtId="43" fontId="6" fillId="4" borderId="58" xfId="2" applyFont="1" applyFill="1" applyBorder="1" applyAlignment="1">
      <alignment vertical="center" wrapText="1"/>
    </xf>
    <xf numFmtId="9" fontId="9" fillId="0" borderId="15" xfId="4" applyFont="1" applyBorder="1" applyAlignment="1" applyProtection="1">
      <alignment horizontal="center" vertical="center" wrapText="1"/>
      <protection locked="0"/>
    </xf>
    <xf numFmtId="0" fontId="9" fillId="0" borderId="52" xfId="5" applyFont="1" applyBorder="1" applyAlignment="1">
      <alignment horizontal="center" vertical="center"/>
    </xf>
    <xf numFmtId="0" fontId="9" fillId="0" borderId="16" xfId="5" applyFont="1" applyBorder="1" applyAlignment="1">
      <alignment horizontal="left" vertical="center" wrapText="1" indent="1"/>
    </xf>
    <xf numFmtId="0" fontId="9" fillId="0" borderId="28" xfId="5" applyFont="1" applyBorder="1" applyAlignment="1">
      <alignment horizontal="center" vertical="center" wrapText="1"/>
    </xf>
    <xf numFmtId="0" fontId="9" fillId="0" borderId="16" xfId="5" applyFont="1" applyBorder="1" applyAlignment="1">
      <alignment horizontal="center" vertical="center" wrapText="1"/>
    </xf>
    <xf numFmtId="43" fontId="9" fillId="0" borderId="16" xfId="2" applyFont="1" applyBorder="1" applyAlignment="1">
      <alignment horizontal="right" vertical="center" wrapText="1" indent="1"/>
    </xf>
    <xf numFmtId="43" fontId="9" fillId="0" borderId="53" xfId="2" applyFont="1" applyBorder="1" applyAlignment="1">
      <alignment horizontal="right" vertical="center" wrapText="1" indent="1"/>
    </xf>
    <xf numFmtId="3" fontId="7" fillId="0" borderId="23" xfId="3" applyNumberFormat="1" applyFont="1" applyBorder="1" applyAlignment="1">
      <alignment horizontal="left" vertical="center" wrapText="1"/>
    </xf>
    <xf numFmtId="0" fontId="7" fillId="0" borderId="23" xfId="3" applyFont="1" applyBorder="1" applyAlignment="1">
      <alignment horizontal="left" vertical="center" wrapText="1"/>
    </xf>
    <xf numFmtId="0" fontId="7" fillId="0" borderId="24" xfId="3" applyFont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3" fontId="9" fillId="0" borderId="9" xfId="3" applyNumberFormat="1" applyFont="1" applyBorder="1" applyAlignment="1">
      <alignment horizontal="left" vertical="center" wrapText="1"/>
    </xf>
    <xf numFmtId="0" fontId="9" fillId="0" borderId="9" xfId="3" applyFont="1" applyBorder="1" applyAlignment="1">
      <alignment horizontal="left" vertical="center" wrapText="1"/>
    </xf>
    <xf numFmtId="0" fontId="9" fillId="0" borderId="10" xfId="3" applyFont="1" applyBorder="1" applyAlignment="1">
      <alignment horizontal="left" vertical="center" wrapText="1"/>
    </xf>
    <xf numFmtId="3" fontId="7" fillId="0" borderId="56" xfId="3" applyNumberFormat="1" applyFont="1" applyBorder="1" applyAlignment="1">
      <alignment horizontal="left" vertical="center" wrapText="1"/>
    </xf>
    <xf numFmtId="0" fontId="7" fillId="0" borderId="57" xfId="3" applyFont="1" applyBorder="1" applyAlignment="1">
      <alignment horizontal="left" vertical="center" wrapText="1"/>
    </xf>
    <xf numFmtId="0" fontId="9" fillId="0" borderId="0" xfId="3" applyFont="1" applyAlignment="1">
      <alignment horizontal="left" vertical="top" wrapText="1"/>
    </xf>
    <xf numFmtId="3" fontId="9" fillId="0" borderId="39" xfId="3" applyNumberFormat="1" applyFont="1" applyBorder="1" applyAlignment="1">
      <alignment horizontal="left" vertical="center" wrapText="1"/>
    </xf>
    <xf numFmtId="3" fontId="9" fillId="0" borderId="10" xfId="3" applyNumberFormat="1" applyFont="1" applyBorder="1" applyAlignment="1">
      <alignment horizontal="left" vertical="center" wrapText="1"/>
    </xf>
    <xf numFmtId="3" fontId="9" fillId="0" borderId="39" xfId="3" applyNumberFormat="1" applyFont="1" applyBorder="1" applyAlignment="1">
      <alignment vertical="center" wrapText="1"/>
    </xf>
    <xf numFmtId="3" fontId="9" fillId="0" borderId="9" xfId="3" applyNumberFormat="1" applyFont="1" applyBorder="1" applyAlignment="1">
      <alignment vertical="center" wrapText="1"/>
    </xf>
    <xf numFmtId="3" fontId="9" fillId="0" borderId="10" xfId="3" applyNumberFormat="1" applyFont="1" applyBorder="1" applyAlignment="1">
      <alignment vertical="center" wrapText="1"/>
    </xf>
    <xf numFmtId="3" fontId="7" fillId="0" borderId="23" xfId="3" applyNumberFormat="1" applyFont="1" applyBorder="1" applyAlignment="1">
      <alignment horizontal="left" vertical="center" wrapText="1"/>
    </xf>
    <xf numFmtId="0" fontId="7" fillId="0" borderId="23" xfId="3" applyFont="1" applyBorder="1" applyAlignment="1">
      <alignment horizontal="left" vertical="center" wrapText="1"/>
    </xf>
    <xf numFmtId="0" fontId="7" fillId="0" borderId="24" xfId="3" applyFont="1" applyBorder="1" applyAlignment="1">
      <alignment horizontal="left" vertical="center" wrapText="1"/>
    </xf>
    <xf numFmtId="0" fontId="6" fillId="0" borderId="35" xfId="3" applyFont="1" applyBorder="1" applyAlignment="1">
      <alignment horizontal="center" vertical="center" wrapText="1"/>
    </xf>
    <xf numFmtId="0" fontId="53" fillId="0" borderId="46" xfId="3" applyFont="1" applyBorder="1" applyAlignment="1">
      <alignment horizontal="center" vertical="center" wrapText="1"/>
    </xf>
    <xf numFmtId="0" fontId="53" fillId="0" borderId="36" xfId="3" applyFont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/>
    </xf>
    <xf numFmtId="0" fontId="6" fillId="2" borderId="46" xfId="3" applyFont="1" applyFill="1" applyBorder="1" applyAlignment="1">
      <alignment horizontal="center" vertical="center"/>
    </xf>
    <xf numFmtId="0" fontId="6" fillId="2" borderId="36" xfId="3" applyFont="1" applyFill="1" applyBorder="1" applyAlignment="1">
      <alignment horizontal="center" vertical="center"/>
    </xf>
    <xf numFmtId="0" fontId="39" fillId="2" borderId="50" xfId="3" applyFont="1" applyFill="1" applyBorder="1" applyAlignment="1">
      <alignment horizontal="center" vertical="center"/>
    </xf>
    <xf numFmtId="0" fontId="39" fillId="2" borderId="23" xfId="3" applyFont="1" applyFill="1" applyBorder="1" applyAlignment="1">
      <alignment horizontal="center" vertical="center"/>
    </xf>
    <xf numFmtId="0" fontId="39" fillId="2" borderId="51" xfId="3" applyFont="1" applyFill="1" applyBorder="1" applyAlignment="1">
      <alignment horizontal="center" vertical="center"/>
    </xf>
    <xf numFmtId="0" fontId="54" fillId="0" borderId="45" xfId="3" applyFont="1" applyBorder="1" applyAlignment="1">
      <alignment horizontal="center" vertical="center" wrapText="1"/>
    </xf>
    <xf numFmtId="0" fontId="54" fillId="0" borderId="0" xfId="3" applyFont="1" applyBorder="1" applyAlignment="1">
      <alignment horizontal="center" vertical="center" wrapText="1"/>
    </xf>
    <xf numFmtId="0" fontId="54" fillId="0" borderId="47" xfId="3" applyFont="1" applyBorder="1" applyAlignment="1">
      <alignment horizontal="center" vertical="center" wrapText="1"/>
    </xf>
    <xf numFmtId="0" fontId="55" fillId="0" borderId="37" xfId="3" applyFont="1" applyBorder="1" applyAlignment="1">
      <alignment horizontal="center" vertical="center" wrapText="1"/>
    </xf>
    <xf numFmtId="0" fontId="55" fillId="0" borderId="59" xfId="3" applyFont="1" applyBorder="1" applyAlignment="1">
      <alignment horizontal="center" vertical="center" wrapText="1"/>
    </xf>
    <xf numFmtId="0" fontId="55" fillId="0" borderId="38" xfId="3" applyFont="1" applyBorder="1" applyAlignment="1">
      <alignment horizontal="center" vertical="center" wrapText="1"/>
    </xf>
    <xf numFmtId="3" fontId="6" fillId="2" borderId="35" xfId="0" applyNumberFormat="1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49" fontId="9" fillId="0" borderId="9" xfId="3" applyNumberFormat="1" applyFont="1" applyBorder="1" applyAlignment="1">
      <alignment horizontal="left" vertical="center" wrapText="1"/>
    </xf>
    <xf numFmtId="49" fontId="9" fillId="0" borderId="10" xfId="3" applyNumberFormat="1" applyFont="1" applyBorder="1" applyAlignment="1">
      <alignment horizontal="left" vertical="center" wrapText="1"/>
    </xf>
    <xf numFmtId="0" fontId="7" fillId="0" borderId="6" xfId="3" applyFont="1" applyBorder="1" applyAlignment="1">
      <alignment horizontal="left" vertical="center"/>
    </xf>
    <xf numFmtId="0" fontId="7" fillId="0" borderId="13" xfId="3" applyFont="1" applyBorder="1" applyAlignment="1">
      <alignment horizontal="left" vertical="center"/>
    </xf>
    <xf numFmtId="3" fontId="42" fillId="0" borderId="57" xfId="3" applyNumberFormat="1" applyFont="1" applyBorder="1" applyAlignment="1">
      <alignment horizontal="left" vertical="center" wrapText="1"/>
    </xf>
    <xf numFmtId="3" fontId="40" fillId="2" borderId="66" xfId="3" applyNumberFormat="1" applyFont="1" applyFill="1" applyBorder="1" applyAlignment="1">
      <alignment horizontal="left" vertical="center" wrapText="1"/>
    </xf>
    <xf numFmtId="3" fontId="41" fillId="2" borderId="66" xfId="3" applyNumberFormat="1" applyFont="1" applyFill="1" applyBorder="1" applyAlignment="1">
      <alignment horizontal="left" vertical="center" wrapText="1"/>
    </xf>
    <xf numFmtId="3" fontId="41" fillId="2" borderId="67" xfId="3" applyNumberFormat="1" applyFont="1" applyFill="1" applyBorder="1" applyAlignment="1">
      <alignment horizontal="left" vertical="center" wrapText="1"/>
    </xf>
    <xf numFmtId="3" fontId="7" fillId="0" borderId="68" xfId="3" applyNumberFormat="1" applyFont="1" applyBorder="1" applyAlignment="1">
      <alignment horizontal="center" vertical="center" wrapText="1"/>
    </xf>
    <xf numFmtId="3" fontId="7" fillId="0" borderId="69" xfId="3" applyNumberFormat="1" applyFont="1" applyBorder="1" applyAlignment="1">
      <alignment horizontal="center" vertical="center" wrapText="1"/>
    </xf>
    <xf numFmtId="3" fontId="7" fillId="0" borderId="25" xfId="3" applyNumberFormat="1" applyFont="1" applyBorder="1" applyAlignment="1">
      <alignment horizontal="center" vertical="center" wrapText="1"/>
    </xf>
    <xf numFmtId="3" fontId="7" fillId="0" borderId="16" xfId="3" applyNumberFormat="1" applyFont="1" applyBorder="1" applyAlignment="1">
      <alignment horizontal="center" vertical="center" wrapText="1"/>
    </xf>
    <xf numFmtId="3" fontId="7" fillId="0" borderId="15" xfId="3" applyNumberFormat="1" applyFont="1" applyBorder="1" applyAlignment="1">
      <alignment horizontal="center" vertical="center" wrapText="1"/>
    </xf>
    <xf numFmtId="43" fontId="7" fillId="0" borderId="15" xfId="2" applyFont="1" applyBorder="1" applyAlignment="1">
      <alignment horizontal="center" vertical="center" wrapText="1"/>
    </xf>
    <xf numFmtId="43" fontId="7" fillId="0" borderId="55" xfId="2" applyFont="1" applyBorder="1" applyAlignment="1">
      <alignment horizontal="center" vertical="center" wrapText="1"/>
    </xf>
    <xf numFmtId="0" fontId="20" fillId="0" borderId="22" xfId="3" applyFont="1" applyBorder="1" applyAlignment="1">
      <alignment horizontal="left"/>
    </xf>
    <xf numFmtId="0" fontId="20" fillId="0" borderId="23" xfId="3" applyFont="1" applyBorder="1" applyAlignment="1">
      <alignment horizontal="left"/>
    </xf>
    <xf numFmtId="0" fontId="20" fillId="0" borderId="24" xfId="3" applyFont="1" applyBorder="1" applyAlignment="1">
      <alignment horizontal="left"/>
    </xf>
    <xf numFmtId="0" fontId="18" fillId="5" borderId="22" xfId="3" applyFont="1" applyFill="1" applyBorder="1" applyAlignment="1">
      <alignment horizontal="center" vertical="center"/>
    </xf>
    <xf numFmtId="0" fontId="18" fillId="5" borderId="23" xfId="3" applyFont="1" applyFill="1" applyBorder="1" applyAlignment="1">
      <alignment horizontal="center" vertical="center"/>
    </xf>
    <xf numFmtId="0" fontId="18" fillId="5" borderId="24" xfId="3" applyFont="1" applyFill="1" applyBorder="1" applyAlignment="1">
      <alignment horizontal="center" vertical="center"/>
    </xf>
    <xf numFmtId="0" fontId="21" fillId="8" borderId="22" xfId="3" applyFont="1" applyFill="1" applyBorder="1" applyAlignment="1">
      <alignment horizontal="left" vertical="center"/>
    </xf>
    <xf numFmtId="0" fontId="21" fillId="8" borderId="23" xfId="3" applyFont="1" applyFill="1" applyBorder="1" applyAlignment="1">
      <alignment horizontal="left" vertical="center"/>
    </xf>
    <xf numFmtId="0" fontId="21" fillId="8" borderId="24" xfId="3" applyFont="1" applyFill="1" applyBorder="1" applyAlignment="1">
      <alignment horizontal="left" vertical="center"/>
    </xf>
    <xf numFmtId="0" fontId="22" fillId="0" borderId="22" xfId="3" applyFont="1" applyBorder="1"/>
    <xf numFmtId="0" fontId="22" fillId="0" borderId="23" xfId="3" applyFont="1" applyBorder="1"/>
    <xf numFmtId="0" fontId="22" fillId="0" borderId="24" xfId="3" applyFont="1" applyBorder="1"/>
    <xf numFmtId="0" fontId="20" fillId="0" borderId="22" xfId="3" applyFont="1" applyBorder="1"/>
    <xf numFmtId="0" fontId="20" fillId="0" borderId="23" xfId="3" applyFont="1" applyBorder="1"/>
    <xf numFmtId="0" fontId="20" fillId="0" borderId="24" xfId="3" applyFont="1" applyBorder="1"/>
    <xf numFmtId="0" fontId="20" fillId="0" borderId="22" xfId="3" applyFont="1" applyBorder="1" applyAlignment="1">
      <alignment horizontal="left" wrapText="1"/>
    </xf>
    <xf numFmtId="0" fontId="20" fillId="0" borderId="23" xfId="3" applyFont="1" applyBorder="1" applyAlignment="1">
      <alignment horizontal="left" wrapText="1"/>
    </xf>
    <xf numFmtId="0" fontId="20" fillId="0" borderId="24" xfId="3" applyFont="1" applyBorder="1" applyAlignment="1">
      <alignment horizontal="left" wrapText="1"/>
    </xf>
    <xf numFmtId="0" fontId="21" fillId="8" borderId="22" xfId="3" applyFont="1" applyFill="1" applyBorder="1" applyAlignment="1">
      <alignment horizontal="left" vertical="center" wrapText="1"/>
    </xf>
    <xf numFmtId="0" fontId="21" fillId="8" borderId="23" xfId="3" applyFont="1" applyFill="1" applyBorder="1" applyAlignment="1">
      <alignment horizontal="left" vertical="center" wrapText="1"/>
    </xf>
    <xf numFmtId="0" fontId="21" fillId="8" borderId="24" xfId="3" applyFont="1" applyFill="1" applyBorder="1" applyAlignment="1">
      <alignment horizontal="left" vertical="center" wrapText="1"/>
    </xf>
    <xf numFmtId="0" fontId="20" fillId="0" borderId="22" xfId="3" applyFont="1" applyBorder="1" applyAlignment="1">
      <alignment wrapText="1"/>
    </xf>
    <xf numFmtId="0" fontId="20" fillId="0" borderId="23" xfId="3" applyFont="1" applyBorder="1" applyAlignment="1">
      <alignment wrapText="1"/>
    </xf>
    <xf numFmtId="0" fontId="20" fillId="0" borderId="24" xfId="3" applyFont="1" applyBorder="1" applyAlignment="1">
      <alignment wrapText="1"/>
    </xf>
    <xf numFmtId="0" fontId="21" fillId="8" borderId="1" xfId="3" applyFont="1" applyFill="1" applyBorder="1" applyAlignment="1">
      <alignment horizontal="left" vertical="center" wrapText="1"/>
    </xf>
    <xf numFmtId="0" fontId="21" fillId="8" borderId="2" xfId="3" applyFont="1" applyFill="1" applyBorder="1" applyAlignment="1">
      <alignment horizontal="left" vertical="center" wrapText="1"/>
    </xf>
    <xf numFmtId="0" fontId="21" fillId="8" borderId="3" xfId="3" applyFont="1" applyFill="1" applyBorder="1" applyAlignment="1">
      <alignment horizontal="left" vertical="center" wrapText="1"/>
    </xf>
    <xf numFmtId="0" fontId="28" fillId="0" borderId="22" xfId="8" applyFont="1" applyBorder="1" applyAlignment="1">
      <alignment horizontal="center"/>
    </xf>
    <xf numFmtId="0" fontId="28" fillId="0" borderId="24" xfId="8" applyFont="1" applyBorder="1" applyAlignment="1">
      <alignment horizontal="center"/>
    </xf>
    <xf numFmtId="0" fontId="2" fillId="0" borderId="25" xfId="6" applyFont="1" applyBorder="1" applyAlignment="1">
      <alignment horizontal="center"/>
    </xf>
    <xf numFmtId="0" fontId="27" fillId="0" borderId="0" xfId="6" applyFont="1" applyAlignment="1">
      <alignment horizontal="center"/>
    </xf>
    <xf numFmtId="0" fontId="2" fillId="0" borderId="0" xfId="6" applyFont="1" applyAlignment="1">
      <alignment horizontal="center" vertical="center"/>
    </xf>
    <xf numFmtId="0" fontId="28" fillId="16" borderId="22" xfId="8" applyFont="1" applyFill="1" applyBorder="1" applyAlignment="1">
      <alignment horizontal="center"/>
    </xf>
    <xf numFmtId="0" fontId="28" fillId="16" borderId="23" xfId="8" applyFont="1" applyFill="1" applyBorder="1" applyAlignment="1">
      <alignment horizontal="center"/>
    </xf>
    <xf numFmtId="0" fontId="28" fillId="16" borderId="24" xfId="8" applyFont="1" applyFill="1" applyBorder="1" applyAlignment="1">
      <alignment horizontal="center"/>
    </xf>
    <xf numFmtId="0" fontId="28" fillId="0" borderId="23" xfId="8" applyFont="1" applyBorder="1" applyAlignment="1">
      <alignment horizontal="center"/>
    </xf>
    <xf numFmtId="3" fontId="5" fillId="2" borderId="35" xfId="0" applyNumberFormat="1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3" fontId="9" fillId="0" borderId="9" xfId="3" applyNumberFormat="1" applyFont="1" applyBorder="1" applyAlignment="1">
      <alignment horizontal="left" vertical="center"/>
    </xf>
    <xf numFmtId="3" fontId="9" fillId="0" borderId="10" xfId="3" applyNumberFormat="1" applyFont="1" applyBorder="1" applyAlignment="1">
      <alignment horizontal="left" vertical="center"/>
    </xf>
    <xf numFmtId="3" fontId="7" fillId="2" borderId="12" xfId="3" applyNumberFormat="1" applyFont="1" applyFill="1" applyBorder="1" applyAlignment="1">
      <alignment horizontal="left" vertical="center"/>
    </xf>
    <xf numFmtId="3" fontId="7" fillId="2" borderId="6" xfId="3" applyNumberFormat="1" applyFont="1" applyFill="1" applyBorder="1" applyAlignment="1">
      <alignment horizontal="left" vertical="center"/>
    </xf>
    <xf numFmtId="3" fontId="10" fillId="2" borderId="6" xfId="3" applyNumberFormat="1" applyFont="1" applyFill="1" applyBorder="1" applyAlignment="1">
      <alignment horizontal="left" vertical="top" wrapText="1"/>
    </xf>
    <xf numFmtId="3" fontId="10" fillId="2" borderId="7" xfId="3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3" fontId="7" fillId="0" borderId="61" xfId="0" applyNumberFormat="1" applyFont="1" applyBorder="1" applyAlignment="1">
      <alignment horizontal="left" vertical="center" wrapText="1"/>
    </xf>
    <xf numFmtId="3" fontId="7" fillId="0" borderId="62" xfId="0" applyNumberFormat="1" applyFont="1" applyBorder="1" applyAlignment="1">
      <alignment horizontal="left" vertical="center" wrapText="1"/>
    </xf>
    <xf numFmtId="3" fontId="7" fillId="0" borderId="56" xfId="0" applyNumberFormat="1" applyFont="1" applyBorder="1" applyAlignment="1">
      <alignment horizontal="left" vertical="center" wrapText="1"/>
    </xf>
    <xf numFmtId="0" fontId="6" fillId="2" borderId="45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47" xfId="0" applyFont="1" applyFill="1" applyBorder="1" applyAlignment="1">
      <alignment horizontal="center" vertical="top" wrapText="1"/>
    </xf>
    <xf numFmtId="3" fontId="10" fillId="2" borderId="6" xfId="3" applyNumberFormat="1" applyFont="1" applyFill="1" applyBorder="1" applyAlignment="1">
      <alignment horizontal="left" vertical="center" wrapText="1"/>
    </xf>
    <xf numFmtId="3" fontId="10" fillId="2" borderId="7" xfId="3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3" fontId="35" fillId="0" borderId="1" xfId="3" applyNumberFormat="1" applyFont="1" applyBorder="1" applyAlignment="1">
      <alignment horizontal="center" vertical="center" wrapText="1"/>
    </xf>
    <xf numFmtId="3" fontId="35" fillId="0" borderId="2" xfId="3" applyNumberFormat="1" applyFont="1" applyBorder="1" applyAlignment="1">
      <alignment horizontal="center" vertical="center" wrapText="1"/>
    </xf>
    <xf numFmtId="3" fontId="35" fillId="0" borderId="3" xfId="3" applyNumberFormat="1" applyFont="1" applyBorder="1" applyAlignment="1">
      <alignment horizontal="center" vertical="center" wrapText="1"/>
    </xf>
    <xf numFmtId="3" fontId="35" fillId="0" borderId="4" xfId="3" applyNumberFormat="1" applyFont="1" applyBorder="1" applyAlignment="1">
      <alignment horizontal="center" vertical="center" wrapText="1"/>
    </xf>
    <xf numFmtId="3" fontId="35" fillId="0" borderId="0" xfId="3" applyNumberFormat="1" applyFont="1" applyAlignment="1">
      <alignment horizontal="center" vertical="center" wrapText="1"/>
    </xf>
    <xf numFmtId="3" fontId="35" fillId="0" borderId="5" xfId="3" applyNumberFormat="1" applyFont="1" applyBorder="1" applyAlignment="1">
      <alignment horizontal="center" vertical="center" wrapText="1"/>
    </xf>
    <xf numFmtId="3" fontId="35" fillId="0" borderId="32" xfId="3" applyNumberFormat="1" applyFont="1" applyBorder="1" applyAlignment="1">
      <alignment horizontal="center" vertical="center" wrapText="1"/>
    </xf>
    <xf numFmtId="3" fontId="35" fillId="0" borderId="33" xfId="3" applyNumberFormat="1" applyFont="1" applyBorder="1" applyAlignment="1">
      <alignment horizontal="center" vertical="center" wrapText="1"/>
    </xf>
    <xf numFmtId="3" fontId="35" fillId="0" borderId="34" xfId="3" applyNumberFormat="1" applyFont="1" applyBorder="1" applyAlignment="1">
      <alignment horizontal="center" vertical="center" wrapText="1"/>
    </xf>
    <xf numFmtId="43" fontId="12" fillId="0" borderId="35" xfId="0" applyNumberFormat="1" applyFont="1" applyBorder="1" applyAlignment="1">
      <alignment horizontal="center" vertical="center"/>
    </xf>
    <xf numFmtId="43" fontId="12" fillId="0" borderId="36" xfId="0" applyNumberFormat="1" applyFont="1" applyBorder="1" applyAlignment="1">
      <alignment horizontal="center" vertical="center"/>
    </xf>
    <xf numFmtId="43" fontId="12" fillId="0" borderId="37" xfId="0" applyNumberFormat="1" applyFont="1" applyBorder="1" applyAlignment="1">
      <alignment horizontal="center" vertical="center"/>
    </xf>
    <xf numFmtId="43" fontId="12" fillId="0" borderId="38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3" fontId="12" fillId="0" borderId="2" xfId="0" applyNumberFormat="1" applyFont="1" applyBorder="1" applyAlignment="1">
      <alignment horizontal="center" vertical="center"/>
    </xf>
    <xf numFmtId="43" fontId="12" fillId="0" borderId="3" xfId="0" applyNumberFormat="1" applyFont="1" applyBorder="1" applyAlignment="1">
      <alignment horizontal="center" vertical="center"/>
    </xf>
    <xf numFmtId="43" fontId="12" fillId="0" borderId="33" xfId="0" applyNumberFormat="1" applyFont="1" applyBorder="1" applyAlignment="1">
      <alignment horizontal="center" vertical="center"/>
    </xf>
    <xf numFmtId="43" fontId="12" fillId="0" borderId="34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1" fillId="5" borderId="22" xfId="3" applyFont="1" applyFill="1" applyBorder="1" applyAlignment="1">
      <alignment horizontal="left" vertical="center" wrapText="1"/>
    </xf>
    <xf numFmtId="0" fontId="21" fillId="5" borderId="23" xfId="3" applyFont="1" applyFill="1" applyBorder="1" applyAlignment="1">
      <alignment horizontal="left" vertical="center" wrapText="1"/>
    </xf>
    <xf numFmtId="0" fontId="21" fillId="5" borderId="24" xfId="3" applyFont="1" applyFill="1" applyBorder="1" applyAlignment="1">
      <alignment horizontal="left" vertical="center" wrapText="1"/>
    </xf>
    <xf numFmtId="4" fontId="15" fillId="0" borderId="0" xfId="3" applyNumberFormat="1" applyFont="1" applyAlignment="1">
      <alignment horizontal="center" vertical="center" wrapText="1"/>
    </xf>
    <xf numFmtId="0" fontId="0" fillId="16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3" fontId="7" fillId="5" borderId="66" xfId="5" applyNumberFormat="1" applyFont="1" applyFill="1" applyBorder="1" applyAlignment="1">
      <alignment horizontal="center" vertical="center"/>
    </xf>
    <xf numFmtId="3" fontId="7" fillId="5" borderId="67" xfId="5" applyNumberFormat="1" applyFont="1" applyFill="1" applyBorder="1" applyAlignment="1">
      <alignment horizontal="center" vertical="center"/>
    </xf>
    <xf numFmtId="3" fontId="6" fillId="4" borderId="61" xfId="5" applyNumberFormat="1" applyFont="1" applyFill="1" applyBorder="1" applyAlignment="1">
      <alignment horizontal="left" vertical="center" wrapText="1"/>
    </xf>
    <xf numFmtId="3" fontId="6" fillId="4" borderId="62" xfId="5" applyNumberFormat="1" applyFont="1" applyFill="1" applyBorder="1" applyAlignment="1">
      <alignment horizontal="left" vertical="center" wrapText="1"/>
    </xf>
  </cellXfs>
  <cellStyles count="12">
    <cellStyle name="Comma" xfId="1" builtinId="3"/>
    <cellStyle name="Comma 2" xfId="2" xr:uid="{5C346446-D6C1-48BA-BEEA-FC5B9EE00C9A}"/>
    <cellStyle name="Comma 6" xfId="7" xr:uid="{86456BA0-E018-4F25-98F5-27062D1143B6}"/>
    <cellStyle name="Normal" xfId="0" builtinId="0"/>
    <cellStyle name="Normal 2" xfId="3" xr:uid="{A51312C8-C15A-4A0E-99FF-81F8043AB4B4}"/>
    <cellStyle name="Normal 2 10" xfId="9" xr:uid="{6539B5CA-0B78-49BF-AC86-E4B25208680C}"/>
    <cellStyle name="Normal 2 5 2" xfId="5" xr:uid="{3AD7B4CB-312F-4F7D-B6A9-C955105BAD12}"/>
    <cellStyle name="Normal 2 5 2 2" xfId="8" xr:uid="{B9C1D7A9-A1F2-4D21-9B47-10637367E457}"/>
    <cellStyle name="Normal 2 5 2 2 2" xfId="11" xr:uid="{0AEF8621-E359-47B5-A6F6-215C9BA0C8C9}"/>
    <cellStyle name="Normal 6" xfId="6" xr:uid="{66FA055D-96B5-4C18-A51B-C04534C1FA4C}"/>
    <cellStyle name="Percent" xfId="10" builtinId="5"/>
    <cellStyle name="Percent 2" xfId="4" xr:uid="{5037CC58-73BD-4A58-9066-3D4480F171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1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3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2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jith\shareddocs\AJITH\FORMATS\SuStructure%20Conc%20Take%20of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c-pc\users\CCC\INDIKA\Pre%20contract\MMGS\Graphitec\Evaluation%20Graphitec\AJITH\FORMATS\SuStructure%20Conc%20Take%20of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NANDA-PC\PROJECTS%20-%20SUNANDA\PROPOSALS\Sunanda\Projects\Archimedia\Central-province\Budget%20Estimate-%20PC%20Kandy\AJITH\FORMATS\SuStructure%20Conc%20Take%20of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IIB%20new/Group%2003%20new/New%20Designs%20after%20revision%20on%20-march%202021/BOQ%20by%20Amila/7C/Prelims%207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ihan/AIIB%20EE/GORUP%2003/RLVMMP%20-%20Group%203%20-%20Engineering%20Estimates/Group%203%20Su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ajith%20QS\AIIB\GROUP%2003\Estimate\SITE%20NO.%2088\Estimate%20Site%20No%208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keOff"/>
      <sheetName val="Schedules"/>
      <sheetName val="Sheet3"/>
      <sheetName val="B-3.2 EB"/>
      <sheetName val="PLT-SUM"/>
      <sheetName val="Factor Sheet"/>
      <sheetName val="Price Sheet"/>
      <sheetName val="B-2"/>
      <sheetName val="Rates"/>
    </sheetNames>
    <sheetDataSet>
      <sheetData sheetId="0" refreshError="1"/>
      <sheetData sheetId="1" refreshError="1">
        <row r="5">
          <cell r="A5" t="str">
            <v>C1</v>
          </cell>
          <cell r="B5">
            <v>0.25</v>
          </cell>
          <cell r="C5">
            <v>0.35</v>
          </cell>
          <cell r="D5">
            <v>8.7499999999999994E-2</v>
          </cell>
          <cell r="E5">
            <v>1.2</v>
          </cell>
        </row>
        <row r="6">
          <cell r="A6" t="str">
            <v>C2</v>
          </cell>
          <cell r="B6">
            <v>0.25</v>
          </cell>
          <cell r="C6">
            <v>0.45</v>
          </cell>
          <cell r="D6">
            <v>0.1125</v>
          </cell>
          <cell r="E6">
            <v>1.4</v>
          </cell>
        </row>
        <row r="7">
          <cell r="A7" t="str">
            <v>C3</v>
          </cell>
          <cell r="B7">
            <v>0.25</v>
          </cell>
          <cell r="C7">
            <v>0.55000000000000004</v>
          </cell>
          <cell r="D7">
            <v>0.13750000000000001</v>
          </cell>
          <cell r="E7">
            <v>1.6</v>
          </cell>
        </row>
        <row r="8">
          <cell r="A8" t="str">
            <v>C4</v>
          </cell>
          <cell r="B8">
            <v>0.25</v>
          </cell>
          <cell r="C8">
            <v>0.65</v>
          </cell>
          <cell r="D8">
            <v>0.16250000000000001</v>
          </cell>
          <cell r="E8">
            <v>1.8</v>
          </cell>
        </row>
        <row r="9">
          <cell r="A9" t="str">
            <v>C5</v>
          </cell>
          <cell r="B9">
            <v>0.25</v>
          </cell>
          <cell r="C9">
            <v>0.75</v>
          </cell>
          <cell r="D9">
            <v>0.1875</v>
          </cell>
          <cell r="E9">
            <v>2</v>
          </cell>
        </row>
        <row r="10">
          <cell r="A10" t="str">
            <v>C6</v>
          </cell>
          <cell r="B10">
            <v>0.25</v>
          </cell>
          <cell r="C10">
            <v>0.85</v>
          </cell>
          <cell r="D10">
            <v>0.21249999999999999</v>
          </cell>
          <cell r="E10">
            <v>2.2000000000000002</v>
          </cell>
        </row>
        <row r="11">
          <cell r="A11" t="str">
            <v>C7</v>
          </cell>
          <cell r="B11">
            <v>0.4</v>
          </cell>
          <cell r="C11">
            <v>0.4</v>
          </cell>
          <cell r="D11">
            <v>0.16000000000000003</v>
          </cell>
          <cell r="E11">
            <v>1.6</v>
          </cell>
        </row>
        <row r="12">
          <cell r="A12" t="str">
            <v>C8</v>
          </cell>
          <cell r="B12">
            <v>0.4</v>
          </cell>
          <cell r="C12">
            <v>0.45</v>
          </cell>
          <cell r="D12">
            <v>0.18000000000000002</v>
          </cell>
          <cell r="E12">
            <v>1.7000000000000002</v>
          </cell>
        </row>
        <row r="13">
          <cell r="A13" t="str">
            <v>C9</v>
          </cell>
          <cell r="B13">
            <v>0.4</v>
          </cell>
          <cell r="C13">
            <v>0.9</v>
          </cell>
          <cell r="D13">
            <v>0.36000000000000004</v>
          </cell>
          <cell r="E13">
            <v>2.6</v>
          </cell>
        </row>
        <row r="14">
          <cell r="A14" t="str">
            <v>C10</v>
          </cell>
          <cell r="B14">
            <v>0.25</v>
          </cell>
          <cell r="C14">
            <v>0.95</v>
          </cell>
          <cell r="D14">
            <v>0.23749999999999999</v>
          </cell>
          <cell r="E14">
            <v>2.4</v>
          </cell>
        </row>
        <row r="15">
          <cell r="A15" t="str">
            <v>C11</v>
          </cell>
          <cell r="B15">
            <v>0.4</v>
          </cell>
          <cell r="C15">
            <v>0.65</v>
          </cell>
          <cell r="D15">
            <v>0.26</v>
          </cell>
          <cell r="E15">
            <v>2.1</v>
          </cell>
        </row>
        <row r="16">
          <cell r="A16" t="str">
            <v>C12</v>
          </cell>
          <cell r="B16">
            <v>0.45</v>
          </cell>
          <cell r="C16">
            <v>0.65</v>
          </cell>
          <cell r="D16">
            <v>0.29250000000000004</v>
          </cell>
          <cell r="E16">
            <v>2.2000000000000002</v>
          </cell>
        </row>
        <row r="17">
          <cell r="A17" t="str">
            <v>C13</v>
          </cell>
          <cell r="B17">
            <v>0</v>
          </cell>
          <cell r="C17">
            <v>0</v>
          </cell>
          <cell r="D17">
            <v>0.65249999999999997</v>
          </cell>
          <cell r="E17">
            <v>4.3</v>
          </cell>
        </row>
        <row r="18">
          <cell r="A18" t="str">
            <v>C14</v>
          </cell>
          <cell r="B18">
            <v>0</v>
          </cell>
          <cell r="C18">
            <v>0</v>
          </cell>
          <cell r="D18">
            <v>1.37</v>
          </cell>
          <cell r="E18">
            <v>8.1999999999999993</v>
          </cell>
        </row>
        <row r="19">
          <cell r="A19" t="str">
            <v>C15</v>
          </cell>
          <cell r="B19">
            <v>0.55000000000000004</v>
          </cell>
          <cell r="C19">
            <v>0.9</v>
          </cell>
          <cell r="D19">
            <v>0.49500000000000005</v>
          </cell>
          <cell r="E19">
            <v>2.9000000000000004</v>
          </cell>
        </row>
        <row r="20">
          <cell r="A20" t="str">
            <v>C16</v>
          </cell>
          <cell r="B20">
            <v>0.55000000000000004</v>
          </cell>
          <cell r="C20">
            <v>0.55000000000000004</v>
          </cell>
          <cell r="D20">
            <v>0.30250000000000005</v>
          </cell>
          <cell r="E20">
            <v>2.2000000000000002</v>
          </cell>
        </row>
        <row r="21">
          <cell r="A21" t="str">
            <v>C17</v>
          </cell>
          <cell r="B21">
            <v>0.25</v>
          </cell>
          <cell r="C21">
            <v>0.55000000000000004</v>
          </cell>
          <cell r="D21">
            <v>0.13750000000000001</v>
          </cell>
          <cell r="E21">
            <v>1.6</v>
          </cell>
        </row>
        <row r="22">
          <cell r="A22" t="str">
            <v>C18</v>
          </cell>
          <cell r="B22">
            <v>0.25</v>
          </cell>
          <cell r="C22">
            <v>0.25</v>
          </cell>
          <cell r="D22">
            <v>6.25E-2</v>
          </cell>
          <cell r="E22">
            <v>1</v>
          </cell>
        </row>
        <row r="23">
          <cell r="A23" t="str">
            <v>C19</v>
          </cell>
          <cell r="B23">
            <v>0.4</v>
          </cell>
          <cell r="C23">
            <v>0.4</v>
          </cell>
          <cell r="D23">
            <v>0.16000000000000003</v>
          </cell>
          <cell r="E23">
            <v>1.6</v>
          </cell>
        </row>
        <row r="24">
          <cell r="A24" t="str">
            <v>W1</v>
          </cell>
          <cell r="B24">
            <v>10.9</v>
          </cell>
          <cell r="C24">
            <v>0.2</v>
          </cell>
          <cell r="D24">
            <v>2.1800000000000002</v>
          </cell>
          <cell r="E24">
            <v>22.2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keOff"/>
      <sheetName val="Schedules"/>
      <sheetName val="Sheet3"/>
      <sheetName val="B-2"/>
      <sheetName val="Option"/>
      <sheetName val="Details"/>
      <sheetName val=" GULF"/>
      <sheetName val="BOQ"/>
      <sheetName val="CCS summary "/>
      <sheetName val="16 Consum's"/>
      <sheetName val="24 B'up"/>
      <sheetName val="SuStructure Conc Take off"/>
      <sheetName val="Det_Des"/>
      <sheetName val="Ra  stair"/>
      <sheetName val="9600-T1"/>
      <sheetName val="C&amp;IEVA"/>
      <sheetName val="EC(Rev)"/>
      <sheetName val="#REF"/>
      <sheetName val="Bill 1"/>
      <sheetName val="Bill 2"/>
      <sheetName val="Bill 3"/>
      <sheetName val="Bill 4"/>
      <sheetName val="Bill 5"/>
      <sheetName val="Bill 6"/>
      <sheetName val="Bill 7"/>
      <sheetName val="Summary"/>
      <sheetName val="#3E1_GCR"/>
      <sheetName val="_GULF"/>
      <sheetName val="CCS_summary_"/>
      <sheetName val="16_Consum's"/>
      <sheetName val="24_B'up"/>
      <sheetName val="SuStructure_Conc_Take_off"/>
      <sheetName val="Ra__stair"/>
      <sheetName val="Bill_1"/>
      <sheetName val="Bill_2"/>
      <sheetName val="Bill_3"/>
      <sheetName val="Bill_4"/>
      <sheetName val="Bill_5"/>
      <sheetName val="Bill_6"/>
      <sheetName val="Bill_7"/>
      <sheetName val="설계서"/>
      <sheetName val="기준액"/>
      <sheetName val="B-3"/>
      <sheetName val="Calculation"/>
      <sheetName val="Factors"/>
    </sheetNames>
    <sheetDataSet>
      <sheetData sheetId="0" refreshError="1"/>
      <sheetData sheetId="1" refreshError="1">
        <row r="5">
          <cell r="A5" t="str">
            <v>C1</v>
          </cell>
          <cell r="B5">
            <v>0.25</v>
          </cell>
          <cell r="C5">
            <v>0.35</v>
          </cell>
          <cell r="D5">
            <v>8.7499999999999994E-2</v>
          </cell>
          <cell r="E5">
            <v>1.2</v>
          </cell>
        </row>
        <row r="6">
          <cell r="A6" t="str">
            <v>C2</v>
          </cell>
          <cell r="B6">
            <v>0.25</v>
          </cell>
          <cell r="C6">
            <v>0.45</v>
          </cell>
          <cell r="D6">
            <v>0.1125</v>
          </cell>
          <cell r="E6">
            <v>1.4</v>
          </cell>
        </row>
        <row r="7">
          <cell r="A7" t="str">
            <v>C3</v>
          </cell>
          <cell r="B7">
            <v>0.25</v>
          </cell>
          <cell r="C7">
            <v>0.55000000000000004</v>
          </cell>
          <cell r="D7">
            <v>0.13750000000000001</v>
          </cell>
          <cell r="E7">
            <v>1.6</v>
          </cell>
        </row>
        <row r="8">
          <cell r="A8" t="str">
            <v>C4</v>
          </cell>
          <cell r="B8">
            <v>0.25</v>
          </cell>
          <cell r="C8">
            <v>0.65</v>
          </cell>
          <cell r="D8">
            <v>0.16250000000000001</v>
          </cell>
          <cell r="E8">
            <v>1.8</v>
          </cell>
        </row>
        <row r="9">
          <cell r="A9" t="str">
            <v>C5</v>
          </cell>
          <cell r="B9">
            <v>0.25</v>
          </cell>
          <cell r="C9">
            <v>0.75</v>
          </cell>
          <cell r="D9">
            <v>0.1875</v>
          </cell>
          <cell r="E9">
            <v>2</v>
          </cell>
        </row>
        <row r="10">
          <cell r="A10" t="str">
            <v>C6</v>
          </cell>
          <cell r="B10">
            <v>0.25</v>
          </cell>
          <cell r="C10">
            <v>0.85</v>
          </cell>
          <cell r="D10">
            <v>0.21249999999999999</v>
          </cell>
          <cell r="E10">
            <v>2.2000000000000002</v>
          </cell>
        </row>
        <row r="11">
          <cell r="A11" t="str">
            <v>C7</v>
          </cell>
          <cell r="B11">
            <v>0.4</v>
          </cell>
          <cell r="C11">
            <v>0.4</v>
          </cell>
          <cell r="D11">
            <v>0.16000000000000003</v>
          </cell>
          <cell r="E11">
            <v>1.6</v>
          </cell>
        </row>
        <row r="12">
          <cell r="A12" t="str">
            <v>C8</v>
          </cell>
          <cell r="B12">
            <v>0.4</v>
          </cell>
          <cell r="C12">
            <v>0.45</v>
          </cell>
          <cell r="D12">
            <v>0.18000000000000002</v>
          </cell>
          <cell r="E12">
            <v>1.7000000000000002</v>
          </cell>
        </row>
        <row r="13">
          <cell r="A13" t="str">
            <v>C9</v>
          </cell>
          <cell r="B13">
            <v>0.4</v>
          </cell>
          <cell r="C13">
            <v>0.9</v>
          </cell>
          <cell r="D13">
            <v>0.36000000000000004</v>
          </cell>
          <cell r="E13">
            <v>2.6</v>
          </cell>
        </row>
        <row r="14">
          <cell r="A14" t="str">
            <v>C10</v>
          </cell>
          <cell r="B14">
            <v>0.25</v>
          </cell>
          <cell r="C14">
            <v>0.95</v>
          </cell>
          <cell r="D14">
            <v>0.23749999999999999</v>
          </cell>
          <cell r="E14">
            <v>2.4</v>
          </cell>
        </row>
        <row r="15">
          <cell r="A15" t="str">
            <v>C11</v>
          </cell>
          <cell r="B15">
            <v>0.4</v>
          </cell>
          <cell r="C15">
            <v>0.65</v>
          </cell>
          <cell r="D15">
            <v>0.26</v>
          </cell>
          <cell r="E15">
            <v>2.1</v>
          </cell>
        </row>
        <row r="16">
          <cell r="A16" t="str">
            <v>C12</v>
          </cell>
          <cell r="B16">
            <v>0.45</v>
          </cell>
          <cell r="C16">
            <v>0.65</v>
          </cell>
          <cell r="D16">
            <v>0.29250000000000004</v>
          </cell>
          <cell r="E16">
            <v>2.2000000000000002</v>
          </cell>
        </row>
        <row r="17">
          <cell r="A17" t="str">
            <v>C13</v>
          </cell>
          <cell r="B17">
            <v>0</v>
          </cell>
          <cell r="C17">
            <v>0</v>
          </cell>
          <cell r="D17">
            <v>0.65249999999999997</v>
          </cell>
          <cell r="E17">
            <v>4.3</v>
          </cell>
        </row>
        <row r="18">
          <cell r="A18" t="str">
            <v>C14</v>
          </cell>
          <cell r="B18">
            <v>0</v>
          </cell>
          <cell r="C18">
            <v>0</v>
          </cell>
          <cell r="D18">
            <v>1.37</v>
          </cell>
          <cell r="E18">
            <v>8.1999999999999993</v>
          </cell>
        </row>
        <row r="19">
          <cell r="A19" t="str">
            <v>C15</v>
          </cell>
          <cell r="B19">
            <v>0.55000000000000004</v>
          </cell>
          <cell r="C19">
            <v>0.9</v>
          </cell>
          <cell r="D19">
            <v>0.49500000000000005</v>
          </cell>
          <cell r="E19">
            <v>2.9000000000000004</v>
          </cell>
        </row>
        <row r="20">
          <cell r="A20" t="str">
            <v>C16</v>
          </cell>
          <cell r="B20">
            <v>0.55000000000000004</v>
          </cell>
          <cell r="C20">
            <v>0.55000000000000004</v>
          </cell>
          <cell r="D20">
            <v>0.30250000000000005</v>
          </cell>
          <cell r="E20">
            <v>2.2000000000000002</v>
          </cell>
        </row>
        <row r="21">
          <cell r="A21" t="str">
            <v>C17</v>
          </cell>
          <cell r="B21">
            <v>0.25</v>
          </cell>
          <cell r="C21">
            <v>0.55000000000000004</v>
          </cell>
          <cell r="D21">
            <v>0.13750000000000001</v>
          </cell>
          <cell r="E21">
            <v>1.6</v>
          </cell>
        </row>
        <row r="22">
          <cell r="A22" t="str">
            <v>C18</v>
          </cell>
          <cell r="B22">
            <v>0.25</v>
          </cell>
          <cell r="C22">
            <v>0.25</v>
          </cell>
          <cell r="D22">
            <v>6.25E-2</v>
          </cell>
          <cell r="E22">
            <v>1</v>
          </cell>
        </row>
        <row r="23">
          <cell r="A23" t="str">
            <v>C19</v>
          </cell>
          <cell r="B23">
            <v>0.4</v>
          </cell>
          <cell r="C23">
            <v>0.4</v>
          </cell>
          <cell r="D23">
            <v>0.16000000000000003</v>
          </cell>
          <cell r="E23">
            <v>1.6</v>
          </cell>
        </row>
        <row r="24">
          <cell r="A24" t="str">
            <v>W1</v>
          </cell>
          <cell r="B24">
            <v>10.9</v>
          </cell>
          <cell r="C24">
            <v>0.2</v>
          </cell>
          <cell r="D24">
            <v>2.1800000000000002</v>
          </cell>
          <cell r="E24">
            <v>22.2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keOff"/>
      <sheetName val="Schedules"/>
      <sheetName val="Sheet3"/>
      <sheetName val="B-3"/>
    </sheetNames>
    <sheetDataSet>
      <sheetData sheetId="0" refreshError="1"/>
      <sheetData sheetId="1" refreshError="1">
        <row r="5">
          <cell r="A5" t="str">
            <v>C1</v>
          </cell>
          <cell r="B5">
            <v>0.25</v>
          </cell>
          <cell r="C5">
            <v>0.35</v>
          </cell>
          <cell r="D5">
            <v>8.7499999999999994E-2</v>
          </cell>
          <cell r="E5">
            <v>1.2</v>
          </cell>
        </row>
        <row r="6">
          <cell r="A6" t="str">
            <v>C2</v>
          </cell>
          <cell r="B6">
            <v>0.25</v>
          </cell>
          <cell r="C6">
            <v>0.45</v>
          </cell>
          <cell r="D6">
            <v>0.1125</v>
          </cell>
          <cell r="E6">
            <v>1.4</v>
          </cell>
        </row>
        <row r="7">
          <cell r="A7" t="str">
            <v>C3</v>
          </cell>
          <cell r="B7">
            <v>0.25</v>
          </cell>
          <cell r="C7">
            <v>0.55000000000000004</v>
          </cell>
          <cell r="D7">
            <v>0.13750000000000001</v>
          </cell>
          <cell r="E7">
            <v>1.6</v>
          </cell>
        </row>
        <row r="8">
          <cell r="A8" t="str">
            <v>C4</v>
          </cell>
          <cell r="B8">
            <v>0.25</v>
          </cell>
          <cell r="C8">
            <v>0.65</v>
          </cell>
          <cell r="D8">
            <v>0.16250000000000001</v>
          </cell>
          <cell r="E8">
            <v>1.8</v>
          </cell>
        </row>
        <row r="9">
          <cell r="A9" t="str">
            <v>C5</v>
          </cell>
          <cell r="B9">
            <v>0.25</v>
          </cell>
          <cell r="C9">
            <v>0.75</v>
          </cell>
          <cell r="D9">
            <v>0.1875</v>
          </cell>
          <cell r="E9">
            <v>2</v>
          </cell>
        </row>
        <row r="10">
          <cell r="A10" t="str">
            <v>C6</v>
          </cell>
          <cell r="B10">
            <v>0.25</v>
          </cell>
          <cell r="C10">
            <v>0.85</v>
          </cell>
          <cell r="D10">
            <v>0.21249999999999999</v>
          </cell>
          <cell r="E10">
            <v>2.2000000000000002</v>
          </cell>
        </row>
        <row r="11">
          <cell r="A11" t="str">
            <v>C7</v>
          </cell>
          <cell r="B11">
            <v>0.4</v>
          </cell>
          <cell r="C11">
            <v>0.4</v>
          </cell>
          <cell r="D11">
            <v>0.16000000000000003</v>
          </cell>
          <cell r="E11">
            <v>1.6</v>
          </cell>
        </row>
        <row r="12">
          <cell r="A12" t="str">
            <v>C8</v>
          </cell>
          <cell r="B12">
            <v>0.4</v>
          </cell>
          <cell r="C12">
            <v>0.45</v>
          </cell>
          <cell r="D12">
            <v>0.18000000000000002</v>
          </cell>
          <cell r="E12">
            <v>1.7000000000000002</v>
          </cell>
        </row>
        <row r="13">
          <cell r="A13" t="str">
            <v>C9</v>
          </cell>
          <cell r="B13">
            <v>0.4</v>
          </cell>
          <cell r="C13">
            <v>0.9</v>
          </cell>
          <cell r="D13">
            <v>0.36000000000000004</v>
          </cell>
          <cell r="E13">
            <v>2.6</v>
          </cell>
        </row>
        <row r="14">
          <cell r="A14" t="str">
            <v>C10</v>
          </cell>
          <cell r="B14">
            <v>0.25</v>
          </cell>
          <cell r="C14">
            <v>0.95</v>
          </cell>
          <cell r="D14">
            <v>0.23749999999999999</v>
          </cell>
          <cell r="E14">
            <v>2.4</v>
          </cell>
        </row>
        <row r="15">
          <cell r="A15" t="str">
            <v>C11</v>
          </cell>
          <cell r="B15">
            <v>0.4</v>
          </cell>
          <cell r="C15">
            <v>0.65</v>
          </cell>
          <cell r="D15">
            <v>0.26</v>
          </cell>
          <cell r="E15">
            <v>2.1</v>
          </cell>
        </row>
        <row r="16">
          <cell r="A16" t="str">
            <v>C12</v>
          </cell>
          <cell r="B16">
            <v>0.45</v>
          </cell>
          <cell r="C16">
            <v>0.65</v>
          </cell>
          <cell r="D16">
            <v>0.29250000000000004</v>
          </cell>
          <cell r="E16">
            <v>2.2000000000000002</v>
          </cell>
        </row>
        <row r="17">
          <cell r="A17" t="str">
            <v>C13</v>
          </cell>
          <cell r="B17">
            <v>0</v>
          </cell>
          <cell r="C17">
            <v>0</v>
          </cell>
          <cell r="D17">
            <v>0.65249999999999997</v>
          </cell>
          <cell r="E17">
            <v>4.3</v>
          </cell>
        </row>
        <row r="18">
          <cell r="A18" t="str">
            <v>C14</v>
          </cell>
          <cell r="B18">
            <v>0</v>
          </cell>
          <cell r="C18">
            <v>0</v>
          </cell>
          <cell r="D18">
            <v>1.37</v>
          </cell>
          <cell r="E18">
            <v>8.1999999999999993</v>
          </cell>
        </row>
        <row r="19">
          <cell r="A19" t="str">
            <v>C15</v>
          </cell>
          <cell r="B19">
            <v>0.55000000000000004</v>
          </cell>
          <cell r="C19">
            <v>0.9</v>
          </cell>
          <cell r="D19">
            <v>0.49500000000000005</v>
          </cell>
          <cell r="E19">
            <v>2.9000000000000004</v>
          </cell>
        </row>
        <row r="20">
          <cell r="A20" t="str">
            <v>C16</v>
          </cell>
          <cell r="B20">
            <v>0.55000000000000004</v>
          </cell>
          <cell r="C20">
            <v>0.55000000000000004</v>
          </cell>
          <cell r="D20">
            <v>0.30250000000000005</v>
          </cell>
          <cell r="E20">
            <v>2.2000000000000002</v>
          </cell>
        </row>
        <row r="21">
          <cell r="A21" t="str">
            <v>C17</v>
          </cell>
          <cell r="B21">
            <v>0.25</v>
          </cell>
          <cell r="C21">
            <v>0.55000000000000004</v>
          </cell>
          <cell r="D21">
            <v>0.13750000000000001</v>
          </cell>
          <cell r="E21">
            <v>1.6</v>
          </cell>
        </row>
        <row r="22">
          <cell r="A22" t="str">
            <v>C18</v>
          </cell>
          <cell r="B22">
            <v>0.25</v>
          </cell>
          <cell r="C22">
            <v>0.25</v>
          </cell>
          <cell r="D22">
            <v>6.25E-2</v>
          </cell>
          <cell r="E22">
            <v>1</v>
          </cell>
        </row>
        <row r="23">
          <cell r="A23" t="str">
            <v>C19</v>
          </cell>
          <cell r="B23">
            <v>0.4</v>
          </cell>
          <cell r="C23">
            <v>0.4</v>
          </cell>
          <cell r="D23">
            <v>0.16000000000000003</v>
          </cell>
          <cell r="E23">
            <v>1.6</v>
          </cell>
        </row>
        <row r="24">
          <cell r="A24" t="str">
            <v>W1</v>
          </cell>
          <cell r="B24">
            <v>10.9</v>
          </cell>
          <cell r="C24">
            <v>0.2</v>
          </cell>
          <cell r="D24">
            <v>2.1800000000000002</v>
          </cell>
          <cell r="E24">
            <v>22.2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ors staff 7D"/>
      <sheetName val="Establishment of contractr"/>
      <sheetName val="Mobilization ,de mob"/>
      <sheetName val="Health and safety measures duri"/>
      <sheetName val="EHSH -1.6 7C"/>
      <sheetName val="Settingout &amp; cs. 7C"/>
    </sheetNames>
    <sheetDataSet>
      <sheetData sheetId="0"/>
      <sheetData sheetId="1"/>
      <sheetData sheetId="2"/>
      <sheetData sheetId="3"/>
      <sheetData sheetId="4">
        <row r="40">
          <cell r="F40">
            <v>1070000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G. Sum"/>
    </sheetNames>
    <sheetDataSet>
      <sheetData sheetId="0"/>
      <sheetData sheetId="1">
        <row r="14">
          <cell r="C14">
            <v>2269584629.0524998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l No. 4"/>
      <sheetName val="Bill 4.1"/>
      <sheetName val="Bill 4.2"/>
      <sheetName val="Bill 4.3"/>
      <sheetName val="Bill 4.4"/>
      <sheetName val="QTY"/>
      <sheetName val="Drains"/>
      <sheetName val="Cantilever Walls"/>
    </sheetNames>
    <sheetDataSet>
      <sheetData sheetId="0"/>
      <sheetData sheetId="1">
        <row r="1">
          <cell r="D1" t="str">
            <v xml:space="preserve"> REDUCTION OF LANDSLIDE VULNERABILITY BY MITIGATION MEASURES AT RUBBER RESEARCH INSTITUTE DARTONFIELD ESTATE - AGALAWATTA</v>
          </cell>
        </row>
      </sheetData>
      <sheetData sheetId="2">
        <row r="1">
          <cell r="D1" t="str">
            <v xml:space="preserve"> REDUCTION OF LANDSLIDE VULNERABILITY BY MITIGATION MEASURES AT RUBBER RESEARCH INSTITUTE DARTONFIELD ESTATE - AGALAWATTA</v>
          </cell>
        </row>
      </sheetData>
      <sheetData sheetId="3">
        <row r="1">
          <cell r="D1" t="str">
            <v xml:space="preserve"> REDUCTION OF LANDSLIDE VULNERABILITY BY MITIGATION MEASURES AT RUBBER RESEARCH INSTITUTE DARTONFIELD ESTATE - AGALAWATTA</v>
          </cell>
        </row>
      </sheetData>
      <sheetData sheetId="4"/>
      <sheetData sheetId="5">
        <row r="77">
          <cell r="J77">
            <v>383.00833333333333</v>
          </cell>
        </row>
        <row r="89">
          <cell r="J89">
            <v>116.15833333333332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0DD35-644C-4676-B9FD-44315B52B87F}">
  <sheetPr>
    <tabColor rgb="FFFF0066"/>
    <pageSetUpPr fitToPage="1"/>
  </sheetPr>
  <dimension ref="A1:AA72"/>
  <sheetViews>
    <sheetView showGridLines="0" view="pageBreakPreview" topLeftCell="C33" zoomScaleNormal="100" zoomScaleSheetLayoutView="100" workbookViewId="0">
      <selection activeCell="I3" sqref="I1:M1048576"/>
    </sheetView>
  </sheetViews>
  <sheetFormatPr defaultColWidth="9.109375" defaultRowHeight="13.2"/>
  <cols>
    <col min="1" max="1" width="2.6640625" style="22" hidden="1" customWidth="1"/>
    <col min="2" max="2" width="1.6640625" style="22" hidden="1" customWidth="1"/>
    <col min="3" max="3" width="6.6640625" style="21" customWidth="1"/>
    <col min="4" max="4" width="40.6640625" style="22" customWidth="1"/>
    <col min="5" max="5" width="6.6640625" style="21" customWidth="1"/>
    <col min="6" max="6" width="8.6640625" style="23" customWidth="1"/>
    <col min="7" max="7" width="32.77734375" style="24" customWidth="1"/>
    <col min="8" max="8" width="21.44140625" style="24" customWidth="1"/>
    <col min="9" max="10" width="19.109375" style="24" hidden="1" customWidth="1"/>
    <col min="11" max="11" width="20.109375" style="22" hidden="1" customWidth="1"/>
    <col min="12" max="12" width="1.6640625" style="22" hidden="1" customWidth="1"/>
    <col min="13" max="13" width="21.6640625" style="22" hidden="1" customWidth="1"/>
    <col min="14" max="14" width="14.33203125" style="25" bestFit="1" customWidth="1"/>
    <col min="15" max="16" width="1.6640625" style="22" customWidth="1"/>
    <col min="17" max="17" width="19.33203125" style="22" customWidth="1"/>
    <col min="18" max="18" width="7.5546875" style="22" customWidth="1"/>
    <col min="19" max="19" width="14.109375" style="22" customWidth="1"/>
    <col min="20" max="23" width="1.6640625" style="22" customWidth="1"/>
    <col min="24" max="24" width="14.33203125" style="22" bestFit="1" customWidth="1"/>
    <col min="25" max="25" width="14.33203125" style="26" bestFit="1" customWidth="1"/>
    <col min="26" max="26" width="11.6640625" style="22" bestFit="1" customWidth="1"/>
    <col min="27" max="27" width="9.88671875" style="22" bestFit="1" customWidth="1"/>
    <col min="28" max="16384" width="9.109375" style="22"/>
  </cols>
  <sheetData>
    <row r="1" spans="2:25" ht="5.25" hidden="1" customHeight="1">
      <c r="C1" s="317"/>
      <c r="D1" s="318"/>
      <c r="E1" s="319"/>
      <c r="F1" s="320"/>
      <c r="G1" s="321"/>
      <c r="H1" s="322"/>
      <c r="I1" s="323"/>
      <c r="J1" s="323"/>
    </row>
    <row r="2" spans="2:25" s="324" customFormat="1" ht="30" customHeight="1">
      <c r="C2" s="700" t="s">
        <v>590</v>
      </c>
      <c r="D2" s="701"/>
      <c r="E2" s="701"/>
      <c r="F2" s="701"/>
      <c r="G2" s="701"/>
      <c r="H2" s="702"/>
      <c r="I2" s="325"/>
      <c r="J2" s="325"/>
      <c r="N2" s="326"/>
      <c r="Y2" s="327"/>
    </row>
    <row r="3" spans="2:25" s="324" customFormat="1" ht="17.25" customHeight="1">
      <c r="C3" s="709" t="s">
        <v>930</v>
      </c>
      <c r="D3" s="710"/>
      <c r="E3" s="710"/>
      <c r="F3" s="710"/>
      <c r="G3" s="710"/>
      <c r="H3" s="711"/>
      <c r="I3" s="325"/>
      <c r="J3" s="325"/>
      <c r="N3" s="326"/>
      <c r="Y3" s="327"/>
    </row>
    <row r="4" spans="2:25" s="324" customFormat="1" ht="17.25" customHeight="1">
      <c r="C4" s="709" t="s">
        <v>931</v>
      </c>
      <c r="D4" s="710"/>
      <c r="E4" s="710"/>
      <c r="F4" s="710"/>
      <c r="G4" s="710"/>
      <c r="H4" s="711"/>
      <c r="I4" s="325"/>
      <c r="J4" s="325"/>
      <c r="N4" s="326"/>
      <c r="Y4" s="327"/>
    </row>
    <row r="5" spans="2:25" s="324" customFormat="1" ht="4.2" customHeight="1">
      <c r="C5" s="599"/>
      <c r="D5" s="600"/>
      <c r="E5" s="600"/>
      <c r="F5" s="600"/>
      <c r="G5" s="600"/>
      <c r="H5" s="601"/>
      <c r="I5" s="325"/>
      <c r="J5" s="325"/>
      <c r="N5" s="326"/>
      <c r="Y5" s="327"/>
    </row>
    <row r="6" spans="2:25" s="324" customFormat="1" ht="35.4" customHeight="1" thickBot="1">
      <c r="C6" s="712" t="s">
        <v>932</v>
      </c>
      <c r="D6" s="713"/>
      <c r="E6" s="713"/>
      <c r="F6" s="713"/>
      <c r="G6" s="713"/>
      <c r="H6" s="714"/>
      <c r="I6" s="325"/>
      <c r="J6" s="325"/>
      <c r="N6" s="326"/>
      <c r="Y6" s="327"/>
    </row>
    <row r="7" spans="2:25" ht="23.4" customHeight="1">
      <c r="C7" s="703" t="s">
        <v>938</v>
      </c>
      <c r="D7" s="704"/>
      <c r="E7" s="704"/>
      <c r="F7" s="704"/>
      <c r="G7" s="704"/>
      <c r="H7" s="705"/>
      <c r="I7" s="328"/>
      <c r="J7" s="328"/>
    </row>
    <row r="8" spans="2:25" ht="5.4" hidden="1" customHeight="1">
      <c r="C8" s="582"/>
      <c r="D8" s="580"/>
      <c r="E8" s="580"/>
      <c r="F8" s="580"/>
      <c r="G8" s="581"/>
      <c r="H8" s="583"/>
      <c r="I8" s="331"/>
      <c r="J8" s="331"/>
    </row>
    <row r="9" spans="2:25" ht="23.4" customHeight="1">
      <c r="B9" s="332" t="s">
        <v>591</v>
      </c>
      <c r="C9" s="706" t="s">
        <v>592</v>
      </c>
      <c r="D9" s="707"/>
      <c r="E9" s="707"/>
      <c r="F9" s="707"/>
      <c r="G9" s="707"/>
      <c r="H9" s="708"/>
      <c r="I9" s="333"/>
      <c r="J9" s="334" t="e">
        <f>H11/H22</f>
        <v>#DIV/0!</v>
      </c>
      <c r="M9" s="26" t="e">
        <f>H11/H22</f>
        <v>#DIV/0!</v>
      </c>
    </row>
    <row r="10" spans="2:25" ht="23.25" customHeight="1">
      <c r="B10" s="332" t="s">
        <v>591</v>
      </c>
      <c r="C10" s="584"/>
      <c r="D10" s="335" t="s">
        <v>8</v>
      </c>
      <c r="E10" s="329"/>
      <c r="F10" s="336"/>
      <c r="G10" s="330"/>
      <c r="H10" s="585" t="s">
        <v>9</v>
      </c>
      <c r="I10" s="331"/>
      <c r="J10" s="331"/>
    </row>
    <row r="11" spans="2:25" s="11" customFormat="1" ht="38.4" customHeight="1">
      <c r="C11" s="586">
        <v>1</v>
      </c>
      <c r="D11" s="686" t="s">
        <v>593</v>
      </c>
      <c r="E11" s="687"/>
      <c r="F11" s="687"/>
      <c r="G11" s="688"/>
      <c r="H11" s="587"/>
      <c r="I11" s="338"/>
      <c r="J11" s="338"/>
      <c r="K11" s="12"/>
      <c r="M11" s="14"/>
      <c r="N11" s="12"/>
      <c r="Q11" s="13"/>
      <c r="Y11" s="17"/>
    </row>
    <row r="12" spans="2:25" s="11" customFormat="1" ht="38.4" customHeight="1">
      <c r="C12" s="586">
        <v>2</v>
      </c>
      <c r="D12" s="686" t="s">
        <v>1164</v>
      </c>
      <c r="E12" s="687"/>
      <c r="F12" s="687"/>
      <c r="G12" s="688"/>
      <c r="H12" s="587"/>
      <c r="I12" s="338"/>
      <c r="J12" s="338"/>
      <c r="K12" s="12"/>
      <c r="M12" s="14"/>
      <c r="N12" s="12"/>
      <c r="Q12" s="12"/>
      <c r="S12" s="14"/>
      <c r="Y12" s="339"/>
    </row>
    <row r="13" spans="2:25" s="11" customFormat="1" ht="38.4" customHeight="1">
      <c r="C13" s="586">
        <v>3</v>
      </c>
      <c r="D13" s="686" t="s">
        <v>1165</v>
      </c>
      <c r="E13" s="687"/>
      <c r="F13" s="687"/>
      <c r="G13" s="688"/>
      <c r="H13" s="587"/>
      <c r="I13" s="340"/>
      <c r="J13" s="340"/>
      <c r="K13" s="12"/>
      <c r="M13" s="14"/>
      <c r="N13" s="12"/>
      <c r="Q13" s="12"/>
      <c r="S13" s="14"/>
      <c r="Y13" s="13"/>
    </row>
    <row r="14" spans="2:25" s="11" customFormat="1" ht="38.4" customHeight="1">
      <c r="C14" s="586">
        <v>4</v>
      </c>
      <c r="D14" s="692" t="s">
        <v>1166</v>
      </c>
      <c r="E14" s="686"/>
      <c r="F14" s="686"/>
      <c r="G14" s="693"/>
      <c r="H14" s="587"/>
      <c r="I14" s="340"/>
      <c r="J14" s="341"/>
      <c r="K14" s="12"/>
      <c r="M14" s="14"/>
      <c r="N14" s="12"/>
      <c r="Q14" s="12"/>
      <c r="S14" s="14"/>
      <c r="Y14" s="13"/>
    </row>
    <row r="15" spans="2:25" s="11" customFormat="1" ht="38.4" customHeight="1">
      <c r="C15" s="586">
        <v>5</v>
      </c>
      <c r="D15" s="692" t="s">
        <v>1158</v>
      </c>
      <c r="E15" s="686"/>
      <c r="F15" s="686"/>
      <c r="G15" s="693"/>
      <c r="H15" s="587"/>
      <c r="I15" s="340"/>
      <c r="J15" s="341"/>
      <c r="K15" s="12"/>
      <c r="M15" s="14"/>
      <c r="N15" s="12"/>
      <c r="Q15" s="12"/>
      <c r="S15" s="14"/>
      <c r="Y15" s="13"/>
    </row>
    <row r="16" spans="2:25" s="11" customFormat="1" ht="38.4" customHeight="1">
      <c r="C16" s="586">
        <v>6</v>
      </c>
      <c r="D16" s="694" t="s">
        <v>1159</v>
      </c>
      <c r="E16" s="695"/>
      <c r="F16" s="695"/>
      <c r="G16" s="696"/>
      <c r="H16" s="587"/>
      <c r="I16" s="340"/>
      <c r="J16" s="341"/>
      <c r="K16" s="12"/>
      <c r="M16" s="14"/>
      <c r="N16" s="12"/>
      <c r="Q16" s="12"/>
      <c r="S16" s="14"/>
      <c r="Y16" s="13"/>
    </row>
    <row r="17" spans="3:27" s="11" customFormat="1" ht="38.4" customHeight="1">
      <c r="C17" s="586">
        <v>7</v>
      </c>
      <c r="D17" s="593" t="str">
        <f>'Bill No.7 Dayworks'!$A$1</f>
        <v>BILL NO. 07- DAYWORKS</v>
      </c>
      <c r="E17" s="593"/>
      <c r="F17" s="593"/>
      <c r="G17" s="594"/>
      <c r="H17" s="587"/>
      <c r="I17" s="338"/>
      <c r="J17" s="338"/>
      <c r="K17" s="12"/>
      <c r="M17" s="14"/>
      <c r="N17" s="12"/>
      <c r="Q17" s="12"/>
      <c r="S17" s="14"/>
      <c r="X17" s="14"/>
      <c r="Y17" s="339"/>
    </row>
    <row r="18" spans="3:27" s="11" customFormat="1" ht="38.4" customHeight="1">
      <c r="C18" s="586">
        <v>8</v>
      </c>
      <c r="D18" s="593" t="s">
        <v>1161</v>
      </c>
      <c r="E18" s="593"/>
      <c r="F18" s="593"/>
      <c r="G18" s="594" t="s">
        <v>160</v>
      </c>
      <c r="H18" s="588"/>
      <c r="I18" s="338"/>
      <c r="J18" s="338"/>
      <c r="K18" s="12"/>
      <c r="M18" s="14"/>
      <c r="N18" s="12"/>
      <c r="X18" s="14"/>
      <c r="Y18" s="343"/>
      <c r="Z18" s="344"/>
    </row>
    <row r="19" spans="3:27" s="11" customFormat="1" ht="38.4" customHeight="1">
      <c r="C19" s="586">
        <v>9</v>
      </c>
      <c r="D19" s="342" t="s">
        <v>594</v>
      </c>
      <c r="E19" s="342"/>
      <c r="F19" s="342"/>
      <c r="G19" s="345">
        <v>0.1</v>
      </c>
      <c r="H19" s="588"/>
      <c r="I19" s="338"/>
      <c r="J19" s="338"/>
      <c r="K19" s="12"/>
      <c r="M19" s="14"/>
      <c r="N19" s="13"/>
      <c r="X19" s="14"/>
      <c r="Y19" s="13"/>
    </row>
    <row r="20" spans="3:27" s="11" customFormat="1" ht="38.4" customHeight="1">
      <c r="C20" s="586">
        <v>10</v>
      </c>
      <c r="D20" s="342" t="s">
        <v>595</v>
      </c>
      <c r="E20" s="346"/>
      <c r="F20" s="346"/>
      <c r="G20" s="345">
        <v>0.1</v>
      </c>
      <c r="H20" s="588"/>
      <c r="I20" s="338"/>
      <c r="J20" s="338"/>
      <c r="K20" s="12"/>
      <c r="M20" s="14"/>
      <c r="N20" s="13"/>
      <c r="X20" s="14"/>
      <c r="Y20" s="13"/>
    </row>
    <row r="21" spans="3:27" s="11" customFormat="1" ht="34.799999999999997" customHeight="1">
      <c r="C21" s="586">
        <v>11</v>
      </c>
      <c r="D21" s="347" t="s">
        <v>596</v>
      </c>
      <c r="E21" s="348"/>
      <c r="F21" s="348"/>
      <c r="G21" s="349"/>
      <c r="H21" s="589">
        <f>'Bill No 1'!G10+'Bill No 1'!G14+'Bill No 1'!G17+'Bill No 1'!G24+'Bill No 1'!G32+'Bill No 1'!G35+'Bill No 1'!G40+'Bill No 1'!G44+'Bill No 1'!G47</f>
        <v>10990000</v>
      </c>
      <c r="I21" s="338"/>
      <c r="J21" s="338"/>
      <c r="K21" s="12"/>
      <c r="M21" s="14"/>
      <c r="N21" s="12"/>
      <c r="Y21" s="12"/>
      <c r="Z21" s="344"/>
    </row>
    <row r="22" spans="3:27" s="11" customFormat="1" ht="34.799999999999997" customHeight="1">
      <c r="C22" s="586">
        <v>12</v>
      </c>
      <c r="D22" s="697" t="s">
        <v>1162</v>
      </c>
      <c r="E22" s="698"/>
      <c r="F22" s="698"/>
      <c r="G22" s="699" t="s">
        <v>597</v>
      </c>
      <c r="H22" s="590"/>
      <c r="I22" s="351"/>
      <c r="J22" s="351"/>
      <c r="K22" s="12"/>
      <c r="M22" s="12"/>
      <c r="N22" s="12"/>
      <c r="X22" s="14"/>
      <c r="Y22" s="12"/>
      <c r="Z22" s="352"/>
      <c r="AA22" s="352"/>
    </row>
    <row r="23" spans="3:27" s="11" customFormat="1" ht="34.799999999999997" customHeight="1">
      <c r="C23" s="586">
        <v>13</v>
      </c>
      <c r="D23" s="682" t="s">
        <v>1172</v>
      </c>
      <c r="E23" s="683"/>
      <c r="F23" s="683"/>
      <c r="G23" s="684"/>
      <c r="H23" s="590"/>
      <c r="I23" s="351"/>
      <c r="J23" s="351"/>
      <c r="K23" s="12"/>
      <c r="M23" s="12"/>
      <c r="N23" s="12"/>
      <c r="X23" s="14"/>
      <c r="Y23" s="12"/>
      <c r="Z23" s="352"/>
      <c r="AA23" s="352"/>
    </row>
    <row r="24" spans="3:27" s="11" customFormat="1" ht="34.799999999999997" customHeight="1">
      <c r="C24" s="586">
        <v>14</v>
      </c>
      <c r="D24" s="682" t="s">
        <v>1173</v>
      </c>
      <c r="E24" s="683"/>
      <c r="F24" s="683"/>
      <c r="G24" s="684"/>
      <c r="H24" s="590"/>
      <c r="I24" s="351"/>
      <c r="J24" s="351"/>
      <c r="K24" s="12"/>
      <c r="M24" s="12"/>
      <c r="N24" s="12"/>
      <c r="X24" s="14"/>
      <c r="Y24" s="12"/>
      <c r="Z24" s="352"/>
      <c r="AA24" s="352"/>
    </row>
    <row r="25" spans="3:27" s="11" customFormat="1" ht="34.799999999999997" customHeight="1">
      <c r="C25" s="586">
        <v>15</v>
      </c>
      <c r="D25" s="353" t="s">
        <v>598</v>
      </c>
      <c r="E25" s="354"/>
      <c r="F25" s="354"/>
      <c r="G25" s="355" t="s">
        <v>597</v>
      </c>
      <c r="H25" s="591"/>
      <c r="I25" s="338"/>
      <c r="J25" s="338"/>
      <c r="K25" s="14"/>
      <c r="N25" s="12"/>
      <c r="X25" s="14"/>
      <c r="Y25" s="12"/>
    </row>
    <row r="26" spans="3:27" s="11" customFormat="1" ht="34.799999999999997" customHeight="1" thickBot="1">
      <c r="C26" s="586">
        <v>16</v>
      </c>
      <c r="D26" s="689" t="s">
        <v>1163</v>
      </c>
      <c r="E26" s="690"/>
      <c r="F26" s="690"/>
      <c r="G26" s="690" t="s">
        <v>597</v>
      </c>
      <c r="H26" s="592"/>
      <c r="I26" s="351"/>
      <c r="J26" s="351"/>
      <c r="N26" s="12"/>
      <c r="X26" s="14"/>
      <c r="Y26" s="13"/>
    </row>
    <row r="27" spans="3:27" s="11" customFormat="1" ht="19.5" customHeight="1">
      <c r="C27" s="691"/>
      <c r="D27" s="691"/>
      <c r="E27" s="691"/>
      <c r="F27" s="691"/>
      <c r="G27" s="691"/>
      <c r="H27" s="691"/>
      <c r="I27" s="356"/>
      <c r="J27" s="356"/>
      <c r="K27" s="17"/>
      <c r="N27" s="12"/>
      <c r="Y27" s="13"/>
    </row>
    <row r="28" spans="3:27" s="11" customFormat="1" ht="19.5" customHeight="1">
      <c r="C28" s="356"/>
      <c r="D28" s="356"/>
      <c r="E28" s="356"/>
      <c r="F28" s="356"/>
      <c r="G28" s="356"/>
      <c r="H28" s="357"/>
      <c r="I28" s="357"/>
      <c r="J28" s="357"/>
      <c r="N28" s="12"/>
      <c r="Y28" s="13"/>
    </row>
    <row r="29" spans="3:27" s="11" customFormat="1" ht="19.5" customHeight="1">
      <c r="C29" s="356"/>
      <c r="D29" s="356"/>
      <c r="E29" s="356"/>
      <c r="F29" s="356"/>
      <c r="G29" s="356"/>
      <c r="H29" s="358"/>
      <c r="I29" s="358"/>
      <c r="J29" s="358"/>
      <c r="K29" s="14"/>
      <c r="N29" s="12"/>
      <c r="Y29" s="13"/>
    </row>
    <row r="30" spans="3:27" s="11" customFormat="1" ht="19.5" customHeight="1">
      <c r="C30" s="356"/>
      <c r="D30" s="356"/>
      <c r="E30" s="356"/>
      <c r="F30" s="356"/>
      <c r="G30" s="356"/>
      <c r="H30" s="357"/>
      <c r="I30" s="356"/>
      <c r="J30" s="356"/>
      <c r="M30" s="14"/>
      <c r="N30" s="12"/>
      <c r="Y30" s="13"/>
    </row>
    <row r="31" spans="3:27" s="11" customFormat="1" ht="19.5" customHeight="1">
      <c r="C31" s="356"/>
      <c r="D31" s="356"/>
      <c r="E31" s="356"/>
      <c r="F31" s="356"/>
      <c r="G31" s="356"/>
      <c r="H31" s="357"/>
      <c r="I31" s="357"/>
      <c r="J31" s="357"/>
      <c r="K31" s="12"/>
      <c r="N31" s="12"/>
      <c r="Q31" s="13"/>
      <c r="Y31" s="13"/>
    </row>
    <row r="32" spans="3:27" s="11" customFormat="1" ht="19.5" customHeight="1">
      <c r="C32" s="356"/>
      <c r="D32" s="356"/>
      <c r="E32" s="356"/>
      <c r="F32" s="356"/>
      <c r="G32" s="356"/>
      <c r="H32" s="356"/>
      <c r="I32" s="356"/>
      <c r="J32" s="356"/>
      <c r="K32" s="14"/>
      <c r="M32" s="14"/>
      <c r="N32" s="12"/>
      <c r="Y32" s="13"/>
    </row>
    <row r="33" spans="3:25" s="11" customFormat="1">
      <c r="C33" s="359"/>
      <c r="D33" s="359"/>
      <c r="E33" s="359"/>
      <c r="F33" s="359"/>
      <c r="G33" s="350"/>
      <c r="H33" s="359"/>
      <c r="I33" s="359"/>
      <c r="J33" s="359"/>
      <c r="N33" s="12"/>
      <c r="Y33" s="13"/>
    </row>
    <row r="34" spans="3:25" s="11" customFormat="1">
      <c r="C34" s="18"/>
      <c r="E34" s="18"/>
      <c r="F34" s="19"/>
      <c r="G34" s="20"/>
      <c r="H34" s="20"/>
      <c r="I34" s="20"/>
      <c r="J34" s="20"/>
      <c r="N34" s="12"/>
      <c r="Y34" s="13"/>
    </row>
    <row r="35" spans="3:25" s="11" customFormat="1">
      <c r="C35" s="18"/>
      <c r="E35" s="18"/>
      <c r="F35" s="19"/>
      <c r="G35" s="20"/>
      <c r="H35" s="20"/>
      <c r="I35" s="20"/>
      <c r="J35" s="20"/>
      <c r="K35" s="14"/>
      <c r="N35" s="13"/>
      <c r="Y35" s="13"/>
    </row>
    <row r="36" spans="3:25" s="11" customFormat="1">
      <c r="C36" s="18"/>
      <c r="E36" s="18"/>
      <c r="F36" s="19"/>
      <c r="G36" s="20"/>
      <c r="H36" s="20"/>
      <c r="I36" s="20"/>
      <c r="J36" s="20"/>
      <c r="N36" s="12"/>
      <c r="Y36" s="13"/>
    </row>
    <row r="37" spans="3:25" s="11" customFormat="1">
      <c r="C37" s="18"/>
      <c r="E37" s="18"/>
      <c r="F37" s="19"/>
      <c r="G37" s="20"/>
      <c r="H37" s="20"/>
      <c r="I37" s="20"/>
      <c r="J37" s="20"/>
      <c r="N37" s="12"/>
      <c r="Y37" s="13"/>
    </row>
    <row r="38" spans="3:25" s="11" customFormat="1">
      <c r="C38" s="18"/>
      <c r="E38" s="18"/>
      <c r="F38" s="19"/>
      <c r="G38" s="20"/>
      <c r="H38" s="20"/>
      <c r="I38" s="20"/>
      <c r="J38" s="20"/>
      <c r="N38" s="12"/>
      <c r="Y38" s="13"/>
    </row>
    <row r="39" spans="3:25" s="11" customFormat="1">
      <c r="C39" s="18"/>
      <c r="E39" s="18"/>
      <c r="F39" s="19"/>
      <c r="G39" s="360"/>
      <c r="H39" s="20"/>
      <c r="I39" s="20"/>
      <c r="J39" s="20"/>
      <c r="K39" s="352"/>
      <c r="N39" s="12"/>
      <c r="Y39" s="13"/>
    </row>
    <row r="40" spans="3:25" s="11" customFormat="1">
      <c r="C40" s="18"/>
      <c r="E40" s="18"/>
      <c r="F40" s="19"/>
      <c r="G40" s="360"/>
      <c r="H40" s="20"/>
      <c r="I40" s="20"/>
      <c r="J40" s="20"/>
      <c r="N40" s="12"/>
      <c r="Y40" s="13"/>
    </row>
    <row r="41" spans="3:25" s="11" customFormat="1">
      <c r="C41" s="18"/>
      <c r="E41" s="18"/>
      <c r="F41" s="19"/>
      <c r="G41" s="20"/>
      <c r="H41" s="20"/>
      <c r="I41" s="20"/>
      <c r="J41" s="20"/>
      <c r="N41" s="12"/>
      <c r="Y41" s="13"/>
    </row>
    <row r="42" spans="3:25" s="11" customFormat="1">
      <c r="C42" s="18"/>
      <c r="E42" s="18"/>
      <c r="F42" s="19"/>
      <c r="G42" s="20"/>
      <c r="H42" s="20"/>
      <c r="I42" s="20"/>
      <c r="J42" s="20"/>
      <c r="N42" s="12"/>
      <c r="Y42" s="13"/>
    </row>
    <row r="43" spans="3:25" s="11" customFormat="1">
      <c r="C43" s="18"/>
      <c r="E43" s="18"/>
      <c r="F43" s="19"/>
      <c r="G43" s="20"/>
      <c r="H43" s="20"/>
      <c r="I43" s="20"/>
      <c r="J43" s="20"/>
      <c r="N43" s="12"/>
      <c r="Y43" s="13"/>
    </row>
    <row r="44" spans="3:25" s="11" customFormat="1">
      <c r="C44" s="18"/>
      <c r="E44" s="18"/>
      <c r="F44" s="19"/>
      <c r="G44" s="20"/>
      <c r="H44" s="20"/>
      <c r="I44" s="20"/>
      <c r="J44" s="20"/>
      <c r="N44" s="12"/>
      <c r="Y44" s="13"/>
    </row>
    <row r="45" spans="3:25" s="11" customFormat="1">
      <c r="C45" s="18"/>
      <c r="E45" s="18"/>
      <c r="F45" s="19"/>
      <c r="G45" s="20"/>
      <c r="H45" s="20"/>
      <c r="I45" s="20"/>
      <c r="J45" s="20"/>
      <c r="N45" s="12"/>
      <c r="Y45" s="13"/>
    </row>
    <row r="46" spans="3:25" s="11" customFormat="1">
      <c r="C46" s="18"/>
      <c r="E46" s="18"/>
      <c r="F46" s="19"/>
      <c r="G46" s="20"/>
      <c r="H46" s="20"/>
      <c r="I46" s="20"/>
      <c r="J46" s="20"/>
      <c r="N46" s="12"/>
      <c r="Y46" s="13"/>
    </row>
    <row r="47" spans="3:25" s="11" customFormat="1">
      <c r="C47" s="18"/>
      <c r="E47" s="18"/>
      <c r="F47" s="19"/>
      <c r="G47" s="20"/>
      <c r="H47" s="20"/>
      <c r="I47" s="20"/>
      <c r="J47" s="20"/>
      <c r="N47" s="12"/>
      <c r="Y47" s="13"/>
    </row>
    <row r="48" spans="3:25" s="11" customFormat="1">
      <c r="C48" s="18"/>
      <c r="E48" s="18"/>
      <c r="F48" s="19"/>
      <c r="G48" s="20"/>
      <c r="H48" s="20"/>
      <c r="I48" s="20"/>
      <c r="J48" s="20"/>
      <c r="N48" s="12"/>
      <c r="Y48" s="13"/>
    </row>
    <row r="49" spans="3:25" s="11" customFormat="1">
      <c r="C49" s="18"/>
      <c r="E49" s="18"/>
      <c r="F49" s="19"/>
      <c r="G49" s="20"/>
      <c r="H49" s="20"/>
      <c r="I49" s="20"/>
      <c r="J49" s="20"/>
      <c r="N49" s="12"/>
      <c r="Y49" s="13"/>
    </row>
    <row r="50" spans="3:25" s="11" customFormat="1">
      <c r="C50" s="18"/>
      <c r="E50" s="18"/>
      <c r="F50" s="19"/>
      <c r="G50" s="20"/>
      <c r="H50" s="20"/>
      <c r="I50" s="20"/>
      <c r="J50" s="20"/>
      <c r="N50" s="12"/>
      <c r="Y50" s="13"/>
    </row>
    <row r="51" spans="3:25" s="11" customFormat="1">
      <c r="C51" s="18"/>
      <c r="E51" s="18"/>
      <c r="F51" s="19"/>
      <c r="G51" s="20"/>
      <c r="H51" s="20"/>
      <c r="I51" s="20"/>
      <c r="J51" s="20"/>
      <c r="N51" s="12"/>
      <c r="Y51" s="13"/>
    </row>
    <row r="52" spans="3:25" s="11" customFormat="1">
      <c r="C52" s="18"/>
      <c r="E52" s="18"/>
      <c r="F52" s="19"/>
      <c r="G52" s="20"/>
      <c r="H52" s="20"/>
      <c r="I52" s="20"/>
      <c r="J52" s="20"/>
      <c r="N52" s="12"/>
      <c r="Y52" s="13"/>
    </row>
    <row r="53" spans="3:25" s="11" customFormat="1">
      <c r="C53" s="18"/>
      <c r="E53" s="18"/>
      <c r="F53" s="19"/>
      <c r="G53" s="20"/>
      <c r="H53" s="20"/>
      <c r="I53" s="20"/>
      <c r="J53" s="20"/>
      <c r="N53" s="12"/>
      <c r="Y53" s="13"/>
    </row>
    <row r="54" spans="3:25" s="11" customFormat="1">
      <c r="C54" s="18"/>
      <c r="E54" s="18"/>
      <c r="F54" s="19"/>
      <c r="G54" s="20"/>
      <c r="H54" s="20"/>
      <c r="I54" s="20"/>
      <c r="J54" s="20"/>
      <c r="N54" s="12"/>
      <c r="Y54" s="13"/>
    </row>
    <row r="55" spans="3:25" s="11" customFormat="1">
      <c r="C55" s="18"/>
      <c r="E55" s="18"/>
      <c r="F55" s="19"/>
      <c r="G55" s="20"/>
      <c r="H55" s="20"/>
      <c r="I55" s="20"/>
      <c r="J55" s="20"/>
      <c r="N55" s="12"/>
      <c r="Y55" s="13"/>
    </row>
    <row r="56" spans="3:25" s="11" customFormat="1">
      <c r="C56" s="18"/>
      <c r="E56" s="18"/>
      <c r="F56" s="19"/>
      <c r="G56" s="20"/>
      <c r="H56" s="20"/>
      <c r="I56" s="20"/>
      <c r="J56" s="20"/>
      <c r="N56" s="12"/>
      <c r="Y56" s="13"/>
    </row>
    <row r="57" spans="3:25" s="11" customFormat="1">
      <c r="C57" s="18"/>
      <c r="E57" s="18"/>
      <c r="F57" s="19"/>
      <c r="G57" s="20"/>
      <c r="H57" s="20"/>
      <c r="I57" s="20"/>
      <c r="J57" s="20"/>
      <c r="N57" s="12"/>
      <c r="Y57" s="13"/>
    </row>
    <row r="58" spans="3:25" s="11" customFormat="1">
      <c r="C58" s="18"/>
      <c r="E58" s="18"/>
      <c r="F58" s="19"/>
      <c r="G58" s="20"/>
      <c r="H58" s="20"/>
      <c r="I58" s="20"/>
      <c r="J58" s="20"/>
      <c r="N58" s="12"/>
      <c r="Y58" s="13"/>
    </row>
    <row r="59" spans="3:25" s="11" customFormat="1">
      <c r="C59" s="18"/>
      <c r="E59" s="18"/>
      <c r="F59" s="19"/>
      <c r="G59" s="20"/>
      <c r="H59" s="20"/>
      <c r="I59" s="20"/>
      <c r="J59" s="20"/>
      <c r="N59" s="12"/>
      <c r="Y59" s="13"/>
    </row>
    <row r="60" spans="3:25" s="11" customFormat="1">
      <c r="C60" s="18"/>
      <c r="E60" s="18"/>
      <c r="F60" s="19"/>
      <c r="G60" s="20"/>
      <c r="H60" s="20"/>
      <c r="I60" s="20"/>
      <c r="J60" s="20"/>
      <c r="N60" s="12"/>
      <c r="Y60" s="13"/>
    </row>
    <row r="61" spans="3:25" s="11" customFormat="1">
      <c r="C61" s="18"/>
      <c r="E61" s="18"/>
      <c r="F61" s="19"/>
      <c r="G61" s="20"/>
      <c r="H61" s="20"/>
      <c r="I61" s="20"/>
      <c r="J61" s="20"/>
      <c r="N61" s="12"/>
      <c r="Y61" s="13"/>
    </row>
    <row r="62" spans="3:25" s="11" customFormat="1">
      <c r="C62" s="18"/>
      <c r="E62" s="18"/>
      <c r="F62" s="19"/>
      <c r="G62" s="20"/>
      <c r="H62" s="20"/>
      <c r="I62" s="20"/>
      <c r="J62" s="20"/>
      <c r="N62" s="12"/>
      <c r="Y62" s="13"/>
    </row>
    <row r="63" spans="3:25" s="11" customFormat="1">
      <c r="C63" s="18"/>
      <c r="E63" s="18"/>
      <c r="F63" s="19"/>
      <c r="G63" s="20"/>
      <c r="H63" s="20"/>
      <c r="I63" s="20"/>
      <c r="J63" s="20"/>
      <c r="N63" s="12"/>
      <c r="Y63" s="13"/>
    </row>
    <row r="64" spans="3:25" s="11" customFormat="1">
      <c r="C64" s="18"/>
      <c r="E64" s="18"/>
      <c r="F64" s="19"/>
      <c r="G64" s="20"/>
      <c r="H64" s="20"/>
      <c r="I64" s="20"/>
      <c r="J64" s="20"/>
      <c r="N64" s="12"/>
      <c r="Y64" s="13"/>
    </row>
    <row r="65" spans="3:25" s="11" customFormat="1">
      <c r="C65" s="18"/>
      <c r="E65" s="18"/>
      <c r="F65" s="19"/>
      <c r="G65" s="20"/>
      <c r="H65" s="20"/>
      <c r="I65" s="20"/>
      <c r="J65" s="20"/>
      <c r="N65" s="12"/>
      <c r="Y65" s="13"/>
    </row>
    <row r="66" spans="3:25" s="11" customFormat="1">
      <c r="C66" s="18"/>
      <c r="E66" s="18"/>
      <c r="F66" s="19"/>
      <c r="G66" s="20"/>
      <c r="H66" s="20"/>
      <c r="I66" s="20"/>
      <c r="J66" s="20"/>
      <c r="N66" s="12"/>
      <c r="Y66" s="13"/>
    </row>
    <row r="67" spans="3:25" s="11" customFormat="1">
      <c r="C67" s="18"/>
      <c r="E67" s="18"/>
      <c r="F67" s="19"/>
      <c r="G67" s="20"/>
      <c r="H67" s="20"/>
      <c r="I67" s="20"/>
      <c r="J67" s="20"/>
      <c r="N67" s="12"/>
      <c r="Y67" s="13"/>
    </row>
    <row r="68" spans="3:25" s="11" customFormat="1">
      <c r="C68" s="18"/>
      <c r="E68" s="18"/>
      <c r="F68" s="19"/>
      <c r="G68" s="20"/>
      <c r="H68" s="20"/>
      <c r="I68" s="20"/>
      <c r="J68" s="20"/>
      <c r="N68" s="12"/>
      <c r="Y68" s="13"/>
    </row>
    <row r="69" spans="3:25" s="11" customFormat="1">
      <c r="C69" s="18"/>
      <c r="E69" s="18"/>
      <c r="F69" s="19"/>
      <c r="G69" s="20"/>
      <c r="H69" s="20"/>
      <c r="I69" s="20"/>
      <c r="J69" s="20"/>
      <c r="N69" s="12"/>
      <c r="Y69" s="13"/>
    </row>
    <row r="70" spans="3:25" s="11" customFormat="1">
      <c r="C70" s="18"/>
      <c r="E70" s="18"/>
      <c r="F70" s="19"/>
      <c r="G70" s="20"/>
      <c r="H70" s="20"/>
      <c r="I70" s="20"/>
      <c r="J70" s="20"/>
      <c r="N70" s="12"/>
      <c r="Y70" s="13"/>
    </row>
    <row r="71" spans="3:25" s="11" customFormat="1">
      <c r="C71" s="18"/>
      <c r="E71" s="18"/>
      <c r="F71" s="19"/>
      <c r="G71" s="20"/>
      <c r="H71" s="20"/>
      <c r="I71" s="20"/>
      <c r="J71" s="20"/>
      <c r="N71" s="12"/>
      <c r="Y71" s="13"/>
    </row>
    <row r="72" spans="3:25" s="11" customFormat="1">
      <c r="C72" s="18"/>
      <c r="E72" s="18"/>
      <c r="F72" s="19"/>
      <c r="G72" s="20"/>
      <c r="H72" s="20"/>
      <c r="I72" s="20"/>
      <c r="J72" s="20"/>
      <c r="N72" s="12"/>
      <c r="Y72" s="13"/>
    </row>
  </sheetData>
  <mergeCells count="15">
    <mergeCell ref="C2:H2"/>
    <mergeCell ref="C7:H7"/>
    <mergeCell ref="C9:H9"/>
    <mergeCell ref="D11:G11"/>
    <mergeCell ref="C3:H3"/>
    <mergeCell ref="C4:H4"/>
    <mergeCell ref="C6:H6"/>
    <mergeCell ref="D12:G12"/>
    <mergeCell ref="D26:G26"/>
    <mergeCell ref="C27:H27"/>
    <mergeCell ref="D13:G13"/>
    <mergeCell ref="D14:G14"/>
    <mergeCell ref="D15:G15"/>
    <mergeCell ref="D16:G16"/>
    <mergeCell ref="D22:G22"/>
  </mergeCells>
  <printOptions horizontalCentered="1"/>
  <pageMargins left="0.75" right="0.4" top="0.75" bottom="0.5" header="0" footer="0"/>
  <pageSetup paperSize="9" scale="77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53D69-9D5B-41D8-BA28-C260D799926F}">
  <sheetPr>
    <tabColor rgb="FFFF9933"/>
    <pageSetUpPr fitToPage="1"/>
  </sheetPr>
  <dimension ref="A1:I29"/>
  <sheetViews>
    <sheetView view="pageBreakPreview" zoomScale="85" zoomScaleNormal="110" zoomScaleSheetLayoutView="85" workbookViewId="0">
      <pane ySplit="2" topLeftCell="A33" activePane="bottomLeft" state="frozen"/>
      <selection activeCell="F32" sqref="F32"/>
      <selection pane="bottomLeft" activeCell="H1" sqref="H1:K1048576"/>
    </sheetView>
  </sheetViews>
  <sheetFormatPr defaultColWidth="9.109375" defaultRowHeight="13.2"/>
  <cols>
    <col min="1" max="1" width="7.6640625" style="31" customWidth="1"/>
    <col min="2" max="2" width="9.6640625" style="31" customWidth="1"/>
    <col min="3" max="3" width="54" style="31" customWidth="1"/>
    <col min="4" max="4" width="7.6640625" style="31" customWidth="1"/>
    <col min="5" max="5" width="8.6640625" style="567" customWidth="1"/>
    <col min="6" max="6" width="10.6640625" style="31" customWidth="1"/>
    <col min="7" max="7" width="17.6640625" style="31" customWidth="1"/>
    <col min="8" max="8" width="11.44140625" style="59" hidden="1" customWidth="1"/>
    <col min="9" max="11" width="0" style="31" hidden="1" customWidth="1"/>
    <col min="12" max="16384" width="9.109375" style="31"/>
  </cols>
  <sheetData>
    <row r="1" spans="1:8" s="27" customFormat="1" ht="74.400000000000006" customHeight="1" thickBot="1">
      <c r="A1" s="778" t="s">
        <v>292</v>
      </c>
      <c r="B1" s="779"/>
      <c r="C1" s="779"/>
      <c r="D1" s="780" t="str">
        <f>+'Bill 2.1'!D1:G1</f>
        <v xml:space="preserve">BILL NO. 02 -
 REDUCTION OF LANDSLIDE VULNERABILITY  BY MITIGATION MEASURES
BETWEEN 18/3 ~ 18/4 CULVERT ON PELAWATTA NELUWA ROAD (B363)(SITE NO. 80)
</v>
      </c>
      <c r="E1" s="780"/>
      <c r="F1" s="780"/>
      <c r="G1" s="781"/>
    </row>
    <row r="2" spans="1:8" ht="30.6" customHeight="1">
      <c r="A2" s="620" t="s">
        <v>13</v>
      </c>
      <c r="B2" s="28" t="s">
        <v>14</v>
      </c>
      <c r="C2" s="29" t="s">
        <v>8</v>
      </c>
      <c r="D2" s="28" t="s">
        <v>15</v>
      </c>
      <c r="E2" s="565" t="s">
        <v>16</v>
      </c>
      <c r="F2" s="30" t="s">
        <v>17</v>
      </c>
      <c r="G2" s="621" t="s">
        <v>18</v>
      </c>
    </row>
    <row r="3" spans="1:8" ht="24" customHeight="1">
      <c r="A3" s="633" t="s">
        <v>293</v>
      </c>
      <c r="B3" s="60"/>
      <c r="C3" s="42" t="s">
        <v>53</v>
      </c>
      <c r="D3" s="61"/>
      <c r="E3" s="235"/>
      <c r="F3" s="61"/>
      <c r="G3" s="634"/>
    </row>
    <row r="4" spans="1:8" ht="29.4" customHeight="1">
      <c r="A4" s="624" t="s">
        <v>294</v>
      </c>
      <c r="B4" s="62" t="s">
        <v>55</v>
      </c>
      <c r="C4" s="45" t="s">
        <v>56</v>
      </c>
      <c r="D4" s="33" t="s">
        <v>36</v>
      </c>
      <c r="E4" s="234">
        <v>2</v>
      </c>
      <c r="F4" s="35"/>
      <c r="G4" s="629"/>
      <c r="H4" s="59">
        <f>Drains80!I109</f>
        <v>1.9337500000000003</v>
      </c>
    </row>
    <row r="5" spans="1:8" ht="29.4" customHeight="1">
      <c r="A5" s="624" t="s">
        <v>295</v>
      </c>
      <c r="B5" s="62" t="s">
        <v>58</v>
      </c>
      <c r="C5" s="45" t="s">
        <v>59</v>
      </c>
      <c r="D5" s="33" t="s">
        <v>36</v>
      </c>
      <c r="E5" s="234">
        <v>10</v>
      </c>
      <c r="F5" s="35"/>
      <c r="G5" s="629"/>
      <c r="H5" s="59">
        <f>Drains80!J109+Drains80!J110</f>
        <v>9.2646875000000026</v>
      </c>
    </row>
    <row r="6" spans="1:8" ht="29.4" customHeight="1">
      <c r="A6" s="624" t="s">
        <v>296</v>
      </c>
      <c r="B6" s="62" t="s">
        <v>61</v>
      </c>
      <c r="C6" s="45" t="s">
        <v>62</v>
      </c>
      <c r="D6" s="33" t="s">
        <v>63</v>
      </c>
      <c r="E6" s="234">
        <v>605</v>
      </c>
      <c r="F6" s="35"/>
      <c r="G6" s="629"/>
      <c r="H6" s="59">
        <f>Drains80!U110</f>
        <v>603.67695473251024</v>
      </c>
    </row>
    <row r="7" spans="1:8" ht="29.4" customHeight="1">
      <c r="A7" s="624" t="s">
        <v>297</v>
      </c>
      <c r="B7" s="62" t="s">
        <v>65</v>
      </c>
      <c r="C7" s="45" t="s">
        <v>66</v>
      </c>
      <c r="D7" s="33" t="s">
        <v>24</v>
      </c>
      <c r="E7" s="234">
        <v>121</v>
      </c>
      <c r="F7" s="35"/>
      <c r="G7" s="629"/>
      <c r="H7" s="59">
        <f>Drains80!K109+Drains80!K110</f>
        <v>120.395</v>
      </c>
    </row>
    <row r="8" spans="1:8" ht="22.8" customHeight="1">
      <c r="A8" s="633" t="s">
        <v>298</v>
      </c>
      <c r="B8" s="60"/>
      <c r="C8" s="42" t="s">
        <v>68</v>
      </c>
      <c r="D8" s="61"/>
      <c r="E8" s="235"/>
      <c r="F8" s="61"/>
      <c r="G8" s="634"/>
    </row>
    <row r="9" spans="1:8" ht="29.4" customHeight="1">
      <c r="A9" s="624" t="s">
        <v>299</v>
      </c>
      <c r="B9" s="62" t="s">
        <v>55</v>
      </c>
      <c r="C9" s="45" t="s">
        <v>56</v>
      </c>
      <c r="D9" s="33" t="s">
        <v>36</v>
      </c>
      <c r="E9" s="234">
        <v>4</v>
      </c>
      <c r="F9" s="35"/>
      <c r="G9" s="629"/>
      <c r="H9" s="59">
        <f>Drains80!I112</f>
        <v>3.7520000000000007</v>
      </c>
    </row>
    <row r="10" spans="1:8" ht="29.4" customHeight="1">
      <c r="A10" s="624" t="s">
        <v>300</v>
      </c>
      <c r="B10" s="62" t="s">
        <v>58</v>
      </c>
      <c r="C10" s="45" t="s">
        <v>59</v>
      </c>
      <c r="D10" s="33" t="s">
        <v>36</v>
      </c>
      <c r="E10" s="234">
        <v>19</v>
      </c>
      <c r="F10" s="35"/>
      <c r="G10" s="629"/>
      <c r="H10" s="59">
        <f>Drains80!J112+Drains80!J113</f>
        <v>18.850000000000001</v>
      </c>
    </row>
    <row r="11" spans="1:8" ht="38.4" customHeight="1">
      <c r="A11" s="624" t="s">
        <v>301</v>
      </c>
      <c r="B11" s="62" t="s">
        <v>61</v>
      </c>
      <c r="C11" s="45" t="s">
        <v>62</v>
      </c>
      <c r="D11" s="33" t="s">
        <v>63</v>
      </c>
      <c r="E11" s="234">
        <v>1147</v>
      </c>
      <c r="F11" s="35"/>
      <c r="G11" s="629"/>
      <c r="H11" s="59">
        <f>Drains80!U113</f>
        <v>1146.8086419753085</v>
      </c>
    </row>
    <row r="12" spans="1:8" ht="38.4" customHeight="1">
      <c r="A12" s="624" t="s">
        <v>302</v>
      </c>
      <c r="B12" s="62" t="s">
        <v>65</v>
      </c>
      <c r="C12" s="45" t="s">
        <v>66</v>
      </c>
      <c r="D12" s="33" t="s">
        <v>24</v>
      </c>
      <c r="E12" s="234">
        <v>247</v>
      </c>
      <c r="F12" s="35"/>
      <c r="G12" s="629"/>
      <c r="H12" s="59">
        <f>Drains80!K112+Drains80!K113</f>
        <v>246.85599999999997</v>
      </c>
    </row>
    <row r="13" spans="1:8" ht="22.8" customHeight="1">
      <c r="A13" s="633" t="s">
        <v>303</v>
      </c>
      <c r="B13" s="51"/>
      <c r="C13" s="55" t="s">
        <v>329</v>
      </c>
      <c r="D13" s="41"/>
      <c r="E13" s="236"/>
      <c r="F13" s="41"/>
      <c r="G13" s="630"/>
    </row>
    <row r="14" spans="1:8" ht="38.4" customHeight="1">
      <c r="A14" s="624" t="s">
        <v>304</v>
      </c>
      <c r="B14" s="62" t="s">
        <v>55</v>
      </c>
      <c r="C14" s="45" t="s">
        <v>56</v>
      </c>
      <c r="D14" s="33" t="s">
        <v>36</v>
      </c>
      <c r="E14" s="234">
        <v>27</v>
      </c>
      <c r="F14" s="35"/>
      <c r="G14" s="629"/>
      <c r="H14" s="59">
        <f>Drains80!I144</f>
        <v>26.411000000000001</v>
      </c>
    </row>
    <row r="15" spans="1:8" ht="38.4" customHeight="1">
      <c r="A15" s="624" t="s">
        <v>305</v>
      </c>
      <c r="B15" s="62" t="s">
        <v>58</v>
      </c>
      <c r="C15" s="45" t="s">
        <v>59</v>
      </c>
      <c r="D15" s="33" t="s">
        <v>36</v>
      </c>
      <c r="E15" s="234">
        <v>63</v>
      </c>
      <c r="F15" s="35"/>
      <c r="G15" s="629"/>
      <c r="H15" s="59">
        <f>Drains80!J144</f>
        <v>62.426000000000002</v>
      </c>
    </row>
    <row r="16" spans="1:8" ht="38.4" customHeight="1">
      <c r="A16" s="624" t="s">
        <v>941</v>
      </c>
      <c r="B16" s="62" t="s">
        <v>61</v>
      </c>
      <c r="C16" s="45" t="s">
        <v>62</v>
      </c>
      <c r="D16" s="33" t="s">
        <v>63</v>
      </c>
      <c r="E16" s="234">
        <v>3400</v>
      </c>
      <c r="F16" s="35"/>
      <c r="G16" s="629"/>
      <c r="H16" s="59">
        <f>Drains80!S144</f>
        <v>3397.8888888888887</v>
      </c>
    </row>
    <row r="17" spans="1:9" ht="38.4" customHeight="1">
      <c r="A17" s="624" t="s">
        <v>306</v>
      </c>
      <c r="B17" s="62" t="s">
        <v>65</v>
      </c>
      <c r="C17" s="45" t="s">
        <v>66</v>
      </c>
      <c r="D17" s="33" t="s">
        <v>24</v>
      </c>
      <c r="E17" s="234">
        <v>289</v>
      </c>
      <c r="F17" s="35"/>
      <c r="G17" s="629"/>
      <c r="H17" s="59">
        <f>Drains80!K144</f>
        <v>288.12000000000006</v>
      </c>
    </row>
    <row r="18" spans="1:9" ht="25.2" customHeight="1">
      <c r="A18" s="633" t="s">
        <v>307</v>
      </c>
      <c r="B18" s="60"/>
      <c r="C18" s="260" t="s">
        <v>330</v>
      </c>
      <c r="D18" s="41"/>
      <c r="E18" s="235"/>
      <c r="F18" s="61"/>
      <c r="G18" s="630"/>
    </row>
    <row r="19" spans="1:9" ht="38.4" customHeight="1">
      <c r="A19" s="624" t="s">
        <v>308</v>
      </c>
      <c r="B19" s="62" t="s">
        <v>55</v>
      </c>
      <c r="C19" s="45" t="s">
        <v>56</v>
      </c>
      <c r="D19" s="33" t="s">
        <v>36</v>
      </c>
      <c r="E19" s="234">
        <v>3</v>
      </c>
      <c r="F19" s="35"/>
      <c r="G19" s="629"/>
      <c r="H19" s="59">
        <f>Drains80!I180</f>
        <v>2.8506250000000004</v>
      </c>
    </row>
    <row r="20" spans="1:9" ht="38.4" customHeight="1">
      <c r="A20" s="624" t="s">
        <v>309</v>
      </c>
      <c r="B20" s="62" t="s">
        <v>58</v>
      </c>
      <c r="C20" s="45" t="s">
        <v>59</v>
      </c>
      <c r="D20" s="33" t="s">
        <v>36</v>
      </c>
      <c r="E20" s="234">
        <v>20</v>
      </c>
      <c r="F20" s="35"/>
      <c r="G20" s="629"/>
      <c r="H20" s="59">
        <f>Drains80!J180+Drains80!J181</f>
        <v>19.424262500000001</v>
      </c>
    </row>
    <row r="21" spans="1:9" ht="29.4" customHeight="1">
      <c r="A21" s="624" t="s">
        <v>310</v>
      </c>
      <c r="B21" s="62" t="s">
        <v>61</v>
      </c>
      <c r="C21" s="45" t="s">
        <v>62</v>
      </c>
      <c r="D21" s="33" t="s">
        <v>63</v>
      </c>
      <c r="E21" s="234">
        <v>828</v>
      </c>
      <c r="F21" s="35"/>
      <c r="G21" s="629"/>
      <c r="H21" s="59">
        <f>Drains80!S180</f>
        <v>827.77932098765416</v>
      </c>
    </row>
    <row r="22" spans="1:9" ht="34.799999999999997" customHeight="1">
      <c r="A22" s="624" t="s">
        <v>311</v>
      </c>
      <c r="B22" s="62" t="s">
        <v>65</v>
      </c>
      <c r="C22" s="45" t="s">
        <v>66</v>
      </c>
      <c r="D22" s="33" t="s">
        <v>24</v>
      </c>
      <c r="E22" s="234">
        <v>227</v>
      </c>
      <c r="F22" s="35"/>
      <c r="G22" s="629"/>
      <c r="H22" s="59">
        <f>Drains80!K180+Drains80!K181</f>
        <v>226.29250000000002</v>
      </c>
    </row>
    <row r="23" spans="1:9" s="65" customFormat="1" ht="22.2" customHeight="1">
      <c r="A23" s="633" t="s">
        <v>312</v>
      </c>
      <c r="B23" s="46"/>
      <c r="C23" s="66" t="s">
        <v>331</v>
      </c>
      <c r="D23" s="46"/>
      <c r="E23" s="231"/>
      <c r="F23" s="57"/>
      <c r="G23" s="277"/>
      <c r="H23" s="63"/>
      <c r="I23" s="64"/>
    </row>
    <row r="24" spans="1:9" s="65" customFormat="1" ht="34.799999999999997" customHeight="1">
      <c r="A24" s="635" t="s">
        <v>313</v>
      </c>
      <c r="B24" s="46" t="s">
        <v>85</v>
      </c>
      <c r="C24" s="58" t="s">
        <v>332</v>
      </c>
      <c r="D24" s="46" t="s">
        <v>5</v>
      </c>
      <c r="E24" s="231">
        <v>46</v>
      </c>
      <c r="F24" s="57"/>
      <c r="G24" s="277"/>
      <c r="H24" s="63">
        <f>Drains80!D182</f>
        <v>46</v>
      </c>
      <c r="I24" s="64"/>
    </row>
    <row r="25" spans="1:9" ht="18" customHeight="1">
      <c r="A25" s="633" t="s">
        <v>927</v>
      </c>
      <c r="B25" s="51"/>
      <c r="C25" s="55" t="s">
        <v>334</v>
      </c>
      <c r="D25" s="41"/>
      <c r="E25" s="236"/>
      <c r="F25" s="41"/>
      <c r="G25" s="630"/>
    </row>
    <row r="26" spans="1:9" ht="34.799999999999997" customHeight="1">
      <c r="A26" s="624" t="s">
        <v>928</v>
      </c>
      <c r="B26" s="62" t="s">
        <v>336</v>
      </c>
      <c r="C26" s="45" t="s">
        <v>337</v>
      </c>
      <c r="D26" s="33" t="s">
        <v>36</v>
      </c>
      <c r="E26" s="234">
        <v>335</v>
      </c>
      <c r="F26" s="35"/>
      <c r="G26" s="629"/>
      <c r="H26" s="59">
        <f>'QTY80'!J49</f>
        <v>334.72999999999996</v>
      </c>
    </row>
    <row r="27" spans="1:9" ht="30" customHeight="1">
      <c r="A27" s="624" t="s">
        <v>929</v>
      </c>
      <c r="B27" s="62" t="s">
        <v>86</v>
      </c>
      <c r="C27" s="45" t="s">
        <v>87</v>
      </c>
      <c r="D27" s="33" t="s">
        <v>24</v>
      </c>
      <c r="E27" s="234">
        <v>465</v>
      </c>
      <c r="F27" s="35"/>
      <c r="G27" s="629"/>
      <c r="H27" s="59">
        <f>'QTY80'!J51</f>
        <v>464.68400000000003</v>
      </c>
    </row>
    <row r="28" spans="1:9" ht="30" customHeight="1">
      <c r="A28" s="624" t="s">
        <v>942</v>
      </c>
      <c r="B28" s="62" t="s">
        <v>340</v>
      </c>
      <c r="C28" s="45" t="s">
        <v>341</v>
      </c>
      <c r="D28" s="33" t="s">
        <v>36</v>
      </c>
      <c r="E28" s="234">
        <v>71</v>
      </c>
      <c r="F28" s="35"/>
      <c r="G28" s="629"/>
      <c r="H28" s="59">
        <f>'QTY80'!J50</f>
        <v>70.884</v>
      </c>
    </row>
    <row r="29" spans="1:9" ht="30" customHeight="1" thickBot="1">
      <c r="A29" s="631"/>
      <c r="B29" s="783" t="s">
        <v>314</v>
      </c>
      <c r="C29" s="784"/>
      <c r="D29" s="784"/>
      <c r="E29" s="784"/>
      <c r="F29" s="785"/>
      <c r="G29" s="632"/>
    </row>
  </sheetData>
  <mergeCells count="3">
    <mergeCell ref="A1:C1"/>
    <mergeCell ref="D1:G1"/>
    <mergeCell ref="B29:F29"/>
  </mergeCells>
  <phoneticPr fontId="32" type="noConversion"/>
  <printOptions horizontalCentered="1"/>
  <pageMargins left="0.75" right="0.4" top="0.75" bottom="0.5" header="0" footer="0"/>
  <pageSetup paperSize="9" scale="7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394E5-D1EA-4585-A45D-B6D670C7D29D}">
  <sheetPr>
    <tabColor rgb="FFFF9933"/>
    <pageSetUpPr fitToPage="1"/>
  </sheetPr>
  <dimension ref="A1:J26"/>
  <sheetViews>
    <sheetView view="pageBreakPreview" topLeftCell="A19" zoomScale="98" zoomScaleNormal="110" zoomScaleSheetLayoutView="98" workbookViewId="0">
      <selection activeCell="H1" sqref="H1:K1048576"/>
    </sheetView>
  </sheetViews>
  <sheetFormatPr defaultColWidth="9.109375" defaultRowHeight="13.2"/>
  <cols>
    <col min="1" max="1" width="7.6640625" style="31" customWidth="1"/>
    <col min="2" max="2" width="9.6640625" style="279" customWidth="1"/>
    <col min="3" max="3" width="54" style="31" customWidth="1"/>
    <col min="4" max="4" width="7.6640625" style="280" customWidth="1"/>
    <col min="5" max="5" width="8.6640625" style="567" customWidth="1"/>
    <col min="6" max="6" width="13.44140625" style="31" customWidth="1"/>
    <col min="7" max="7" width="17.6640625" style="31" customWidth="1"/>
    <col min="8" max="8" width="8.109375" style="31" hidden="1" customWidth="1"/>
    <col min="9" max="9" width="0" style="31" hidden="1" customWidth="1"/>
    <col min="10" max="10" width="10.44140625" style="31" hidden="1" customWidth="1"/>
    <col min="11" max="11" width="0" style="31" hidden="1" customWidth="1"/>
    <col min="12" max="16384" width="9.109375" style="31"/>
  </cols>
  <sheetData>
    <row r="1" spans="1:8" s="27" customFormat="1" ht="71.400000000000006" customHeight="1" thickBot="1">
      <c r="A1" s="778" t="s">
        <v>943</v>
      </c>
      <c r="B1" s="779"/>
      <c r="C1" s="779"/>
      <c r="D1" s="780" t="str">
        <f>+'Bill 2.1'!D1:G1</f>
        <v xml:space="preserve">BILL NO. 02 -
 REDUCTION OF LANDSLIDE VULNERABILITY  BY MITIGATION MEASURES
BETWEEN 18/3 ~ 18/4 CULVERT ON PELAWATTA NELUWA ROAD (B363)(SITE NO. 80)
</v>
      </c>
      <c r="E1" s="780"/>
      <c r="F1" s="780"/>
      <c r="G1" s="781"/>
    </row>
    <row r="2" spans="1:8" ht="26.4">
      <c r="A2" s="620" t="s">
        <v>13</v>
      </c>
      <c r="B2" s="28" t="s">
        <v>14</v>
      </c>
      <c r="C2" s="29" t="s">
        <v>8</v>
      </c>
      <c r="D2" s="28" t="s">
        <v>15</v>
      </c>
      <c r="E2" s="565" t="s">
        <v>16</v>
      </c>
      <c r="F2" s="30" t="s">
        <v>17</v>
      </c>
      <c r="G2" s="621" t="s">
        <v>18</v>
      </c>
    </row>
    <row r="3" spans="1:8" ht="36" customHeight="1">
      <c r="A3" s="638"/>
      <c r="B3" s="261"/>
      <c r="C3" s="262" t="s">
        <v>871</v>
      </c>
      <c r="D3" s="261"/>
      <c r="E3" s="571"/>
      <c r="F3" s="263"/>
      <c r="G3" s="639"/>
    </row>
    <row r="4" spans="1:8" ht="30" customHeight="1">
      <c r="A4" s="640" t="s">
        <v>944</v>
      </c>
      <c r="B4" s="264"/>
      <c r="C4" s="265" t="s">
        <v>343</v>
      </c>
      <c r="D4" s="266"/>
      <c r="E4" s="568"/>
      <c r="F4" s="32"/>
      <c r="G4" s="623"/>
    </row>
    <row r="5" spans="1:8" ht="30" customHeight="1">
      <c r="A5" s="624" t="s">
        <v>945</v>
      </c>
      <c r="B5" s="33" t="s">
        <v>345</v>
      </c>
      <c r="C5" s="267" t="s">
        <v>346</v>
      </c>
      <c r="D5" s="33" t="s">
        <v>347</v>
      </c>
      <c r="E5" s="234"/>
      <c r="F5" s="35"/>
      <c r="G5" s="641"/>
    </row>
    <row r="6" spans="1:8" s="271" customFormat="1" ht="30" customHeight="1">
      <c r="A6" s="624" t="s">
        <v>946</v>
      </c>
      <c r="B6" s="33" t="s">
        <v>349</v>
      </c>
      <c r="C6" s="47" t="s">
        <v>350</v>
      </c>
      <c r="D6" s="33" t="s">
        <v>5</v>
      </c>
      <c r="E6" s="234">
        <v>534</v>
      </c>
      <c r="F6" s="35"/>
      <c r="G6" s="642"/>
      <c r="H6" s="270">
        <f>'QTY80'!J83</f>
        <v>534</v>
      </c>
    </row>
    <row r="7" spans="1:8" ht="30" customHeight="1">
      <c r="A7" s="624" t="s">
        <v>947</v>
      </c>
      <c r="B7" s="33" t="s">
        <v>352</v>
      </c>
      <c r="C7" s="272" t="s">
        <v>353</v>
      </c>
      <c r="D7" s="33" t="s">
        <v>24</v>
      </c>
      <c r="E7" s="234">
        <v>470</v>
      </c>
      <c r="F7" s="35"/>
      <c r="G7" s="629"/>
      <c r="H7" s="247">
        <f>'QTY80'!J74</f>
        <v>470.81100000000009</v>
      </c>
    </row>
    <row r="8" spans="1:8" ht="47.4" customHeight="1">
      <c r="A8" s="624" t="s">
        <v>948</v>
      </c>
      <c r="B8" s="273" t="s">
        <v>355</v>
      </c>
      <c r="C8" s="274" t="s">
        <v>356</v>
      </c>
      <c r="D8" s="46" t="s">
        <v>5</v>
      </c>
      <c r="E8" s="231">
        <v>418</v>
      </c>
      <c r="F8" s="57"/>
      <c r="G8" s="629"/>
      <c r="H8" s="247">
        <f>'QTY80'!J89</f>
        <v>417.69200000000006</v>
      </c>
    </row>
    <row r="9" spans="1:8" ht="34.200000000000003" customHeight="1">
      <c r="A9" s="624" t="s">
        <v>949</v>
      </c>
      <c r="B9" s="62" t="s">
        <v>358</v>
      </c>
      <c r="C9" s="275" t="s">
        <v>359</v>
      </c>
      <c r="D9" s="33" t="s">
        <v>5</v>
      </c>
      <c r="E9" s="234">
        <v>111</v>
      </c>
      <c r="F9" s="35"/>
      <c r="G9" s="629"/>
      <c r="H9" s="247">
        <f>'QTY80'!J98</f>
        <v>110.55000000000001</v>
      </c>
    </row>
    <row r="10" spans="1:8" ht="30" customHeight="1">
      <c r="A10" s="624" t="s">
        <v>950</v>
      </c>
      <c r="B10" s="56" t="s">
        <v>85</v>
      </c>
      <c r="C10" s="58" t="s">
        <v>332</v>
      </c>
      <c r="D10" s="56" t="s">
        <v>5</v>
      </c>
      <c r="E10" s="234">
        <v>90</v>
      </c>
      <c r="F10" s="35"/>
      <c r="G10" s="629"/>
      <c r="H10" s="247"/>
    </row>
    <row r="11" spans="1:8" ht="38.4" customHeight="1">
      <c r="A11" s="624" t="s">
        <v>951</v>
      </c>
      <c r="B11" s="33" t="s">
        <v>362</v>
      </c>
      <c r="C11" s="267" t="s">
        <v>363</v>
      </c>
      <c r="D11" s="33" t="s">
        <v>92</v>
      </c>
      <c r="E11" s="234">
        <v>6</v>
      </c>
      <c r="F11" s="35"/>
      <c r="G11" s="629"/>
      <c r="H11" s="247">
        <f>89*5%</f>
        <v>4.45</v>
      </c>
    </row>
    <row r="12" spans="1:8" ht="38.4" customHeight="1">
      <c r="A12" s="626" t="s">
        <v>952</v>
      </c>
      <c r="B12" s="250"/>
      <c r="C12" s="251" t="s">
        <v>365</v>
      </c>
      <c r="D12" s="250"/>
      <c r="E12" s="236"/>
      <c r="F12" s="41"/>
      <c r="G12" s="630"/>
      <c r="H12" s="247"/>
    </row>
    <row r="13" spans="1:8" ht="38.4" customHeight="1">
      <c r="A13" s="624" t="s">
        <v>953</v>
      </c>
      <c r="B13" s="33" t="s">
        <v>367</v>
      </c>
      <c r="C13" s="272" t="s">
        <v>368</v>
      </c>
      <c r="D13" s="33" t="s">
        <v>5</v>
      </c>
      <c r="E13" s="234">
        <v>180</v>
      </c>
      <c r="F13" s="35"/>
      <c r="G13" s="629"/>
      <c r="H13" s="247">
        <f>'QTY80'!J94</f>
        <v>180</v>
      </c>
    </row>
    <row r="14" spans="1:8" ht="38.4" customHeight="1">
      <c r="A14" s="628" t="s">
        <v>954</v>
      </c>
      <c r="B14" s="33"/>
      <c r="C14" s="276" t="s">
        <v>369</v>
      </c>
      <c r="D14" s="33"/>
      <c r="E14" s="234"/>
      <c r="F14" s="35"/>
      <c r="G14" s="629"/>
      <c r="H14" s="247"/>
    </row>
    <row r="15" spans="1:8" ht="38.4" customHeight="1">
      <c r="A15" s="624" t="s">
        <v>955</v>
      </c>
      <c r="B15" s="46" t="s">
        <v>370</v>
      </c>
      <c r="C15" s="47" t="s">
        <v>371</v>
      </c>
      <c r="D15" s="46" t="s">
        <v>372</v>
      </c>
      <c r="E15" s="234">
        <v>470</v>
      </c>
      <c r="F15" s="57"/>
      <c r="G15" s="277"/>
      <c r="H15" s="247"/>
    </row>
    <row r="16" spans="1:8" ht="38.4" customHeight="1">
      <c r="A16" s="624" t="s">
        <v>956</v>
      </c>
      <c r="B16" s="33" t="s">
        <v>373</v>
      </c>
      <c r="C16" s="278" t="s">
        <v>374</v>
      </c>
      <c r="D16" s="33" t="s">
        <v>24</v>
      </c>
      <c r="E16" s="234">
        <v>470</v>
      </c>
      <c r="F16" s="35"/>
      <c r="G16" s="277"/>
      <c r="H16" s="247"/>
    </row>
    <row r="17" spans="1:8" ht="38.4" customHeight="1">
      <c r="A17" s="624" t="s">
        <v>957</v>
      </c>
      <c r="B17" s="643" t="s">
        <v>373</v>
      </c>
      <c r="C17" s="253" t="s">
        <v>375</v>
      </c>
      <c r="D17" s="46" t="s">
        <v>372</v>
      </c>
      <c r="E17" s="231">
        <v>800</v>
      </c>
      <c r="F17" s="57"/>
      <c r="G17" s="277"/>
      <c r="H17" s="247"/>
    </row>
    <row r="18" spans="1:8" ht="38.4" customHeight="1" thickBot="1">
      <c r="A18" s="631"/>
      <c r="B18" s="783" t="s">
        <v>969</v>
      </c>
      <c r="C18" s="784"/>
      <c r="D18" s="784"/>
      <c r="E18" s="784"/>
      <c r="F18" s="785"/>
      <c r="G18" s="632"/>
    </row>
    <row r="19" spans="1:8" ht="38.4" customHeight="1"/>
    <row r="20" spans="1:8" ht="38.4" customHeight="1"/>
    <row r="21" spans="1:8" ht="34.799999999999997" customHeight="1"/>
    <row r="22" spans="1:8" ht="34.799999999999997" customHeight="1"/>
    <row r="23" spans="1:8" ht="34.799999999999997" customHeight="1"/>
    <row r="24" spans="1:8" ht="34.799999999999997" customHeight="1"/>
    <row r="25" spans="1:8" ht="34.799999999999997" customHeight="1"/>
    <row r="26" spans="1:8" ht="34.799999999999997" customHeight="1"/>
  </sheetData>
  <mergeCells count="3">
    <mergeCell ref="A1:C1"/>
    <mergeCell ref="D1:G1"/>
    <mergeCell ref="B18:F18"/>
  </mergeCells>
  <phoneticPr fontId="32" type="noConversion"/>
  <printOptions horizontalCentered="1"/>
  <pageMargins left="0.75" right="0.4" top="0.75" bottom="0.5" header="0" footer="0"/>
  <pageSetup paperSize="9" scale="7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9BF8D-417E-47D6-8446-FE8683527D92}">
  <sheetPr>
    <tabColor rgb="FF00B050"/>
  </sheetPr>
  <dimension ref="A1:L110"/>
  <sheetViews>
    <sheetView view="pageBreakPreview" zoomScale="90" zoomScaleNormal="100" zoomScaleSheetLayoutView="90" workbookViewId="0">
      <pane ySplit="2" topLeftCell="A9" activePane="bottomLeft" state="frozen"/>
      <selection activeCell="A12" sqref="A12:J12"/>
      <selection pane="bottomLeft" activeCell="A12" sqref="A12:J12"/>
    </sheetView>
  </sheetViews>
  <sheetFormatPr defaultColWidth="9.109375" defaultRowHeight="13.2"/>
  <cols>
    <col min="1" max="1" width="26.5546875" style="67" customWidth="1"/>
    <col min="2" max="5" width="10.6640625" style="67" customWidth="1"/>
    <col min="6" max="7" width="12.6640625" style="67" customWidth="1"/>
    <col min="8" max="8" width="5.5546875" style="67" customWidth="1"/>
    <col min="9" max="10" width="12.6640625" style="67" customWidth="1"/>
    <col min="11" max="11" width="10.33203125" style="67" bestFit="1" customWidth="1"/>
    <col min="12" max="12" width="10" style="67" bestFit="1" customWidth="1"/>
    <col min="13" max="15" width="9.109375" style="67"/>
    <col min="16" max="16" width="11.109375" style="67" bestFit="1" customWidth="1"/>
    <col min="17" max="16384" width="9.109375" style="67"/>
  </cols>
  <sheetData>
    <row r="1" spans="1:12" ht="20.100000000000001" customHeight="1">
      <c r="A1" s="739" t="s">
        <v>377</v>
      </c>
      <c r="B1" s="740"/>
      <c r="C1" s="740"/>
      <c r="D1" s="740"/>
      <c r="E1" s="740"/>
      <c r="F1" s="740"/>
      <c r="G1" s="740"/>
      <c r="H1" s="740"/>
      <c r="I1" s="740"/>
      <c r="J1" s="741"/>
    </row>
    <row r="2" spans="1:12" s="70" customFormat="1" ht="30" customHeight="1">
      <c r="A2" s="68"/>
      <c r="B2" s="69" t="s">
        <v>90</v>
      </c>
      <c r="C2" s="69" t="s">
        <v>91</v>
      </c>
      <c r="D2" s="69" t="s">
        <v>6</v>
      </c>
      <c r="E2" s="69" t="s">
        <v>92</v>
      </c>
      <c r="F2" s="69" t="s">
        <v>93</v>
      </c>
      <c r="G2" s="69" t="s">
        <v>94</v>
      </c>
      <c r="H2" s="69" t="s">
        <v>95</v>
      </c>
      <c r="I2" s="69" t="s">
        <v>96</v>
      </c>
      <c r="J2" s="69" t="s">
        <v>97</v>
      </c>
      <c r="L2" s="71"/>
    </row>
    <row r="3" spans="1:12" ht="24.9" customHeight="1">
      <c r="A3" s="742" t="s">
        <v>98</v>
      </c>
      <c r="B3" s="743"/>
      <c r="C3" s="743"/>
      <c r="D3" s="743"/>
      <c r="E3" s="743"/>
      <c r="F3" s="743"/>
      <c r="G3" s="743"/>
      <c r="H3" s="743"/>
      <c r="I3" s="743"/>
      <c r="J3" s="744"/>
    </row>
    <row r="4" spans="1:12" ht="15">
      <c r="A4" s="745" t="s">
        <v>99</v>
      </c>
      <c r="B4" s="746"/>
      <c r="C4" s="746"/>
      <c r="D4" s="746"/>
      <c r="E4" s="746"/>
      <c r="F4" s="747"/>
      <c r="G4" s="72"/>
      <c r="H4" s="73"/>
      <c r="I4" s="72"/>
      <c r="J4" s="72"/>
    </row>
    <row r="5" spans="1:12" ht="15">
      <c r="A5" s="74" t="s">
        <v>236</v>
      </c>
      <c r="B5" s="75"/>
      <c r="C5" s="76"/>
      <c r="D5" s="77"/>
      <c r="E5" s="76"/>
      <c r="F5" s="75"/>
      <c r="G5" s="76"/>
      <c r="H5" s="76"/>
      <c r="I5" s="76"/>
      <c r="J5" s="78"/>
      <c r="L5" s="79"/>
    </row>
    <row r="6" spans="1:12" ht="15">
      <c r="A6" s="86" t="s">
        <v>378</v>
      </c>
      <c r="B6" s="87">
        <v>13.2</v>
      </c>
      <c r="C6" s="81">
        <v>33.9</v>
      </c>
      <c r="D6" s="77"/>
      <c r="E6" s="76"/>
      <c r="F6" s="75">
        <f>B6*C6</f>
        <v>447.47999999999996</v>
      </c>
      <c r="G6" s="76"/>
      <c r="H6" s="76" t="s">
        <v>100</v>
      </c>
      <c r="I6" s="78">
        <f>F6*1.1</f>
        <v>492.22800000000001</v>
      </c>
      <c r="J6" s="127">
        <f>ROUNDUP(I6,2)</f>
        <v>492.23</v>
      </c>
      <c r="L6" s="79"/>
    </row>
    <row r="7" spans="1:12" ht="15">
      <c r="A7" s="86" t="s">
        <v>379</v>
      </c>
      <c r="B7" s="87">
        <v>13.5</v>
      </c>
      <c r="C7" s="75">
        <v>39.200000000000003</v>
      </c>
      <c r="D7" s="77"/>
      <c r="E7" s="76"/>
      <c r="F7" s="75">
        <f>B7*C7</f>
        <v>529.20000000000005</v>
      </c>
      <c r="G7" s="76"/>
      <c r="H7" s="76" t="s">
        <v>100</v>
      </c>
      <c r="I7" s="78">
        <f>F7*1.1</f>
        <v>582.12000000000012</v>
      </c>
      <c r="J7" s="127">
        <f>ROUNDUP(I7,2)</f>
        <v>582.12</v>
      </c>
      <c r="L7" s="79"/>
    </row>
    <row r="8" spans="1:12" ht="15">
      <c r="A8" s="86" t="s">
        <v>380</v>
      </c>
      <c r="B8" s="87">
        <v>10.8</v>
      </c>
      <c r="C8" s="75">
        <v>43.75</v>
      </c>
      <c r="D8" s="77"/>
      <c r="E8" s="76"/>
      <c r="F8" s="75">
        <f>B8*C8</f>
        <v>472.50000000000006</v>
      </c>
      <c r="G8" s="76"/>
      <c r="H8" s="76" t="s">
        <v>100</v>
      </c>
      <c r="I8" s="78">
        <f>F8*1.1</f>
        <v>519.75000000000011</v>
      </c>
      <c r="J8" s="127">
        <f>ROUNDUP(I8,2)</f>
        <v>519.75</v>
      </c>
      <c r="L8" s="79"/>
    </row>
    <row r="9" spans="1:12" ht="15">
      <c r="A9" s="86" t="s">
        <v>381</v>
      </c>
      <c r="B9" s="87">
        <v>8.1999999999999993</v>
      </c>
      <c r="C9" s="75">
        <v>43</v>
      </c>
      <c r="D9" s="77"/>
      <c r="E9" s="76"/>
      <c r="F9" s="75">
        <f t="shared" ref="F9" si="0">B9*C9</f>
        <v>352.59999999999997</v>
      </c>
      <c r="G9" s="76"/>
      <c r="H9" s="76" t="s">
        <v>100</v>
      </c>
      <c r="I9" s="78">
        <f t="shared" ref="I9" si="1">F9*1.1</f>
        <v>387.86</v>
      </c>
      <c r="J9" s="127">
        <f t="shared" ref="J9" si="2">ROUNDUP(I9,2)</f>
        <v>387.86</v>
      </c>
      <c r="L9" s="79"/>
    </row>
    <row r="10" spans="1:12" ht="15">
      <c r="A10" s="98"/>
      <c r="B10" s="98"/>
      <c r="C10" s="98"/>
      <c r="D10" s="98"/>
      <c r="E10" s="99"/>
      <c r="F10" s="81"/>
      <c r="G10" s="99"/>
      <c r="H10" s="76"/>
      <c r="I10" s="91"/>
      <c r="J10" s="132">
        <f>SUM(J6:J9)</f>
        <v>1981.96</v>
      </c>
    </row>
    <row r="11" spans="1:12" ht="15">
      <c r="A11" s="281"/>
      <c r="B11" s="282"/>
      <c r="C11" s="283"/>
      <c r="D11" s="284"/>
      <c r="E11" s="285"/>
      <c r="F11" s="282"/>
      <c r="G11" s="285"/>
      <c r="H11" s="285"/>
      <c r="I11" s="111"/>
      <c r="J11" s="286"/>
    </row>
    <row r="12" spans="1:12" ht="15">
      <c r="A12" s="742" t="s">
        <v>101</v>
      </c>
      <c r="B12" s="743"/>
      <c r="C12" s="743"/>
      <c r="D12" s="743"/>
      <c r="E12" s="743"/>
      <c r="F12" s="743"/>
      <c r="G12" s="743"/>
      <c r="H12" s="743"/>
      <c r="I12" s="743"/>
      <c r="J12" s="744"/>
    </row>
    <row r="13" spans="1:12" ht="15">
      <c r="A13" s="748" t="s">
        <v>102</v>
      </c>
      <c r="B13" s="749"/>
      <c r="C13" s="749"/>
      <c r="D13" s="749"/>
      <c r="E13" s="749"/>
      <c r="F13" s="750"/>
      <c r="G13" s="72"/>
      <c r="H13" s="73"/>
      <c r="I13" s="73"/>
      <c r="J13" s="72"/>
      <c r="K13" s="93"/>
    </row>
    <row r="14" spans="1:12" ht="15">
      <c r="A14" s="748" t="s">
        <v>103</v>
      </c>
      <c r="B14" s="749"/>
      <c r="C14" s="749"/>
      <c r="D14" s="749"/>
      <c r="E14" s="749"/>
      <c r="F14" s="750"/>
      <c r="G14" s="72"/>
      <c r="H14" s="73"/>
      <c r="I14" s="72"/>
      <c r="J14" s="72"/>
      <c r="L14" s="79"/>
    </row>
    <row r="15" spans="1:12" ht="15">
      <c r="A15" s="748" t="s">
        <v>104</v>
      </c>
      <c r="B15" s="749"/>
      <c r="C15" s="749"/>
      <c r="D15" s="749"/>
      <c r="E15" s="749"/>
      <c r="F15" s="750"/>
      <c r="G15" s="94"/>
      <c r="H15" s="95"/>
      <c r="I15" s="94"/>
      <c r="J15" s="94"/>
      <c r="L15" s="79"/>
    </row>
    <row r="16" spans="1:12" ht="15">
      <c r="A16" s="83" t="s">
        <v>105</v>
      </c>
      <c r="B16" s="75"/>
      <c r="C16" s="75"/>
      <c r="D16" s="77"/>
      <c r="E16" s="76"/>
      <c r="F16" s="75"/>
      <c r="G16" s="76"/>
      <c r="H16" s="76"/>
      <c r="I16" s="78"/>
      <c r="J16" s="78"/>
      <c r="L16" s="79"/>
    </row>
    <row r="17" spans="1:12" ht="15">
      <c r="A17" s="86" t="str">
        <f>A6</f>
        <v>~CS02</v>
      </c>
      <c r="B17" s="87">
        <f>B6</f>
        <v>13.2</v>
      </c>
      <c r="C17" s="75">
        <v>10.1</v>
      </c>
      <c r="D17" s="77"/>
      <c r="E17" s="76"/>
      <c r="F17" s="75">
        <f t="shared" ref="F17:F19" si="3">B17*C17</f>
        <v>133.32</v>
      </c>
      <c r="G17" s="76"/>
      <c r="H17" s="76" t="s">
        <v>100</v>
      </c>
      <c r="I17" s="78">
        <f t="shared" ref="I17:I19" si="4">F17*1.1</f>
        <v>146.65200000000002</v>
      </c>
      <c r="J17" s="127">
        <f t="shared" ref="J17:J19" si="5">ROUNDUP(I17,2)</f>
        <v>146.66</v>
      </c>
      <c r="L17" s="79"/>
    </row>
    <row r="18" spans="1:12" ht="15">
      <c r="A18" s="86" t="str">
        <f t="shared" ref="A18:B20" si="6">A7</f>
        <v>CS02 - CS03</v>
      </c>
      <c r="B18" s="87">
        <f t="shared" si="6"/>
        <v>13.5</v>
      </c>
      <c r="C18" s="75">
        <v>7.55</v>
      </c>
      <c r="D18" s="77"/>
      <c r="E18" s="76"/>
      <c r="F18" s="75">
        <f t="shared" si="3"/>
        <v>101.925</v>
      </c>
      <c r="G18" s="76"/>
      <c r="H18" s="76" t="s">
        <v>100</v>
      </c>
      <c r="I18" s="78">
        <f t="shared" si="4"/>
        <v>112.11750000000001</v>
      </c>
      <c r="J18" s="127">
        <f t="shared" si="5"/>
        <v>112.12</v>
      </c>
      <c r="L18" s="79"/>
    </row>
    <row r="19" spans="1:12" ht="15">
      <c r="A19" s="86" t="str">
        <f t="shared" si="6"/>
        <v>CS03 - CS04</v>
      </c>
      <c r="B19" s="87">
        <f t="shared" si="6"/>
        <v>10.8</v>
      </c>
      <c r="C19" s="75">
        <v>8.8000000000000007</v>
      </c>
      <c r="D19" s="77"/>
      <c r="E19" s="76"/>
      <c r="F19" s="75">
        <f t="shared" si="3"/>
        <v>95.04000000000002</v>
      </c>
      <c r="G19" s="76"/>
      <c r="H19" s="76" t="s">
        <v>100</v>
      </c>
      <c r="I19" s="78">
        <f t="shared" si="4"/>
        <v>104.54400000000003</v>
      </c>
      <c r="J19" s="127">
        <f t="shared" si="5"/>
        <v>104.55000000000001</v>
      </c>
      <c r="L19" s="79"/>
    </row>
    <row r="20" spans="1:12" ht="15">
      <c r="A20" s="86" t="str">
        <f t="shared" si="6"/>
        <v>CS04~</v>
      </c>
      <c r="B20" s="87">
        <f t="shared" si="6"/>
        <v>8.1999999999999993</v>
      </c>
      <c r="C20" s="75">
        <v>12.6</v>
      </c>
      <c r="D20" s="77"/>
      <c r="E20" s="76"/>
      <c r="F20" s="75"/>
      <c r="G20" s="76"/>
      <c r="H20" s="76"/>
      <c r="I20" s="78"/>
      <c r="J20" s="102">
        <f>SUM(J16:J19)</f>
        <v>363.33</v>
      </c>
    </row>
    <row r="21" spans="1:12" ht="15">
      <c r="A21" s="83"/>
      <c r="B21" s="75"/>
      <c r="C21" s="75"/>
      <c r="D21" s="77"/>
      <c r="E21" s="76"/>
      <c r="F21" s="75"/>
      <c r="G21" s="76"/>
      <c r="H21" s="76"/>
      <c r="I21" s="78"/>
      <c r="J21" s="100"/>
    </row>
    <row r="22" spans="1:12" ht="15">
      <c r="A22" s="83"/>
      <c r="B22" s="75"/>
      <c r="C22" s="75"/>
      <c r="D22" s="77"/>
      <c r="E22" s="76"/>
      <c r="F22" s="75"/>
      <c r="G22" s="76"/>
      <c r="H22" s="76"/>
      <c r="I22" s="78"/>
      <c r="J22" s="78"/>
    </row>
    <row r="23" spans="1:12" ht="15">
      <c r="A23" s="748" t="s">
        <v>106</v>
      </c>
      <c r="B23" s="749"/>
      <c r="C23" s="749"/>
      <c r="D23" s="749"/>
      <c r="E23" s="749"/>
      <c r="F23" s="750"/>
      <c r="G23" s="96"/>
      <c r="H23" s="73"/>
      <c r="I23" s="72"/>
      <c r="J23" s="72"/>
      <c r="K23" s="79"/>
      <c r="L23" s="79"/>
    </row>
    <row r="24" spans="1:12" ht="15">
      <c r="A24" s="748" t="s">
        <v>107</v>
      </c>
      <c r="B24" s="749"/>
      <c r="C24" s="749"/>
      <c r="D24" s="749"/>
      <c r="E24" s="749"/>
      <c r="F24" s="750"/>
      <c r="G24" s="96" t="s">
        <v>382</v>
      </c>
      <c r="H24" s="73"/>
      <c r="I24" s="72"/>
      <c r="J24" s="72"/>
      <c r="K24" s="79"/>
      <c r="L24" s="79"/>
    </row>
    <row r="25" spans="1:12" ht="15">
      <c r="A25" s="748" t="s">
        <v>108</v>
      </c>
      <c r="B25" s="749"/>
      <c r="C25" s="749"/>
      <c r="D25" s="749"/>
      <c r="E25" s="749"/>
      <c r="F25" s="750"/>
      <c r="G25" s="94"/>
      <c r="H25" s="95"/>
      <c r="I25" s="94"/>
      <c r="J25" s="94"/>
      <c r="K25" s="79"/>
      <c r="L25" s="79"/>
    </row>
    <row r="26" spans="1:12" ht="15">
      <c r="A26" s="97" t="s">
        <v>383</v>
      </c>
      <c r="B26" s="81"/>
      <c r="C26" s="98"/>
      <c r="D26" s="98"/>
      <c r="E26" s="99"/>
      <c r="F26" s="81"/>
      <c r="G26" s="99"/>
      <c r="H26" s="99"/>
      <c r="I26" s="78"/>
      <c r="J26" s="100"/>
      <c r="K26" s="79"/>
      <c r="L26" s="79"/>
    </row>
    <row r="27" spans="1:12" ht="15">
      <c r="A27" s="86" t="s">
        <v>378</v>
      </c>
      <c r="B27" s="87">
        <v>13.2</v>
      </c>
      <c r="C27" s="89">
        <v>11.6</v>
      </c>
      <c r="D27" s="89"/>
      <c r="E27" s="90"/>
      <c r="F27" s="87">
        <f>PRODUCT(B27:E27)</f>
        <v>153.11999999999998</v>
      </c>
      <c r="G27" s="101">
        <f>F27</f>
        <v>153.11999999999998</v>
      </c>
      <c r="H27" s="76" t="s">
        <v>100</v>
      </c>
      <c r="I27" s="78">
        <f>G27*1.1</f>
        <v>168.43199999999999</v>
      </c>
      <c r="J27" s="127">
        <f>I27</f>
        <v>168.43199999999999</v>
      </c>
      <c r="K27" s="79"/>
      <c r="L27" s="79"/>
    </row>
    <row r="28" spans="1:12" ht="15">
      <c r="A28" s="86" t="s">
        <v>379</v>
      </c>
      <c r="B28" s="87">
        <v>13.5</v>
      </c>
      <c r="C28" s="89">
        <v>10.45</v>
      </c>
      <c r="D28" s="89"/>
      <c r="E28" s="90"/>
      <c r="F28" s="87">
        <f>PRODUCT(B28:E28)</f>
        <v>141.07499999999999</v>
      </c>
      <c r="G28" s="101">
        <f>F28</f>
        <v>141.07499999999999</v>
      </c>
      <c r="H28" s="76" t="s">
        <v>100</v>
      </c>
      <c r="I28" s="78">
        <f>G28*1.1</f>
        <v>155.1825</v>
      </c>
      <c r="J28" s="127">
        <f>I28</f>
        <v>155.1825</v>
      </c>
      <c r="K28" s="79"/>
      <c r="L28" s="79"/>
    </row>
    <row r="29" spans="1:12" ht="15">
      <c r="A29" s="86" t="s">
        <v>380</v>
      </c>
      <c r="B29" s="87">
        <v>10.8</v>
      </c>
      <c r="C29" s="89">
        <v>9.3000000000000007</v>
      </c>
      <c r="D29" s="89"/>
      <c r="E29" s="90"/>
      <c r="F29" s="87">
        <f>PRODUCT(B29:E29)</f>
        <v>100.44000000000001</v>
      </c>
      <c r="G29" s="101">
        <f>F29</f>
        <v>100.44000000000001</v>
      </c>
      <c r="H29" s="76" t="s">
        <v>100</v>
      </c>
      <c r="I29" s="78">
        <f>G29*1.1</f>
        <v>110.48400000000002</v>
      </c>
      <c r="J29" s="127">
        <f>I29</f>
        <v>110.48400000000002</v>
      </c>
      <c r="K29" s="79"/>
      <c r="L29" s="79"/>
    </row>
    <row r="30" spans="1:12" ht="15">
      <c r="A30" s="86"/>
      <c r="B30" s="87"/>
      <c r="C30" s="89"/>
      <c r="D30" s="89"/>
      <c r="E30" s="90"/>
      <c r="F30" s="87"/>
      <c r="G30" s="101"/>
      <c r="H30" s="76"/>
      <c r="I30" s="78"/>
      <c r="J30" s="127"/>
      <c r="K30" s="79"/>
      <c r="L30" s="79"/>
    </row>
    <row r="31" spans="1:12" ht="15">
      <c r="A31" s="86"/>
      <c r="B31" s="87"/>
      <c r="C31" s="89"/>
      <c r="D31" s="89"/>
      <c r="E31" s="90"/>
      <c r="F31" s="87"/>
      <c r="G31" s="90"/>
      <c r="H31" s="90"/>
      <c r="I31" s="78"/>
      <c r="J31" s="102">
        <f>SUM(J27:J29)</f>
        <v>434.09850000000006</v>
      </c>
      <c r="K31" s="79"/>
      <c r="L31" s="79"/>
    </row>
    <row r="32" spans="1:12" ht="15">
      <c r="A32" s="86"/>
      <c r="B32" s="87"/>
      <c r="C32" s="89"/>
      <c r="D32" s="89"/>
      <c r="E32" s="90"/>
      <c r="F32" s="87"/>
      <c r="G32" s="90"/>
      <c r="H32" s="90"/>
      <c r="I32" s="78"/>
      <c r="J32" s="100"/>
      <c r="K32" s="79"/>
      <c r="L32" s="79"/>
    </row>
    <row r="33" spans="1:12" ht="15">
      <c r="A33" s="751" t="s">
        <v>109</v>
      </c>
      <c r="B33" s="752"/>
      <c r="C33" s="752"/>
      <c r="D33" s="752"/>
      <c r="E33" s="752"/>
      <c r="F33" s="752"/>
      <c r="G33" s="752"/>
      <c r="H33" s="752"/>
      <c r="I33" s="752"/>
      <c r="J33" s="753"/>
      <c r="K33" s="79"/>
      <c r="L33" s="79"/>
    </row>
    <row r="34" spans="1:12" ht="15">
      <c r="A34" s="97" t="s">
        <v>383</v>
      </c>
      <c r="B34" s="75"/>
      <c r="C34" s="77"/>
      <c r="D34" s="77"/>
      <c r="E34" s="76"/>
      <c r="F34" s="75"/>
      <c r="G34" s="76"/>
      <c r="H34" s="76"/>
      <c r="I34" s="78"/>
      <c r="J34" s="78"/>
      <c r="K34" s="79"/>
      <c r="L34" s="79"/>
    </row>
    <row r="35" spans="1:12" ht="15">
      <c r="A35" s="86" t="s">
        <v>378</v>
      </c>
      <c r="B35" s="87">
        <v>13.2</v>
      </c>
      <c r="C35" s="77">
        <v>10.7</v>
      </c>
      <c r="D35" s="77"/>
      <c r="E35" s="76"/>
      <c r="F35" s="87">
        <f>PRODUCT(B35:E35)</f>
        <v>141.23999999999998</v>
      </c>
      <c r="G35" s="101">
        <f>F35</f>
        <v>141.23999999999998</v>
      </c>
      <c r="H35" s="76" t="s">
        <v>100</v>
      </c>
      <c r="I35" s="78">
        <f>G35*1.1</f>
        <v>155.364</v>
      </c>
      <c r="J35" s="127">
        <f>I35</f>
        <v>155.364</v>
      </c>
      <c r="K35" s="79"/>
      <c r="L35" s="79"/>
    </row>
    <row r="36" spans="1:12" ht="15">
      <c r="A36" s="86" t="s">
        <v>379</v>
      </c>
      <c r="B36" s="87">
        <v>13.5</v>
      </c>
      <c r="C36" s="77">
        <v>11.649999999999999</v>
      </c>
      <c r="D36" s="77"/>
      <c r="E36" s="76"/>
      <c r="F36" s="87">
        <f>PRODUCT(B36:E36)</f>
        <v>157.27499999999998</v>
      </c>
      <c r="G36" s="101">
        <f>F36</f>
        <v>157.27499999999998</v>
      </c>
      <c r="H36" s="76" t="s">
        <v>100</v>
      </c>
      <c r="I36" s="78">
        <f>G36*1.1</f>
        <v>173.0025</v>
      </c>
      <c r="J36" s="127">
        <f>I36</f>
        <v>173.0025</v>
      </c>
      <c r="K36" s="79"/>
      <c r="L36" s="79"/>
    </row>
    <row r="37" spans="1:12" ht="15">
      <c r="A37" s="86" t="s">
        <v>380</v>
      </c>
      <c r="B37" s="87">
        <v>10.8</v>
      </c>
      <c r="C37" s="77">
        <v>12.6</v>
      </c>
      <c r="D37" s="77"/>
      <c r="E37" s="76"/>
      <c r="F37" s="87">
        <f>PRODUCT(B37:E37)</f>
        <v>136.08000000000001</v>
      </c>
      <c r="G37" s="101">
        <f>F37</f>
        <v>136.08000000000001</v>
      </c>
      <c r="H37" s="76" t="s">
        <v>100</v>
      </c>
      <c r="I37" s="78">
        <f>G37*1.1</f>
        <v>149.68800000000002</v>
      </c>
      <c r="J37" s="127">
        <f>I37</f>
        <v>149.68800000000002</v>
      </c>
      <c r="K37" s="79"/>
      <c r="L37" s="79"/>
    </row>
    <row r="38" spans="1:12" ht="15">
      <c r="A38" s="287"/>
      <c r="B38" s="109"/>
      <c r="C38" s="77"/>
      <c r="D38" s="77"/>
      <c r="E38" s="76"/>
      <c r="F38" s="87"/>
      <c r="G38" s="101"/>
      <c r="H38" s="76"/>
      <c r="I38" s="78"/>
      <c r="J38" s="127"/>
      <c r="K38" s="79"/>
      <c r="L38" s="79"/>
    </row>
    <row r="39" spans="1:12" ht="15">
      <c r="A39" s="83"/>
      <c r="B39" s="75"/>
      <c r="C39" s="77"/>
      <c r="D39" s="77"/>
      <c r="E39" s="76"/>
      <c r="F39" s="87"/>
      <c r="G39" s="101"/>
      <c r="H39" s="128"/>
      <c r="I39" s="78"/>
      <c r="J39" s="102">
        <f>SUM(J35:J37)</f>
        <v>478.05449999999996</v>
      </c>
      <c r="K39" s="79"/>
      <c r="L39" s="79"/>
    </row>
    <row r="40" spans="1:12" ht="15">
      <c r="A40" s="83"/>
      <c r="B40" s="75"/>
      <c r="C40" s="77"/>
      <c r="D40" s="77"/>
      <c r="E40" s="76"/>
      <c r="F40" s="87"/>
      <c r="G40" s="101"/>
      <c r="H40" s="128"/>
      <c r="I40" s="78"/>
      <c r="J40" s="78"/>
      <c r="K40" s="79"/>
      <c r="L40" s="79"/>
    </row>
    <row r="41" spans="1:12" ht="15">
      <c r="A41" s="736"/>
      <c r="B41" s="737"/>
      <c r="C41" s="737"/>
      <c r="D41" s="737"/>
      <c r="E41" s="737"/>
      <c r="F41" s="737"/>
      <c r="G41" s="737"/>
      <c r="H41" s="737"/>
      <c r="I41" s="737"/>
      <c r="J41" s="738"/>
      <c r="L41" s="79"/>
    </row>
    <row r="42" spans="1:12" ht="15">
      <c r="A42" s="754" t="s">
        <v>110</v>
      </c>
      <c r="B42" s="755"/>
      <c r="C42" s="755"/>
      <c r="D42" s="755"/>
      <c r="E42" s="755"/>
      <c r="F42" s="755"/>
      <c r="G42" s="755"/>
      <c r="H42" s="755"/>
      <c r="I42" s="755"/>
      <c r="J42" s="756"/>
      <c r="L42" s="79"/>
    </row>
    <row r="43" spans="1:12" ht="15">
      <c r="A43" s="757" t="s">
        <v>111</v>
      </c>
      <c r="B43" s="758"/>
      <c r="C43" s="758"/>
      <c r="D43" s="758"/>
      <c r="E43" s="758"/>
      <c r="F43" s="759"/>
      <c r="G43" s="72"/>
      <c r="H43" s="73"/>
      <c r="I43" s="72"/>
      <c r="J43" s="72"/>
    </row>
    <row r="44" spans="1:12" ht="15">
      <c r="A44" s="74"/>
      <c r="B44" s="81"/>
      <c r="C44" s="98"/>
      <c r="D44" s="103"/>
      <c r="E44" s="104"/>
      <c r="F44" s="81"/>
      <c r="G44" s="105"/>
      <c r="H44" s="99"/>
      <c r="I44" s="78"/>
      <c r="J44" s="100"/>
      <c r="L44" s="106"/>
    </row>
    <row r="45" spans="1:12" s="70" customFormat="1" ht="30" customHeight="1">
      <c r="A45" s="86"/>
      <c r="B45" s="107"/>
      <c r="C45" s="108"/>
      <c r="D45" s="103"/>
      <c r="E45" s="104"/>
      <c r="F45" s="109"/>
      <c r="G45" s="110"/>
      <c r="H45" s="76"/>
      <c r="I45" s="111"/>
      <c r="J45" s="111"/>
    </row>
    <row r="46" spans="1:12" ht="15">
      <c r="A46" s="757" t="s">
        <v>112</v>
      </c>
      <c r="B46" s="758"/>
      <c r="C46" s="758"/>
      <c r="D46" s="758"/>
      <c r="E46" s="758"/>
      <c r="F46" s="759"/>
      <c r="G46" s="72"/>
      <c r="H46" s="73"/>
      <c r="I46" s="72"/>
      <c r="J46" s="72"/>
    </row>
    <row r="47" spans="1:12" ht="15">
      <c r="A47" s="754" t="s">
        <v>113</v>
      </c>
      <c r="B47" s="755"/>
      <c r="C47" s="755"/>
      <c r="D47" s="755"/>
      <c r="E47" s="755"/>
      <c r="F47" s="755"/>
      <c r="G47" s="755"/>
      <c r="H47" s="755"/>
      <c r="I47" s="755"/>
      <c r="J47" s="756"/>
      <c r="L47" s="79"/>
    </row>
    <row r="48" spans="1:12" ht="15">
      <c r="A48" s="97"/>
      <c r="B48" s="75"/>
      <c r="C48" s="77"/>
      <c r="D48" s="77"/>
      <c r="E48" s="76"/>
      <c r="F48" s="75"/>
      <c r="G48" s="76"/>
      <c r="H48" s="76"/>
      <c r="I48" s="78"/>
      <c r="J48" s="78"/>
      <c r="L48" s="79"/>
    </row>
    <row r="49" spans="1:12" ht="15">
      <c r="A49" s="86" t="s">
        <v>384</v>
      </c>
      <c r="B49" s="87">
        <v>35.799999999999997</v>
      </c>
      <c r="C49" s="77">
        <v>8.5</v>
      </c>
      <c r="D49" s="77"/>
      <c r="E49" s="76"/>
      <c r="F49" s="87">
        <f>PRODUCT(B49:E49)</f>
        <v>304.29999999999995</v>
      </c>
      <c r="G49" s="101">
        <f>F49</f>
        <v>304.29999999999995</v>
      </c>
      <c r="H49" s="76" t="s">
        <v>100</v>
      </c>
      <c r="I49" s="78">
        <f>G49*1.1</f>
        <v>334.72999999999996</v>
      </c>
      <c r="J49" s="102">
        <f>I49</f>
        <v>334.72999999999996</v>
      </c>
      <c r="L49" s="79"/>
    </row>
    <row r="50" spans="1:12" ht="15">
      <c r="A50" s="86" t="s">
        <v>385</v>
      </c>
      <c r="B50" s="87">
        <v>35.799999999999997</v>
      </c>
      <c r="C50" s="77">
        <v>1.8</v>
      </c>
      <c r="D50" s="77"/>
      <c r="E50" s="76"/>
      <c r="F50" s="87">
        <f>PRODUCT(B50:E50)</f>
        <v>64.44</v>
      </c>
      <c r="G50" s="101">
        <f>F50</f>
        <v>64.44</v>
      </c>
      <c r="H50" s="76" t="s">
        <v>100</v>
      </c>
      <c r="I50" s="78">
        <f>G50*1.1</f>
        <v>70.884</v>
      </c>
      <c r="J50" s="102">
        <f>I50</f>
        <v>70.884</v>
      </c>
      <c r="L50" s="79"/>
    </row>
    <row r="51" spans="1:12" ht="15">
      <c r="A51" s="86" t="s">
        <v>114</v>
      </c>
      <c r="B51" s="87">
        <v>35.799999999999997</v>
      </c>
      <c r="C51" s="77">
        <v>11.8</v>
      </c>
      <c r="D51" s="77"/>
      <c r="E51" s="76"/>
      <c r="F51" s="87">
        <f>PRODUCT(B51:E51)</f>
        <v>422.44</v>
      </c>
      <c r="G51" s="101">
        <f>F51</f>
        <v>422.44</v>
      </c>
      <c r="H51" s="76" t="s">
        <v>100</v>
      </c>
      <c r="I51" s="78">
        <f>G51*1.1</f>
        <v>464.68400000000003</v>
      </c>
      <c r="J51" s="102">
        <f>I51</f>
        <v>464.68400000000003</v>
      </c>
      <c r="L51" s="79"/>
    </row>
    <row r="52" spans="1:12" ht="15">
      <c r="A52" s="86"/>
      <c r="B52" s="87"/>
      <c r="C52" s="77"/>
      <c r="D52" s="77"/>
      <c r="E52" s="76"/>
      <c r="F52" s="87"/>
      <c r="G52" s="101"/>
      <c r="H52" s="76"/>
      <c r="I52" s="78"/>
      <c r="J52" s="78"/>
      <c r="L52" s="79"/>
    </row>
    <row r="53" spans="1:12" ht="15">
      <c r="A53" s="86"/>
      <c r="B53" s="87"/>
      <c r="C53" s="77"/>
      <c r="D53" s="77"/>
      <c r="E53" s="76"/>
      <c r="F53" s="87"/>
      <c r="G53" s="101"/>
      <c r="H53" s="76"/>
      <c r="I53" s="78"/>
      <c r="J53" s="78"/>
      <c r="L53" s="79"/>
    </row>
    <row r="54" spans="1:12" ht="30">
      <c r="A54" s="113"/>
      <c r="B54" s="114" t="s">
        <v>115</v>
      </c>
      <c r="C54" s="114" t="s">
        <v>92</v>
      </c>
      <c r="D54" s="114" t="s">
        <v>1</v>
      </c>
      <c r="E54" s="115" t="s">
        <v>116</v>
      </c>
      <c r="F54" s="114" t="s">
        <v>117</v>
      </c>
      <c r="G54" s="114"/>
      <c r="H54" s="114"/>
      <c r="I54" s="114"/>
      <c r="J54" s="114"/>
      <c r="L54" s="106"/>
    </row>
    <row r="55" spans="1:12" ht="15">
      <c r="A55" s="757" t="s">
        <v>118</v>
      </c>
      <c r="B55" s="758"/>
      <c r="C55" s="758"/>
      <c r="D55" s="758"/>
      <c r="E55" s="758"/>
      <c r="F55" s="759"/>
      <c r="G55" s="72"/>
      <c r="H55" s="73"/>
      <c r="I55" s="72"/>
      <c r="J55" s="72"/>
    </row>
    <row r="56" spans="1:12" ht="15">
      <c r="A56" s="116"/>
      <c r="B56" s="98"/>
      <c r="C56" s="99"/>
      <c r="D56" s="98"/>
      <c r="E56" s="99"/>
      <c r="F56" s="81"/>
      <c r="G56" s="103"/>
      <c r="H56" s="99"/>
      <c r="I56" s="103"/>
      <c r="J56" s="92"/>
      <c r="L56" s="106"/>
    </row>
    <row r="57" spans="1:12" ht="15">
      <c r="A57" s="116"/>
      <c r="B57" s="98"/>
      <c r="C57" s="99"/>
      <c r="D57" s="98"/>
      <c r="E57" s="99"/>
      <c r="F57" s="81"/>
      <c r="G57" s="103"/>
      <c r="H57" s="99"/>
      <c r="I57" s="103"/>
      <c r="J57" s="92"/>
      <c r="L57" s="106"/>
    </row>
    <row r="58" spans="1:12" ht="15">
      <c r="A58" s="757" t="s">
        <v>119</v>
      </c>
      <c r="B58" s="758"/>
      <c r="C58" s="758"/>
      <c r="D58" s="758"/>
      <c r="E58" s="758"/>
      <c r="F58" s="759"/>
      <c r="G58" s="72"/>
      <c r="H58" s="73"/>
      <c r="I58" s="72"/>
      <c r="J58" s="72"/>
    </row>
    <row r="59" spans="1:12" ht="15">
      <c r="A59" s="74"/>
      <c r="B59" s="81"/>
      <c r="C59" s="99"/>
      <c r="D59" s="98"/>
      <c r="E59" s="99"/>
      <c r="F59" s="81"/>
      <c r="G59" s="91"/>
      <c r="H59" s="99"/>
      <c r="I59" s="91"/>
      <c r="J59" s="92"/>
      <c r="L59" s="79"/>
    </row>
    <row r="60" spans="1:12" ht="15">
      <c r="A60" s="74"/>
      <c r="B60" s="81"/>
      <c r="C60" s="99"/>
      <c r="D60" s="98"/>
      <c r="E60" s="99"/>
      <c r="F60" s="81"/>
      <c r="G60" s="91"/>
      <c r="H60" s="99"/>
      <c r="I60" s="91"/>
      <c r="J60" s="92"/>
      <c r="L60" s="79"/>
    </row>
    <row r="61" spans="1:12" ht="24.9" customHeight="1">
      <c r="A61" s="757" t="s">
        <v>120</v>
      </c>
      <c r="B61" s="758"/>
      <c r="C61" s="758"/>
      <c r="D61" s="758"/>
      <c r="E61" s="758"/>
      <c r="F61" s="759"/>
      <c r="G61" s="72"/>
      <c r="H61" s="73"/>
      <c r="I61" s="72"/>
      <c r="J61" s="72"/>
    </row>
    <row r="62" spans="1:12" ht="15">
      <c r="A62" s="74"/>
      <c r="B62" s="117"/>
      <c r="C62" s="103"/>
      <c r="D62" s="103"/>
      <c r="E62" s="117"/>
      <c r="F62" s="81"/>
      <c r="G62" s="99"/>
      <c r="H62" s="99"/>
      <c r="I62" s="91"/>
      <c r="J62" s="100"/>
    </row>
    <row r="63" spans="1:12" ht="15">
      <c r="A63" s="74"/>
      <c r="B63" s="117"/>
      <c r="C63" s="103"/>
      <c r="D63" s="103"/>
      <c r="E63" s="117"/>
      <c r="F63" s="81"/>
      <c r="G63" s="99"/>
      <c r="H63" s="99"/>
      <c r="I63" s="91"/>
      <c r="J63" s="100"/>
      <c r="L63" s="79"/>
    </row>
    <row r="64" spans="1:12" ht="15">
      <c r="A64" s="754" t="s">
        <v>121</v>
      </c>
      <c r="B64" s="755"/>
      <c r="C64" s="755"/>
      <c r="D64" s="755"/>
      <c r="E64" s="755"/>
      <c r="F64" s="755"/>
      <c r="G64" s="755"/>
      <c r="H64" s="755"/>
      <c r="I64" s="755"/>
      <c r="J64" s="756"/>
      <c r="L64" s="106"/>
    </row>
    <row r="65" spans="1:12" ht="24.9" customHeight="1">
      <c r="A65" s="757"/>
      <c r="B65" s="758"/>
      <c r="C65" s="758"/>
      <c r="D65" s="758"/>
      <c r="E65" s="758"/>
      <c r="F65" s="759"/>
      <c r="G65" s="72"/>
      <c r="H65" s="73"/>
      <c r="I65" s="72"/>
      <c r="J65" s="72"/>
    </row>
    <row r="66" spans="1:12" ht="15">
      <c r="A66" s="74"/>
      <c r="B66" s="117"/>
      <c r="C66" s="99"/>
      <c r="D66" s="98"/>
      <c r="E66" s="99"/>
      <c r="F66" s="81"/>
      <c r="G66" s="99"/>
      <c r="H66" s="99"/>
      <c r="I66" s="91"/>
      <c r="J66" s="78"/>
      <c r="L66" s="79"/>
    </row>
    <row r="67" spans="1:12" ht="15">
      <c r="A67" s="118"/>
      <c r="B67" s="119"/>
      <c r="C67" s="120"/>
      <c r="D67" s="121"/>
      <c r="E67" s="120"/>
      <c r="F67" s="122"/>
      <c r="G67" s="120"/>
      <c r="H67" s="120"/>
      <c r="I67" s="123"/>
      <c r="J67" s="123"/>
      <c r="L67" s="79"/>
    </row>
    <row r="68" spans="1:12" ht="15">
      <c r="A68" s="760" t="s">
        <v>122</v>
      </c>
      <c r="B68" s="761"/>
      <c r="C68" s="761"/>
      <c r="D68" s="761"/>
      <c r="E68" s="761"/>
      <c r="F68" s="761"/>
      <c r="G68" s="761"/>
      <c r="H68" s="761"/>
      <c r="I68" s="761"/>
      <c r="J68" s="762"/>
      <c r="L68" s="79"/>
    </row>
    <row r="69" spans="1:12" ht="15">
      <c r="A69" s="751" t="s">
        <v>123</v>
      </c>
      <c r="B69" s="752"/>
      <c r="C69" s="752"/>
      <c r="D69" s="752"/>
      <c r="E69" s="752"/>
      <c r="F69" s="752"/>
      <c r="G69" s="752"/>
      <c r="H69" s="752"/>
      <c r="I69" s="124"/>
      <c r="J69" s="243"/>
      <c r="L69" s="79"/>
    </row>
    <row r="70" spans="1:12" ht="15">
      <c r="A70" s="288" t="s">
        <v>124</v>
      </c>
      <c r="B70" s="81"/>
      <c r="C70" s="90"/>
      <c r="D70" s="77"/>
      <c r="E70" s="76"/>
      <c r="F70" s="75"/>
      <c r="G70" s="76"/>
      <c r="H70" s="76"/>
      <c r="I70" s="78"/>
      <c r="J70" s="100"/>
      <c r="L70" s="79"/>
    </row>
    <row r="71" spans="1:12" ht="15">
      <c r="A71" s="83" t="s">
        <v>378</v>
      </c>
      <c r="B71" s="81">
        <v>13.7</v>
      </c>
      <c r="C71" s="90">
        <v>11.7</v>
      </c>
      <c r="D71" s="77"/>
      <c r="E71" s="76"/>
      <c r="F71" s="75">
        <f>PRODUCT(B71:E71)</f>
        <v>160.29</v>
      </c>
      <c r="G71" s="76"/>
      <c r="H71" s="76" t="s">
        <v>5</v>
      </c>
      <c r="I71" s="78">
        <f>F71*1.1</f>
        <v>176.31900000000002</v>
      </c>
      <c r="J71" s="127">
        <f>I71</f>
        <v>176.31900000000002</v>
      </c>
      <c r="L71" s="79"/>
    </row>
    <row r="72" spans="1:12" ht="15">
      <c r="A72" s="83" t="s">
        <v>379</v>
      </c>
      <c r="B72" s="81">
        <v>13.6</v>
      </c>
      <c r="C72" s="90">
        <v>12.25</v>
      </c>
      <c r="D72" s="77"/>
      <c r="E72" s="76"/>
      <c r="F72" s="75">
        <f>PRODUCT(B72:E72)</f>
        <v>166.6</v>
      </c>
      <c r="G72" s="76"/>
      <c r="H72" s="76" t="s">
        <v>5</v>
      </c>
      <c r="I72" s="78">
        <f t="shared" ref="I72:I73" si="7">F72*1.1</f>
        <v>183.26000000000002</v>
      </c>
      <c r="J72" s="127">
        <f t="shared" ref="J72:J73" si="8">I72</f>
        <v>183.26000000000002</v>
      </c>
      <c r="L72" s="79"/>
    </row>
    <row r="73" spans="1:12" ht="15">
      <c r="A73" s="83" t="s">
        <v>386</v>
      </c>
      <c r="B73" s="81">
        <v>7.9</v>
      </c>
      <c r="C73" s="90">
        <v>12.8</v>
      </c>
      <c r="D73" s="77"/>
      <c r="E73" s="76"/>
      <c r="F73" s="75">
        <f>PRODUCT(B73:E73)</f>
        <v>101.12</v>
      </c>
      <c r="G73" s="76"/>
      <c r="H73" s="76" t="s">
        <v>5</v>
      </c>
      <c r="I73" s="78">
        <f t="shared" si="7"/>
        <v>111.23200000000001</v>
      </c>
      <c r="J73" s="127">
        <f t="shared" si="8"/>
        <v>111.23200000000001</v>
      </c>
      <c r="L73" s="79"/>
    </row>
    <row r="74" spans="1:12" ht="15">
      <c r="A74" s="288"/>
      <c r="B74" s="81"/>
      <c r="C74" s="90"/>
      <c r="D74" s="77"/>
      <c r="E74" s="76"/>
      <c r="F74" s="75"/>
      <c r="G74" s="76"/>
      <c r="H74" s="76"/>
      <c r="I74" s="78"/>
      <c r="J74" s="102">
        <f>SUM(J71:J73)</f>
        <v>470.81100000000009</v>
      </c>
      <c r="L74" s="79"/>
    </row>
    <row r="75" spans="1:12" ht="15">
      <c r="A75" s="83"/>
      <c r="B75" s="81"/>
      <c r="C75" s="90"/>
      <c r="D75" s="98"/>
      <c r="E75" s="99"/>
      <c r="F75" s="81"/>
      <c r="G75" s="99"/>
      <c r="H75" s="99"/>
      <c r="I75" s="78"/>
      <c r="J75" s="78"/>
      <c r="L75" s="79"/>
    </row>
    <row r="76" spans="1:12" ht="15">
      <c r="A76" s="288" t="s">
        <v>125</v>
      </c>
      <c r="B76" s="87"/>
      <c r="C76" s="90"/>
      <c r="D76" s="89"/>
      <c r="E76" s="90"/>
      <c r="F76" s="81"/>
      <c r="G76" s="90"/>
      <c r="H76" s="90"/>
      <c r="I76" s="78"/>
      <c r="J76" s="78"/>
      <c r="L76" s="79"/>
    </row>
    <row r="77" spans="1:12" ht="15">
      <c r="A77" s="83"/>
      <c r="B77" s="87"/>
      <c r="C77" s="90"/>
      <c r="D77" s="89"/>
      <c r="E77" s="90"/>
      <c r="F77" s="87"/>
      <c r="G77" s="90"/>
      <c r="H77" s="128"/>
      <c r="I77" s="78"/>
      <c r="J77" s="78"/>
      <c r="L77" s="79"/>
    </row>
    <row r="78" spans="1:12" ht="15">
      <c r="A78" s="83" t="s">
        <v>126</v>
      </c>
      <c r="B78" s="87"/>
      <c r="C78" s="90"/>
      <c r="D78" s="89"/>
      <c r="E78" s="90"/>
      <c r="F78" s="87"/>
      <c r="G78" s="90"/>
      <c r="H78" s="128"/>
      <c r="I78" s="78"/>
      <c r="J78" s="78"/>
      <c r="L78" s="79"/>
    </row>
    <row r="79" spans="1:12" ht="15">
      <c r="A79" s="83"/>
      <c r="B79" s="87"/>
      <c r="C79" s="90"/>
      <c r="D79" s="89"/>
      <c r="E79" s="90"/>
      <c r="F79" s="87"/>
      <c r="G79" s="90"/>
      <c r="H79" s="76"/>
      <c r="I79" s="78"/>
      <c r="J79" s="78"/>
      <c r="L79" s="79"/>
    </row>
    <row r="80" spans="1:12" ht="15">
      <c r="A80" s="83"/>
      <c r="B80" s="87"/>
      <c r="C80" s="90"/>
      <c r="D80" s="89"/>
      <c r="E80" s="90"/>
      <c r="F80" s="87"/>
      <c r="G80" s="90"/>
      <c r="H80" s="76"/>
      <c r="I80" s="78"/>
      <c r="J80" s="78"/>
      <c r="L80" s="79"/>
    </row>
    <row r="81" spans="1:12" ht="15">
      <c r="A81" s="751" t="s">
        <v>127</v>
      </c>
      <c r="B81" s="752"/>
      <c r="C81" s="752"/>
      <c r="D81" s="752"/>
      <c r="E81" s="752"/>
      <c r="F81" s="752"/>
      <c r="G81" s="752"/>
      <c r="H81" s="752"/>
      <c r="I81" s="752"/>
      <c r="J81" s="753"/>
      <c r="L81" s="79"/>
    </row>
    <row r="82" spans="1:12" ht="15">
      <c r="A82" s="129"/>
      <c r="B82" s="130"/>
      <c r="C82" s="76"/>
      <c r="D82" s="77"/>
      <c r="E82" s="76"/>
      <c r="F82" s="75"/>
      <c r="G82" s="76"/>
      <c r="H82" s="76"/>
      <c r="I82" s="78"/>
      <c r="J82" s="78"/>
      <c r="L82" s="79"/>
    </row>
    <row r="83" spans="1:12" ht="13.5" customHeight="1">
      <c r="A83" s="289" t="s">
        <v>387</v>
      </c>
      <c r="B83" s="130">
        <v>6</v>
      </c>
      <c r="C83" s="76"/>
      <c r="D83" s="77"/>
      <c r="E83" s="76">
        <v>89</v>
      </c>
      <c r="F83" s="75">
        <f>B83*E83</f>
        <v>534</v>
      </c>
      <c r="G83" s="78">
        <f>F83</f>
        <v>534</v>
      </c>
      <c r="H83" s="76" t="s">
        <v>5</v>
      </c>
      <c r="I83" s="78"/>
      <c r="J83" s="102">
        <f t="shared" ref="J83" si="9">F83</f>
        <v>534</v>
      </c>
      <c r="L83" s="79"/>
    </row>
    <row r="84" spans="1:12" ht="15">
      <c r="A84" s="129"/>
      <c r="B84" s="130"/>
      <c r="C84" s="76"/>
      <c r="D84" s="77"/>
      <c r="E84" s="76"/>
      <c r="F84" s="75"/>
      <c r="G84" s="76"/>
      <c r="H84" s="76"/>
      <c r="I84" s="78"/>
      <c r="J84" s="78"/>
      <c r="L84" s="79"/>
    </row>
    <row r="85" spans="1:12" ht="15">
      <c r="A85" s="289"/>
      <c r="B85" s="88"/>
      <c r="C85" s="90"/>
      <c r="D85" s="89"/>
      <c r="E85" s="90"/>
      <c r="F85" s="87"/>
      <c r="G85" s="90"/>
      <c r="H85" s="90"/>
      <c r="I85" s="101"/>
      <c r="J85" s="133"/>
      <c r="L85" s="79"/>
    </row>
    <row r="86" spans="1:12" ht="15">
      <c r="A86" s="751" t="s">
        <v>128</v>
      </c>
      <c r="B86" s="752"/>
      <c r="C86" s="752"/>
      <c r="D86" s="752"/>
      <c r="E86" s="752"/>
      <c r="F86" s="752"/>
      <c r="G86" s="752"/>
      <c r="H86" s="752"/>
      <c r="I86" s="752"/>
      <c r="J86" s="753"/>
      <c r="L86" s="79"/>
    </row>
    <row r="87" spans="1:12" ht="15">
      <c r="A87" s="129" t="s">
        <v>6</v>
      </c>
      <c r="B87" s="130">
        <v>179.5</v>
      </c>
      <c r="C87" s="76"/>
      <c r="D87" s="77"/>
      <c r="E87" s="76"/>
      <c r="F87" s="75"/>
      <c r="G87" s="78">
        <f>B87</f>
        <v>179.5</v>
      </c>
      <c r="H87" s="76" t="s">
        <v>5</v>
      </c>
      <c r="I87" s="78">
        <f>G87*1.1</f>
        <v>197.45000000000002</v>
      </c>
      <c r="J87" s="127">
        <f>I87*1.1</f>
        <v>217.19500000000005</v>
      </c>
      <c r="L87" s="79"/>
    </row>
    <row r="88" spans="1:12" ht="15">
      <c r="A88" s="129" t="s">
        <v>7</v>
      </c>
      <c r="B88" s="130">
        <v>165.7</v>
      </c>
      <c r="C88" s="76"/>
      <c r="D88" s="77"/>
      <c r="E88" s="76"/>
      <c r="F88" s="75"/>
      <c r="G88" s="78">
        <f>B88</f>
        <v>165.7</v>
      </c>
      <c r="H88" s="76" t="s">
        <v>5</v>
      </c>
      <c r="I88" s="78">
        <f>G88*1.1</f>
        <v>182.27</v>
      </c>
      <c r="J88" s="127">
        <f>I88*1.1</f>
        <v>200.49700000000001</v>
      </c>
      <c r="L88" s="79"/>
    </row>
    <row r="89" spans="1:12" ht="15">
      <c r="A89" s="83"/>
      <c r="B89" s="117"/>
      <c r="C89" s="99"/>
      <c r="D89" s="98"/>
      <c r="E89" s="99"/>
      <c r="F89" s="81"/>
      <c r="G89" s="99"/>
      <c r="H89" s="99"/>
      <c r="I89" s="91"/>
      <c r="J89" s="132">
        <f>SUM(J87:J88)</f>
        <v>417.69200000000006</v>
      </c>
      <c r="L89" s="79"/>
    </row>
    <row r="90" spans="1:12" ht="15">
      <c r="A90" s="83"/>
      <c r="B90" s="117"/>
      <c r="C90" s="99"/>
      <c r="D90" s="98"/>
      <c r="E90" s="99"/>
      <c r="F90" s="81"/>
      <c r="G90" s="99"/>
      <c r="H90" s="99"/>
      <c r="I90" s="91"/>
      <c r="J90" s="92"/>
      <c r="L90" s="79"/>
    </row>
    <row r="91" spans="1:12" ht="15">
      <c r="A91" s="757" t="s">
        <v>388</v>
      </c>
      <c r="B91" s="758"/>
      <c r="C91" s="758"/>
      <c r="D91" s="758"/>
      <c r="E91" s="758"/>
      <c r="F91" s="759"/>
      <c r="G91" s="72"/>
      <c r="H91" s="73"/>
      <c r="I91" s="72"/>
      <c r="J91" s="72"/>
      <c r="L91" s="79"/>
    </row>
    <row r="92" spans="1:12" ht="15">
      <c r="A92" s="134" t="s">
        <v>389</v>
      </c>
      <c r="B92" s="88">
        <v>20</v>
      </c>
      <c r="C92" s="89"/>
      <c r="D92" s="135"/>
      <c r="E92" s="90">
        <v>9</v>
      </c>
      <c r="F92" s="81">
        <f>B92*E92</f>
        <v>180</v>
      </c>
      <c r="G92" s="91"/>
      <c r="H92" s="99" t="s">
        <v>5</v>
      </c>
      <c r="I92" s="91"/>
      <c r="J92" s="290">
        <f>F92</f>
        <v>180</v>
      </c>
      <c r="L92" s="79"/>
    </row>
    <row r="93" spans="1:12" ht="15">
      <c r="A93" s="134"/>
      <c r="B93" s="88"/>
      <c r="C93" s="89"/>
      <c r="D93" s="135"/>
      <c r="E93" s="90"/>
      <c r="F93" s="81"/>
      <c r="G93" s="91"/>
      <c r="H93" s="99"/>
      <c r="I93" s="91"/>
      <c r="J93" s="290"/>
    </row>
    <row r="94" spans="1:12" ht="15">
      <c r="A94" s="134"/>
      <c r="B94" s="88"/>
      <c r="C94" s="89"/>
      <c r="D94" s="135"/>
      <c r="E94" s="90"/>
      <c r="F94" s="87"/>
      <c r="G94" s="101"/>
      <c r="H94" s="90"/>
      <c r="I94" s="101"/>
      <c r="J94" s="137">
        <f>SUM(J92:J93)</f>
        <v>180</v>
      </c>
    </row>
    <row r="95" spans="1:12" ht="15">
      <c r="A95" s="86"/>
      <c r="B95" s="88"/>
      <c r="C95" s="89"/>
      <c r="D95" s="135"/>
      <c r="E95" s="90"/>
      <c r="F95" s="87"/>
      <c r="G95" s="101"/>
      <c r="H95" s="90"/>
      <c r="I95" s="101"/>
      <c r="J95" s="101"/>
    </row>
    <row r="96" spans="1:12" ht="15">
      <c r="A96" s="751" t="s">
        <v>390</v>
      </c>
      <c r="B96" s="752"/>
      <c r="C96" s="752"/>
      <c r="D96" s="752"/>
      <c r="E96" s="752"/>
      <c r="F96" s="752"/>
      <c r="G96" s="752"/>
      <c r="H96" s="752"/>
      <c r="I96" s="752"/>
      <c r="J96" s="753"/>
    </row>
    <row r="97" spans="1:12" ht="15">
      <c r="A97" s="238"/>
      <c r="B97" s="239"/>
      <c r="C97" s="239"/>
      <c r="D97" s="239"/>
      <c r="E97" s="239"/>
      <c r="F97" s="239"/>
      <c r="G97" s="239"/>
      <c r="H97" s="239"/>
      <c r="I97" s="239"/>
      <c r="J97" s="240"/>
    </row>
    <row r="98" spans="1:12" ht="15">
      <c r="A98" s="141"/>
      <c r="B98" s="142">
        <v>100.5</v>
      </c>
      <c r="C98" s="143"/>
      <c r="D98" s="144"/>
      <c r="E98" s="143"/>
      <c r="F98" s="145">
        <f>B98</f>
        <v>100.5</v>
      </c>
      <c r="G98" s="143"/>
      <c r="H98" s="143" t="s">
        <v>5</v>
      </c>
      <c r="I98" s="146">
        <f>F98*1.1</f>
        <v>110.55000000000001</v>
      </c>
      <c r="J98" s="147">
        <f>I98</f>
        <v>110.55000000000001</v>
      </c>
    </row>
    <row r="100" spans="1:12" ht="15">
      <c r="A100" s="751" t="s">
        <v>391</v>
      </c>
      <c r="B100" s="752"/>
      <c r="C100" s="752"/>
      <c r="D100" s="752"/>
      <c r="E100" s="752"/>
      <c r="F100" s="752"/>
      <c r="G100" s="752"/>
      <c r="H100" s="752"/>
      <c r="I100" s="752"/>
      <c r="J100" s="753"/>
    </row>
    <row r="101" spans="1:12" ht="15">
      <c r="A101" s="148"/>
      <c r="B101" s="81"/>
      <c r="C101" s="90"/>
      <c r="D101" s="81"/>
      <c r="E101" s="90"/>
      <c r="F101" s="81"/>
      <c r="G101" s="91"/>
      <c r="H101" s="99"/>
      <c r="I101" s="91"/>
      <c r="J101" s="91"/>
    </row>
    <row r="102" spans="1:12" ht="15">
      <c r="A102" s="86" t="s">
        <v>378</v>
      </c>
      <c r="B102" s="87">
        <v>13.2</v>
      </c>
      <c r="C102" s="90">
        <v>8.5</v>
      </c>
      <c r="D102" s="87"/>
      <c r="E102" s="90"/>
      <c r="F102" s="87">
        <f>PRODUCT(B102:E102)</f>
        <v>112.19999999999999</v>
      </c>
      <c r="G102" s="101">
        <f>F102</f>
        <v>112.19999999999999</v>
      </c>
      <c r="H102" s="76" t="s">
        <v>100</v>
      </c>
      <c r="I102" s="78">
        <f>G102*1.1</f>
        <v>123.42</v>
      </c>
      <c r="J102" s="127">
        <f>I102</f>
        <v>123.42</v>
      </c>
    </row>
    <row r="103" spans="1:12" ht="15">
      <c r="A103" s="86" t="s">
        <v>379</v>
      </c>
      <c r="B103" s="87">
        <v>13.5</v>
      </c>
      <c r="C103" s="90">
        <v>9.75</v>
      </c>
      <c r="D103" s="87"/>
      <c r="E103" s="90"/>
      <c r="F103" s="87">
        <f>PRODUCT(B103:E103)</f>
        <v>131.625</v>
      </c>
      <c r="G103" s="101">
        <f>F103</f>
        <v>131.625</v>
      </c>
      <c r="H103" s="76" t="s">
        <v>100</v>
      </c>
      <c r="I103" s="78">
        <f>G103*1.1</f>
        <v>144.78750000000002</v>
      </c>
      <c r="J103" s="127">
        <f>I103</f>
        <v>144.78750000000002</v>
      </c>
    </row>
    <row r="104" spans="1:12" ht="15">
      <c r="A104" s="86" t="s">
        <v>380</v>
      </c>
      <c r="B104" s="87">
        <v>10.8</v>
      </c>
      <c r="C104" s="90">
        <v>12.45</v>
      </c>
      <c r="D104" s="87"/>
      <c r="E104" s="90"/>
      <c r="F104" s="87">
        <f>PRODUCT(B104:E104)</f>
        <v>134.46</v>
      </c>
      <c r="G104" s="101">
        <f>F104</f>
        <v>134.46</v>
      </c>
      <c r="H104" s="76" t="s">
        <v>100</v>
      </c>
      <c r="I104" s="78">
        <f>G104*1.1</f>
        <v>147.90600000000003</v>
      </c>
      <c r="J104" s="127">
        <f>I104</f>
        <v>147.90600000000003</v>
      </c>
    </row>
    <row r="105" spans="1:12" ht="15">
      <c r="A105" s="74" t="s">
        <v>381</v>
      </c>
      <c r="B105" s="87">
        <v>8.1999999999999993</v>
      </c>
      <c r="C105" s="90">
        <v>13.9</v>
      </c>
      <c r="D105" s="87"/>
      <c r="E105" s="90"/>
      <c r="F105" s="87">
        <f>PRODUCT(B105:E105)</f>
        <v>113.97999999999999</v>
      </c>
      <c r="G105" s="101">
        <f>F105</f>
        <v>113.97999999999999</v>
      </c>
      <c r="H105" s="76" t="s">
        <v>100</v>
      </c>
      <c r="I105" s="78">
        <f>G105*1.1</f>
        <v>125.378</v>
      </c>
      <c r="J105" s="127">
        <f>I105</f>
        <v>125.378</v>
      </c>
      <c r="L105" s="67" t="s">
        <v>382</v>
      </c>
    </row>
    <row r="106" spans="1:12" ht="15">
      <c r="A106" s="74"/>
      <c r="B106" s="87"/>
      <c r="C106" s="90"/>
      <c r="D106" s="87"/>
      <c r="E106" s="90"/>
      <c r="F106" s="87"/>
      <c r="G106" s="101"/>
      <c r="H106" s="90"/>
      <c r="I106" s="101"/>
      <c r="J106" s="137">
        <f>SUM(J102:J105)</f>
        <v>541.49150000000009</v>
      </c>
    </row>
    <row r="107" spans="1:12" ht="15">
      <c r="A107" s="74"/>
      <c r="B107" s="87"/>
      <c r="C107" s="90"/>
      <c r="D107" s="87"/>
      <c r="E107" s="90"/>
      <c r="F107" s="87"/>
      <c r="G107" s="101"/>
      <c r="H107" s="90"/>
      <c r="I107" s="101"/>
      <c r="J107" s="101"/>
    </row>
    <row r="108" spans="1:12" ht="15">
      <c r="A108" s="736" t="s">
        <v>130</v>
      </c>
      <c r="B108" s="737"/>
      <c r="C108" s="737"/>
      <c r="D108" s="737"/>
      <c r="E108" s="737"/>
      <c r="F108" s="737"/>
      <c r="G108" s="737"/>
      <c r="H108" s="737"/>
      <c r="I108" s="737"/>
      <c r="J108" s="738"/>
    </row>
    <row r="109" spans="1:12" ht="15">
      <c r="A109" s="83"/>
      <c r="B109" s="81"/>
      <c r="C109" s="90"/>
      <c r="D109" s="81"/>
      <c r="E109" s="90"/>
      <c r="F109" s="81"/>
      <c r="G109" s="91"/>
      <c r="H109" s="99"/>
      <c r="I109" s="91"/>
      <c r="J109" s="91"/>
    </row>
    <row r="110" spans="1:12" ht="15">
      <c r="A110" s="83"/>
      <c r="B110" s="87"/>
      <c r="C110" s="90"/>
      <c r="D110" s="87"/>
      <c r="E110" s="90"/>
      <c r="F110" s="87"/>
      <c r="G110" s="101"/>
      <c r="H110" s="90"/>
      <c r="I110" s="101"/>
      <c r="J110" s="149"/>
      <c r="L110" s="67" t="s">
        <v>131</v>
      </c>
    </row>
  </sheetData>
  <mergeCells count="29">
    <mergeCell ref="A41:J41"/>
    <mergeCell ref="A1:J1"/>
    <mergeCell ref="A3:J3"/>
    <mergeCell ref="A4:F4"/>
    <mergeCell ref="A12:J12"/>
    <mergeCell ref="A13:F13"/>
    <mergeCell ref="A14:F14"/>
    <mergeCell ref="A15:F15"/>
    <mergeCell ref="A23:F23"/>
    <mergeCell ref="A24:F24"/>
    <mergeCell ref="A25:F25"/>
    <mergeCell ref="A33:J33"/>
    <mergeCell ref="A81:J81"/>
    <mergeCell ref="A42:J42"/>
    <mergeCell ref="A43:F43"/>
    <mergeCell ref="A46:F46"/>
    <mergeCell ref="A47:J47"/>
    <mergeCell ref="A55:F55"/>
    <mergeCell ref="A58:F58"/>
    <mergeCell ref="A61:F61"/>
    <mergeCell ref="A64:J64"/>
    <mergeCell ref="A65:F65"/>
    <mergeCell ref="A68:J68"/>
    <mergeCell ref="A69:H69"/>
    <mergeCell ref="A86:J86"/>
    <mergeCell ref="A91:F91"/>
    <mergeCell ref="A96:J96"/>
    <mergeCell ref="A100:J100"/>
    <mergeCell ref="A108:J108"/>
  </mergeCells>
  <pageMargins left="0.7" right="0.7" top="0.75" bottom="0.75" header="0.3" footer="0.3"/>
  <pageSetup paperSize="9" scale="63" orientation="portrait" r:id="rId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18941-7DF7-440D-A5E3-6C208078B5B8}">
  <dimension ref="B3:W251"/>
  <sheetViews>
    <sheetView zoomScale="70" zoomScaleNormal="70" workbookViewId="0">
      <pane ySplit="1" topLeftCell="A102" activePane="bottomLeft" state="frozen"/>
      <selection activeCell="A12" sqref="A12:J12"/>
      <selection pane="bottomLeft" activeCell="A12" sqref="A12:J12"/>
    </sheetView>
  </sheetViews>
  <sheetFormatPr defaultColWidth="9.109375" defaultRowHeight="14.4"/>
  <cols>
    <col min="1" max="1" width="3.88671875" style="153" customWidth="1"/>
    <col min="2" max="2" width="20.44140625" style="153" customWidth="1"/>
    <col min="3" max="3" width="17.109375" style="153" customWidth="1"/>
    <col min="4" max="4" width="14.44140625" style="153" customWidth="1"/>
    <col min="5" max="5" width="15.109375" style="153" customWidth="1"/>
    <col min="6" max="10" width="14.44140625" style="153" customWidth="1"/>
    <col min="11" max="11" width="19.88671875" style="153" customWidth="1"/>
    <col min="12" max="12" width="12.109375" style="153" customWidth="1"/>
    <col min="13" max="13" width="14" style="153" customWidth="1"/>
    <col min="14" max="17" width="9.109375" style="153"/>
    <col min="18" max="18" width="11.88671875" style="153" customWidth="1"/>
    <col min="19" max="19" width="12.88671875" style="153" customWidth="1"/>
    <col min="20" max="20" width="9.109375" style="153"/>
    <col min="21" max="21" width="11.109375" style="153" bestFit="1" customWidth="1"/>
    <col min="22" max="16384" width="9.109375" style="153"/>
  </cols>
  <sheetData>
    <row r="3" spans="2:23">
      <c r="B3" s="150" t="s">
        <v>132</v>
      </c>
      <c r="C3" s="150" t="s">
        <v>133</v>
      </c>
      <c r="D3" s="150" t="s">
        <v>134</v>
      </c>
      <c r="E3" s="150" t="s">
        <v>135</v>
      </c>
      <c r="F3" s="150" t="s">
        <v>136</v>
      </c>
      <c r="G3" s="150"/>
      <c r="H3" s="765" t="s">
        <v>137</v>
      </c>
      <c r="I3" s="765"/>
      <c r="J3" s="765"/>
      <c r="K3" s="150" t="s">
        <v>138</v>
      </c>
      <c r="L3" s="151" t="s">
        <v>139</v>
      </c>
      <c r="M3" s="152"/>
    </row>
    <row r="4" spans="2:23" ht="19.5" customHeight="1">
      <c r="B4" s="154"/>
      <c r="C4" s="154"/>
      <c r="D4" s="154"/>
      <c r="E4" s="154"/>
      <c r="F4" s="155" t="s">
        <v>135</v>
      </c>
      <c r="G4" s="155" t="s">
        <v>140</v>
      </c>
      <c r="H4" s="155" t="s">
        <v>141</v>
      </c>
      <c r="I4" s="155" t="s">
        <v>140</v>
      </c>
      <c r="J4" s="155" t="s">
        <v>142</v>
      </c>
      <c r="K4" s="155" t="s">
        <v>143</v>
      </c>
      <c r="L4" s="156" t="s">
        <v>144</v>
      </c>
      <c r="M4" s="156" t="s">
        <v>145</v>
      </c>
    </row>
    <row r="5" spans="2:23">
      <c r="B5" s="157"/>
      <c r="C5" s="157"/>
      <c r="D5" s="157"/>
      <c r="E5" s="157"/>
      <c r="F5" s="158"/>
      <c r="G5" s="158"/>
      <c r="H5" s="158"/>
      <c r="I5" s="158"/>
      <c r="J5" s="158"/>
      <c r="K5" s="159"/>
      <c r="L5" s="159"/>
      <c r="M5" s="159"/>
    </row>
    <row r="6" spans="2:23" ht="18">
      <c r="B6" s="159" t="s">
        <v>146</v>
      </c>
      <c r="C6" s="160">
        <v>0.3</v>
      </c>
      <c r="D6" s="160">
        <v>0.3</v>
      </c>
      <c r="E6" s="160">
        <v>0.1</v>
      </c>
      <c r="F6" s="160">
        <v>0.05</v>
      </c>
      <c r="G6" s="160">
        <v>10</v>
      </c>
      <c r="H6" s="160">
        <v>0.2</v>
      </c>
      <c r="I6" s="160">
        <v>10</v>
      </c>
      <c r="J6" s="160">
        <v>0.25</v>
      </c>
      <c r="K6" s="160">
        <v>3</v>
      </c>
      <c r="L6" s="159"/>
      <c r="M6" s="159"/>
      <c r="T6" s="766" t="s">
        <v>147</v>
      </c>
      <c r="U6" s="766"/>
    </row>
    <row r="7" spans="2:23">
      <c r="B7" s="159"/>
      <c r="C7" s="160"/>
      <c r="D7" s="160"/>
      <c r="E7" s="160"/>
      <c r="F7" s="160"/>
      <c r="G7" s="160"/>
      <c r="H7" s="159"/>
      <c r="I7" s="159"/>
      <c r="J7" s="159"/>
      <c r="K7" s="160"/>
      <c r="L7" s="159"/>
      <c r="M7" s="159"/>
      <c r="S7" s="161"/>
      <c r="V7" s="161"/>
      <c r="W7" s="767" t="s">
        <v>6</v>
      </c>
    </row>
    <row r="8" spans="2:23">
      <c r="B8" s="159"/>
      <c r="C8" s="160"/>
      <c r="D8" s="160"/>
      <c r="E8" s="160"/>
      <c r="F8" s="160"/>
      <c r="G8" s="160"/>
      <c r="H8" s="159"/>
      <c r="I8" s="159"/>
      <c r="J8" s="159"/>
      <c r="K8" s="160"/>
      <c r="L8" s="159"/>
      <c r="M8" s="159"/>
      <c r="S8" s="161"/>
      <c r="V8" s="161"/>
      <c r="W8" s="767"/>
    </row>
    <row r="9" spans="2:23">
      <c r="B9" s="159" t="s">
        <v>148</v>
      </c>
      <c r="C9" s="160">
        <v>0.45</v>
      </c>
      <c r="D9" s="160">
        <v>0.45</v>
      </c>
      <c r="E9" s="160">
        <v>0.1</v>
      </c>
      <c r="F9" s="160">
        <v>0.05</v>
      </c>
      <c r="G9" s="160">
        <v>10</v>
      </c>
      <c r="H9" s="160">
        <v>0.2</v>
      </c>
      <c r="I9" s="160">
        <v>10</v>
      </c>
      <c r="J9" s="160">
        <v>0.25</v>
      </c>
      <c r="K9" s="160">
        <v>3</v>
      </c>
      <c r="L9" s="159"/>
      <c r="M9" s="159"/>
      <c r="S9" s="161"/>
      <c r="V9" s="161"/>
      <c r="W9" s="767"/>
    </row>
    <row r="10" spans="2:23">
      <c r="B10" s="159"/>
      <c r="C10" s="160"/>
      <c r="D10" s="160"/>
      <c r="E10" s="160"/>
      <c r="F10" s="160"/>
      <c r="G10" s="160"/>
      <c r="H10" s="160"/>
      <c r="I10" s="160"/>
      <c r="J10" s="160"/>
      <c r="K10" s="160"/>
      <c r="L10" s="159"/>
      <c r="M10" s="159"/>
      <c r="S10" s="161"/>
      <c r="V10" s="161"/>
      <c r="W10" s="767"/>
    </row>
    <row r="11" spans="2:23">
      <c r="B11" s="159"/>
      <c r="C11" s="160"/>
      <c r="D11" s="160"/>
      <c r="E11" s="160"/>
      <c r="F11" s="160"/>
      <c r="G11" s="160"/>
      <c r="H11" s="159"/>
      <c r="I11" s="159"/>
      <c r="J11" s="159"/>
      <c r="K11" s="160"/>
      <c r="L11" s="159"/>
      <c r="M11" s="159"/>
      <c r="S11" s="161"/>
      <c r="V11" s="161"/>
      <c r="W11" s="767"/>
    </row>
    <row r="12" spans="2:23">
      <c r="B12" s="159" t="s">
        <v>149</v>
      </c>
      <c r="C12" s="160">
        <v>0.6</v>
      </c>
      <c r="D12" s="160">
        <v>0.6</v>
      </c>
      <c r="E12" s="160">
        <v>0.1</v>
      </c>
      <c r="F12" s="160">
        <v>0.05</v>
      </c>
      <c r="G12" s="160">
        <v>10</v>
      </c>
      <c r="H12" s="159">
        <v>0.2</v>
      </c>
      <c r="I12" s="159">
        <v>10</v>
      </c>
      <c r="J12" s="159">
        <v>0.25</v>
      </c>
      <c r="K12" s="160">
        <v>3</v>
      </c>
      <c r="L12" s="159"/>
      <c r="M12" s="159"/>
      <c r="S12" s="161"/>
      <c r="V12" s="161"/>
      <c r="W12" s="767"/>
    </row>
    <row r="13" spans="2:23">
      <c r="B13" s="159"/>
      <c r="C13" s="160"/>
      <c r="D13" s="160"/>
      <c r="E13" s="160"/>
      <c r="F13" s="160"/>
      <c r="G13" s="160"/>
      <c r="H13" s="159"/>
      <c r="I13" s="159"/>
      <c r="J13" s="159"/>
      <c r="K13" s="160"/>
      <c r="L13" s="159"/>
      <c r="M13" s="159"/>
      <c r="S13" s="161"/>
      <c r="V13" s="161"/>
      <c r="W13" s="767"/>
    </row>
    <row r="14" spans="2:23">
      <c r="B14" s="159"/>
      <c r="C14" s="160"/>
      <c r="D14" s="160"/>
      <c r="E14" s="160"/>
      <c r="F14" s="160"/>
      <c r="G14" s="160"/>
      <c r="H14" s="159"/>
      <c r="I14" s="159"/>
      <c r="J14" s="159"/>
      <c r="K14" s="160"/>
      <c r="L14" s="159"/>
      <c r="M14" s="159"/>
      <c r="S14" s="161"/>
      <c r="V14" s="161"/>
      <c r="W14" s="767"/>
    </row>
    <row r="15" spans="2:23">
      <c r="B15" s="159" t="s">
        <v>150</v>
      </c>
      <c r="C15" s="160">
        <v>0.75</v>
      </c>
      <c r="D15" s="160">
        <v>0.75</v>
      </c>
      <c r="E15" s="162">
        <v>0.125</v>
      </c>
      <c r="F15" s="160">
        <v>0.05</v>
      </c>
      <c r="G15" s="160">
        <v>10</v>
      </c>
      <c r="H15" s="159">
        <v>0.2</v>
      </c>
      <c r="I15" s="159">
        <v>10</v>
      </c>
      <c r="J15" s="159">
        <v>0.25</v>
      </c>
      <c r="K15" s="160">
        <v>3</v>
      </c>
      <c r="L15" s="159"/>
      <c r="M15" s="159"/>
      <c r="S15" s="161"/>
      <c r="V15" s="161"/>
      <c r="W15" s="767"/>
    </row>
    <row r="16" spans="2:23">
      <c r="B16" s="159"/>
      <c r="C16" s="160"/>
      <c r="D16" s="160"/>
      <c r="E16" s="160"/>
      <c r="F16" s="160"/>
      <c r="G16" s="160"/>
      <c r="H16" s="159"/>
      <c r="I16" s="159"/>
      <c r="J16" s="159"/>
      <c r="K16" s="160"/>
      <c r="L16" s="159"/>
      <c r="M16" s="159"/>
      <c r="S16" s="161"/>
      <c r="V16" s="161"/>
      <c r="W16" s="767"/>
    </row>
    <row r="17" spans="2:23">
      <c r="B17" s="159"/>
      <c r="C17" s="160"/>
      <c r="D17" s="160"/>
      <c r="E17" s="160"/>
      <c r="F17" s="160"/>
      <c r="G17" s="160"/>
      <c r="H17" s="159"/>
      <c r="I17" s="159"/>
      <c r="J17" s="159"/>
      <c r="K17" s="160"/>
      <c r="L17" s="159"/>
      <c r="M17" s="159"/>
      <c r="S17" s="161"/>
      <c r="V17" s="161"/>
      <c r="W17" s="767"/>
    </row>
    <row r="18" spans="2:23">
      <c r="B18" s="163" t="s">
        <v>151</v>
      </c>
      <c r="C18" s="160">
        <v>0.9</v>
      </c>
      <c r="D18" s="160">
        <v>0.9</v>
      </c>
      <c r="E18" s="162">
        <v>0.15</v>
      </c>
      <c r="F18" s="160">
        <v>0.05</v>
      </c>
      <c r="G18" s="160">
        <v>10</v>
      </c>
      <c r="H18" s="159">
        <v>0.17499999999999999</v>
      </c>
      <c r="I18" s="159">
        <v>10</v>
      </c>
      <c r="J18" s="159">
        <v>0.25</v>
      </c>
      <c r="K18" s="160">
        <v>3</v>
      </c>
      <c r="L18" s="159"/>
      <c r="M18" s="159"/>
      <c r="S18" s="161"/>
      <c r="T18" s="161"/>
      <c r="U18" s="161"/>
      <c r="V18" s="161"/>
      <c r="W18" s="767" t="s">
        <v>152</v>
      </c>
    </row>
    <row r="19" spans="2:23">
      <c r="B19" s="159"/>
      <c r="C19" s="160"/>
      <c r="D19" s="160"/>
      <c r="E19" s="160"/>
      <c r="F19" s="160"/>
      <c r="G19" s="160"/>
      <c r="H19" s="159"/>
      <c r="I19" s="159"/>
      <c r="J19" s="159"/>
      <c r="K19" s="160"/>
      <c r="L19" s="159"/>
      <c r="M19" s="159"/>
      <c r="S19" s="161"/>
      <c r="T19" s="161"/>
      <c r="U19" s="161"/>
      <c r="V19" s="161"/>
      <c r="W19" s="767"/>
    </row>
    <row r="20" spans="2:23">
      <c r="B20" s="159"/>
      <c r="C20" s="160"/>
      <c r="D20" s="160"/>
      <c r="E20" s="160"/>
      <c r="F20" s="160"/>
      <c r="G20" s="160"/>
      <c r="H20" s="159"/>
      <c r="I20" s="159"/>
      <c r="J20" s="159"/>
      <c r="K20" s="160"/>
      <c r="L20" s="159"/>
      <c r="M20" s="159"/>
      <c r="S20" s="161"/>
      <c r="T20" s="161"/>
      <c r="U20" s="161"/>
      <c r="V20" s="161"/>
      <c r="W20" s="767"/>
    </row>
    <row r="21" spans="2:23">
      <c r="B21" s="159" t="s">
        <v>153</v>
      </c>
      <c r="C21" s="160">
        <v>1</v>
      </c>
      <c r="D21" s="160">
        <v>1</v>
      </c>
      <c r="E21" s="160">
        <v>0.15</v>
      </c>
      <c r="F21" s="160">
        <v>0.05</v>
      </c>
      <c r="G21" s="160">
        <v>10</v>
      </c>
      <c r="H21" s="159">
        <v>0.17499999999999999</v>
      </c>
      <c r="I21" s="159">
        <v>10</v>
      </c>
      <c r="J21" s="159">
        <v>0.25</v>
      </c>
      <c r="K21" s="160">
        <v>3</v>
      </c>
      <c r="L21" s="159"/>
      <c r="M21" s="159"/>
      <c r="S21" s="164"/>
      <c r="T21" s="164"/>
      <c r="U21" s="164"/>
      <c r="V21" s="164"/>
      <c r="W21" s="153" t="s">
        <v>154</v>
      </c>
    </row>
    <row r="22" spans="2:23">
      <c r="B22" s="159"/>
      <c r="C22" s="160"/>
      <c r="D22" s="160"/>
      <c r="E22" s="160"/>
      <c r="F22" s="160"/>
      <c r="G22" s="160"/>
      <c r="H22" s="159"/>
      <c r="I22" s="159"/>
      <c r="J22" s="159"/>
      <c r="K22" s="160"/>
      <c r="L22" s="159"/>
      <c r="M22" s="159"/>
      <c r="S22" s="164"/>
      <c r="T22" s="164"/>
      <c r="U22" s="164"/>
      <c r="V22" s="164"/>
    </row>
    <row r="23" spans="2:23">
      <c r="B23" s="159"/>
      <c r="C23" s="160"/>
      <c r="D23" s="160"/>
      <c r="E23" s="160"/>
      <c r="F23" s="160"/>
      <c r="G23" s="160"/>
      <c r="H23" s="159"/>
      <c r="I23" s="159"/>
      <c r="J23" s="159"/>
      <c r="K23" s="160"/>
      <c r="L23" s="159"/>
      <c r="M23" s="159"/>
    </row>
    <row r="24" spans="2:23">
      <c r="B24" s="159" t="s">
        <v>155</v>
      </c>
      <c r="C24" s="160">
        <v>0.3</v>
      </c>
      <c r="D24" s="160">
        <v>0.3</v>
      </c>
      <c r="E24" s="160">
        <v>0.1</v>
      </c>
      <c r="F24" s="160">
        <v>0.05</v>
      </c>
      <c r="G24" s="160">
        <v>10</v>
      </c>
      <c r="H24" s="159">
        <v>0.2</v>
      </c>
      <c r="I24" s="159">
        <v>10</v>
      </c>
      <c r="J24" s="159">
        <v>0.25</v>
      </c>
      <c r="K24" s="160">
        <v>3</v>
      </c>
      <c r="L24" s="159"/>
      <c r="M24" s="159"/>
    </row>
    <row r="25" spans="2:23">
      <c r="B25" s="159"/>
      <c r="C25" s="160"/>
      <c r="D25" s="160"/>
      <c r="E25" s="160"/>
      <c r="F25" s="160"/>
      <c r="G25" s="160"/>
      <c r="H25" s="159"/>
      <c r="I25" s="159"/>
      <c r="J25" s="159"/>
      <c r="K25" s="160"/>
      <c r="L25" s="159"/>
      <c r="M25" s="159"/>
    </row>
    <row r="26" spans="2:23">
      <c r="B26" s="159"/>
      <c r="C26" s="160"/>
      <c r="D26" s="160"/>
      <c r="E26" s="160"/>
      <c r="F26" s="160"/>
      <c r="G26" s="160"/>
      <c r="H26" s="159"/>
      <c r="I26" s="159"/>
      <c r="J26" s="159"/>
      <c r="K26" s="160"/>
      <c r="L26" s="159"/>
      <c r="M26" s="159"/>
    </row>
    <row r="27" spans="2:23">
      <c r="B27" s="159" t="s">
        <v>156</v>
      </c>
      <c r="C27" s="160">
        <v>0.6</v>
      </c>
      <c r="D27" s="160">
        <v>0.6</v>
      </c>
      <c r="E27" s="160">
        <v>0.1</v>
      </c>
      <c r="F27" s="160">
        <v>0.05</v>
      </c>
      <c r="G27" s="160">
        <v>10</v>
      </c>
      <c r="H27" s="159">
        <v>0.2</v>
      </c>
      <c r="I27" s="159">
        <v>10</v>
      </c>
      <c r="J27" s="159">
        <v>0.25</v>
      </c>
      <c r="K27" s="160">
        <v>3</v>
      </c>
      <c r="L27" s="159"/>
      <c r="M27" s="159"/>
    </row>
    <row r="28" spans="2:23">
      <c r="B28" s="165"/>
      <c r="C28" s="166"/>
      <c r="D28" s="166"/>
      <c r="E28" s="166"/>
      <c r="F28" s="166"/>
      <c r="G28" s="166"/>
      <c r="H28" s="165"/>
      <c r="I28" s="165"/>
      <c r="J28" s="165"/>
      <c r="K28" s="160"/>
      <c r="L28" s="159"/>
      <c r="M28" s="159"/>
    </row>
    <row r="29" spans="2:23">
      <c r="B29" s="165"/>
      <c r="C29" s="166"/>
      <c r="D29" s="166"/>
      <c r="E29" s="166"/>
      <c r="F29" s="166"/>
      <c r="G29" s="166"/>
      <c r="H29" s="165"/>
      <c r="I29" s="165"/>
      <c r="J29" s="165"/>
      <c r="K29" s="166"/>
      <c r="L29" s="159"/>
      <c r="M29" s="159"/>
    </row>
    <row r="30" spans="2:23">
      <c r="B30" s="167" t="s">
        <v>157</v>
      </c>
      <c r="C30" s="160">
        <v>0.3</v>
      </c>
      <c r="D30" s="160">
        <v>0.3</v>
      </c>
      <c r="E30" s="160">
        <v>0.1</v>
      </c>
      <c r="F30" s="160">
        <v>0.05</v>
      </c>
      <c r="G30" s="160">
        <v>10</v>
      </c>
      <c r="H30" s="159">
        <v>0.25</v>
      </c>
      <c r="I30" s="159">
        <v>10</v>
      </c>
      <c r="J30" s="159">
        <v>0.25</v>
      </c>
      <c r="K30" s="160">
        <v>0</v>
      </c>
      <c r="L30" s="159"/>
      <c r="M30" s="159"/>
    </row>
    <row r="31" spans="2:23">
      <c r="B31" s="165" t="s">
        <v>158</v>
      </c>
      <c r="C31" s="166">
        <v>1.5</v>
      </c>
      <c r="D31" s="166"/>
      <c r="E31" s="166">
        <v>0.1</v>
      </c>
      <c r="F31" s="166"/>
      <c r="G31" s="166">
        <v>10</v>
      </c>
      <c r="H31" s="165">
        <v>0.25</v>
      </c>
      <c r="I31" s="165">
        <v>10</v>
      </c>
      <c r="J31" s="165">
        <v>0.15</v>
      </c>
      <c r="K31" s="160"/>
      <c r="L31" s="159"/>
      <c r="M31" s="159"/>
    </row>
    <row r="32" spans="2:23">
      <c r="B32" s="165"/>
      <c r="C32" s="166"/>
      <c r="D32" s="166"/>
      <c r="E32" s="166"/>
      <c r="F32" s="166"/>
      <c r="G32" s="166"/>
      <c r="H32" s="165"/>
      <c r="I32" s="165"/>
      <c r="J32" s="165"/>
      <c r="K32" s="166"/>
      <c r="L32" s="159"/>
      <c r="M32" s="159"/>
    </row>
    <row r="33" spans="2:13">
      <c r="B33" s="168" t="s">
        <v>159</v>
      </c>
      <c r="C33" s="160">
        <v>0.45</v>
      </c>
      <c r="D33" s="160">
        <v>0.45</v>
      </c>
      <c r="E33" s="160">
        <v>0.1</v>
      </c>
      <c r="F33" s="160">
        <v>0.05</v>
      </c>
      <c r="G33" s="160">
        <v>10</v>
      </c>
      <c r="H33" s="159">
        <v>0.25</v>
      </c>
      <c r="I33" s="159">
        <v>10</v>
      </c>
      <c r="J33" s="159">
        <v>0.25</v>
      </c>
      <c r="K33" s="160">
        <v>0</v>
      </c>
      <c r="L33" s="159"/>
      <c r="M33" s="159"/>
    </row>
    <row r="34" spans="2:13">
      <c r="B34" s="165" t="s">
        <v>158</v>
      </c>
      <c r="C34" s="166">
        <v>1.5</v>
      </c>
      <c r="D34" s="166"/>
      <c r="E34" s="166">
        <v>0.1</v>
      </c>
      <c r="F34" s="166"/>
      <c r="G34" s="166">
        <v>10</v>
      </c>
      <c r="H34" s="165">
        <v>0.25</v>
      </c>
      <c r="I34" s="165">
        <v>10</v>
      </c>
      <c r="J34" s="165">
        <v>0.15</v>
      </c>
      <c r="K34" s="160"/>
      <c r="L34" s="159"/>
      <c r="M34" s="159"/>
    </row>
    <row r="35" spans="2:13">
      <c r="B35" s="165"/>
      <c r="C35" s="166"/>
      <c r="D35" s="166"/>
      <c r="E35" s="166"/>
      <c r="F35" s="166"/>
      <c r="G35" s="166"/>
      <c r="H35" s="165"/>
      <c r="I35" s="165"/>
      <c r="J35" s="165"/>
      <c r="K35" s="166" t="s">
        <v>160</v>
      </c>
      <c r="L35" s="159"/>
      <c r="M35" s="159"/>
    </row>
    <row r="36" spans="2:13">
      <c r="B36" s="167" t="s">
        <v>161</v>
      </c>
      <c r="C36" s="160">
        <v>1</v>
      </c>
      <c r="D36" s="160">
        <v>0.15</v>
      </c>
      <c r="E36" s="160">
        <v>0.1</v>
      </c>
      <c r="F36" s="160">
        <v>0.05</v>
      </c>
      <c r="G36" s="160">
        <v>10</v>
      </c>
      <c r="H36" s="159">
        <v>0.25</v>
      </c>
      <c r="I36" s="159">
        <v>10</v>
      </c>
      <c r="J36" s="159">
        <v>0.25</v>
      </c>
      <c r="K36" s="160">
        <v>0</v>
      </c>
      <c r="L36" s="159"/>
      <c r="M36" s="159"/>
    </row>
    <row r="37" spans="2:13">
      <c r="B37" s="165" t="s">
        <v>158</v>
      </c>
      <c r="C37" s="166">
        <v>1.5</v>
      </c>
      <c r="D37" s="166"/>
      <c r="E37" s="166">
        <v>0.1</v>
      </c>
      <c r="F37" s="166"/>
      <c r="G37" s="166">
        <v>10</v>
      </c>
      <c r="H37" s="165">
        <v>0.25</v>
      </c>
      <c r="I37" s="165">
        <v>10</v>
      </c>
      <c r="J37" s="165">
        <v>0.15</v>
      </c>
      <c r="K37" s="160"/>
      <c r="L37" s="159"/>
      <c r="M37" s="159"/>
    </row>
    <row r="38" spans="2:13">
      <c r="B38" s="165"/>
      <c r="C38" s="166"/>
      <c r="D38" s="166"/>
      <c r="E38" s="166"/>
      <c r="F38" s="166"/>
      <c r="G38" s="166"/>
      <c r="H38" s="165"/>
      <c r="I38" s="165"/>
      <c r="J38" s="165"/>
      <c r="K38" s="166"/>
      <c r="L38" s="159"/>
      <c r="M38" s="159"/>
    </row>
    <row r="39" spans="2:13">
      <c r="B39" s="169" t="s">
        <v>162</v>
      </c>
      <c r="C39" s="160">
        <v>1</v>
      </c>
      <c r="D39" s="160">
        <v>0.2</v>
      </c>
      <c r="E39" s="160">
        <v>0.1</v>
      </c>
      <c r="F39" s="160">
        <v>0.05</v>
      </c>
      <c r="G39" s="160">
        <v>10</v>
      </c>
      <c r="H39" s="159">
        <v>0.25</v>
      </c>
      <c r="I39" s="159">
        <v>10</v>
      </c>
      <c r="J39" s="159">
        <v>0.25</v>
      </c>
      <c r="K39" s="160">
        <v>0</v>
      </c>
      <c r="L39" s="159"/>
      <c r="M39" s="159"/>
    </row>
    <row r="40" spans="2:13">
      <c r="B40" s="165"/>
      <c r="C40" s="166"/>
      <c r="D40" s="166"/>
      <c r="E40" s="166"/>
      <c r="F40" s="166"/>
      <c r="G40" s="166"/>
      <c r="H40" s="165"/>
      <c r="I40" s="165"/>
      <c r="J40" s="165"/>
      <c r="K40" s="166"/>
      <c r="L40" s="159"/>
      <c r="M40" s="159"/>
    </row>
    <row r="41" spans="2:13">
      <c r="B41" s="169" t="s">
        <v>163</v>
      </c>
      <c r="C41" s="160">
        <v>1</v>
      </c>
      <c r="D41" s="160">
        <v>0.3</v>
      </c>
      <c r="E41" s="160">
        <v>0.1</v>
      </c>
      <c r="F41" s="160">
        <v>0.05</v>
      </c>
      <c r="G41" s="160">
        <v>10</v>
      </c>
      <c r="H41" s="159">
        <v>0.25</v>
      </c>
      <c r="I41" s="159">
        <v>10</v>
      </c>
      <c r="J41" s="159">
        <v>0.25</v>
      </c>
      <c r="K41" s="160">
        <v>0</v>
      </c>
      <c r="L41" s="159"/>
      <c r="M41" s="159"/>
    </row>
    <row r="42" spans="2:13">
      <c r="B42" s="165"/>
      <c r="C42" s="166"/>
      <c r="D42" s="166"/>
      <c r="E42" s="166"/>
      <c r="F42" s="166"/>
      <c r="G42" s="166"/>
      <c r="H42" s="165"/>
      <c r="I42" s="165"/>
      <c r="J42" s="165"/>
      <c r="K42" s="166"/>
      <c r="L42" s="159"/>
      <c r="M42" s="159"/>
    </row>
    <row r="43" spans="2:13">
      <c r="B43" s="170" t="s">
        <v>164</v>
      </c>
      <c r="C43" s="160">
        <v>0.6</v>
      </c>
      <c r="D43" s="160">
        <v>0.6</v>
      </c>
      <c r="E43" s="160">
        <v>0.15</v>
      </c>
      <c r="F43" s="160">
        <v>0.05</v>
      </c>
      <c r="G43" s="160">
        <v>10</v>
      </c>
      <c r="H43" s="159">
        <v>0.25</v>
      </c>
      <c r="I43" s="159">
        <v>10</v>
      </c>
      <c r="J43" s="159">
        <v>0.25</v>
      </c>
      <c r="K43" s="160">
        <v>0</v>
      </c>
      <c r="L43" s="159"/>
      <c r="M43" s="159"/>
    </row>
    <row r="44" spans="2:13">
      <c r="B44" s="165"/>
      <c r="C44" s="166"/>
      <c r="D44" s="166"/>
      <c r="E44" s="166"/>
      <c r="F44" s="166"/>
      <c r="G44" s="166"/>
      <c r="H44" s="165"/>
      <c r="I44" s="165"/>
      <c r="J44" s="165"/>
      <c r="K44" s="166"/>
      <c r="L44" s="159"/>
      <c r="M44" s="159"/>
    </row>
    <row r="45" spans="2:13">
      <c r="B45" s="170" t="s">
        <v>165</v>
      </c>
      <c r="C45" s="160">
        <v>0.8</v>
      </c>
      <c r="D45" s="160">
        <v>0.8</v>
      </c>
      <c r="E45" s="160">
        <v>0.15</v>
      </c>
      <c r="F45" s="160">
        <v>0.05</v>
      </c>
      <c r="G45" s="160">
        <v>10</v>
      </c>
      <c r="H45" s="159">
        <v>0.25</v>
      </c>
      <c r="I45" s="159">
        <v>10</v>
      </c>
      <c r="J45" s="159">
        <v>0.25</v>
      </c>
      <c r="K45" s="160">
        <v>0</v>
      </c>
      <c r="L45" s="159"/>
      <c r="M45" s="159"/>
    </row>
    <row r="46" spans="2:13">
      <c r="B46" s="165"/>
      <c r="C46" s="166"/>
      <c r="D46" s="166"/>
      <c r="E46" s="166"/>
      <c r="F46" s="166"/>
      <c r="G46" s="166"/>
      <c r="H46" s="165"/>
      <c r="I46" s="165"/>
      <c r="J46" s="165"/>
      <c r="K46" s="166"/>
      <c r="L46" s="159"/>
      <c r="M46" s="159"/>
    </row>
    <row r="47" spans="2:13">
      <c r="B47" s="171" t="s">
        <v>166</v>
      </c>
      <c r="C47" s="160">
        <v>1</v>
      </c>
      <c r="D47" s="160">
        <v>0.6</v>
      </c>
      <c r="E47" s="160">
        <v>0.1</v>
      </c>
      <c r="F47" s="160">
        <v>0.05</v>
      </c>
      <c r="G47" s="160">
        <v>10</v>
      </c>
      <c r="H47" s="159">
        <v>0.25</v>
      </c>
      <c r="I47" s="159">
        <v>10</v>
      </c>
      <c r="J47" s="159">
        <v>0.25</v>
      </c>
      <c r="K47" s="160">
        <v>3</v>
      </c>
      <c r="L47" s="159"/>
      <c r="M47" s="159"/>
    </row>
    <row r="48" spans="2:13">
      <c r="B48" s="172"/>
      <c r="C48" s="166"/>
      <c r="D48" s="166"/>
      <c r="E48" s="166"/>
      <c r="F48" s="166"/>
      <c r="G48" s="166"/>
      <c r="H48" s="165"/>
      <c r="I48" s="165"/>
      <c r="J48" s="165"/>
      <c r="K48" s="166"/>
      <c r="L48" s="159"/>
      <c r="M48" s="159"/>
    </row>
    <row r="49" spans="2:13">
      <c r="B49" s="165"/>
      <c r="C49" s="166"/>
      <c r="D49" s="166"/>
      <c r="E49" s="166"/>
      <c r="F49" s="166"/>
      <c r="G49" s="166"/>
      <c r="H49" s="165"/>
      <c r="I49" s="165"/>
      <c r="J49" s="165"/>
      <c r="K49" s="166"/>
      <c r="L49" s="159"/>
      <c r="M49" s="159"/>
    </row>
    <row r="50" spans="2:13">
      <c r="B50" s="171" t="s">
        <v>167</v>
      </c>
      <c r="C50" s="160">
        <v>1</v>
      </c>
      <c r="D50" s="160">
        <v>0.8</v>
      </c>
      <c r="E50" s="160">
        <v>0.125</v>
      </c>
      <c r="F50" s="160">
        <v>0.05</v>
      </c>
      <c r="G50" s="160">
        <v>10</v>
      </c>
      <c r="H50" s="159">
        <v>0.25</v>
      </c>
      <c r="I50" s="159">
        <v>10</v>
      </c>
      <c r="J50" s="159">
        <v>0.25</v>
      </c>
      <c r="K50" s="160">
        <v>3</v>
      </c>
      <c r="L50" s="159"/>
      <c r="M50" s="159"/>
    </row>
    <row r="51" spans="2:13">
      <c r="B51" s="172"/>
      <c r="C51" s="166"/>
      <c r="D51" s="166"/>
      <c r="E51" s="166"/>
      <c r="F51" s="166"/>
      <c r="G51" s="166"/>
      <c r="H51" s="165"/>
      <c r="I51" s="165"/>
      <c r="J51" s="165"/>
      <c r="K51" s="166"/>
      <c r="L51" s="159"/>
      <c r="M51" s="159"/>
    </row>
    <row r="52" spans="2:13">
      <c r="B52" s="165"/>
      <c r="C52" s="166"/>
      <c r="D52" s="166"/>
      <c r="E52" s="166"/>
      <c r="F52" s="166"/>
      <c r="G52" s="166"/>
      <c r="H52" s="165"/>
      <c r="I52" s="165"/>
      <c r="J52" s="165"/>
      <c r="K52" s="166"/>
      <c r="L52" s="159"/>
      <c r="M52" s="159"/>
    </row>
    <row r="53" spans="2:13">
      <c r="B53" s="171" t="s">
        <v>168</v>
      </c>
      <c r="C53" s="160">
        <v>1</v>
      </c>
      <c r="D53" s="160">
        <v>1</v>
      </c>
      <c r="E53" s="160">
        <v>0.125</v>
      </c>
      <c r="F53" s="160">
        <v>0.05</v>
      </c>
      <c r="G53" s="160">
        <v>10</v>
      </c>
      <c r="H53" s="159">
        <v>0.25</v>
      </c>
      <c r="I53" s="159">
        <v>10</v>
      </c>
      <c r="J53" s="159">
        <v>0.25</v>
      </c>
      <c r="K53" s="160">
        <v>3</v>
      </c>
      <c r="L53" s="159"/>
      <c r="M53" s="159"/>
    </row>
    <row r="54" spans="2:13">
      <c r="B54" s="172"/>
      <c r="C54" s="166"/>
      <c r="D54" s="166"/>
      <c r="E54" s="166"/>
      <c r="F54" s="166"/>
      <c r="G54" s="166"/>
      <c r="H54" s="165"/>
      <c r="I54" s="165"/>
      <c r="J54" s="165"/>
      <c r="K54" s="166"/>
      <c r="L54" s="159"/>
      <c r="M54" s="159"/>
    </row>
    <row r="55" spans="2:13">
      <c r="B55" s="165"/>
      <c r="C55" s="166"/>
      <c r="D55" s="166"/>
      <c r="E55" s="166"/>
      <c r="F55" s="166"/>
      <c r="G55" s="166"/>
      <c r="H55" s="165"/>
      <c r="I55" s="165"/>
      <c r="J55" s="165"/>
      <c r="K55" s="166"/>
      <c r="L55" s="159"/>
      <c r="M55" s="159"/>
    </row>
    <row r="56" spans="2:13">
      <c r="B56" s="171" t="s">
        <v>169</v>
      </c>
      <c r="C56" s="160">
        <v>1</v>
      </c>
      <c r="D56" s="160">
        <v>1</v>
      </c>
      <c r="E56" s="160">
        <v>0.125</v>
      </c>
      <c r="F56" s="160">
        <v>0.05</v>
      </c>
      <c r="G56" s="160">
        <v>10</v>
      </c>
      <c r="H56" s="159">
        <v>0.25</v>
      </c>
      <c r="I56" s="159">
        <v>10</v>
      </c>
      <c r="J56" s="159">
        <v>0.25</v>
      </c>
      <c r="K56" s="160">
        <v>3</v>
      </c>
      <c r="L56" s="159"/>
      <c r="M56" s="159"/>
    </row>
    <row r="57" spans="2:13">
      <c r="B57" s="172"/>
      <c r="C57" s="166"/>
      <c r="D57" s="166"/>
      <c r="E57" s="166"/>
      <c r="F57" s="166"/>
      <c r="G57" s="166"/>
      <c r="H57" s="165"/>
      <c r="I57" s="165"/>
      <c r="J57" s="165"/>
      <c r="K57" s="166"/>
      <c r="L57" s="159"/>
      <c r="M57" s="159"/>
    </row>
    <row r="58" spans="2:13">
      <c r="B58" s="172"/>
      <c r="C58" s="166"/>
      <c r="D58" s="166"/>
      <c r="E58" s="166"/>
      <c r="F58" s="166"/>
      <c r="G58" s="166"/>
      <c r="H58" s="165"/>
      <c r="I58" s="165"/>
      <c r="J58" s="165"/>
      <c r="K58" s="166"/>
      <c r="L58" s="159"/>
      <c r="M58" s="159"/>
    </row>
    <row r="59" spans="2:13">
      <c r="B59" s="159" t="s">
        <v>170</v>
      </c>
      <c r="C59" s="160">
        <v>0.45</v>
      </c>
      <c r="D59" s="160">
        <v>0.45</v>
      </c>
      <c r="E59" s="160">
        <v>0.1</v>
      </c>
      <c r="F59" s="160">
        <v>0.05</v>
      </c>
      <c r="G59" s="160">
        <v>10</v>
      </c>
      <c r="H59" s="159">
        <v>0.25</v>
      </c>
      <c r="I59" s="159">
        <v>10</v>
      </c>
      <c r="J59" s="159">
        <v>0.25</v>
      </c>
      <c r="K59" s="160"/>
      <c r="L59" s="159">
        <v>0.27500000000000002</v>
      </c>
      <c r="M59" s="159">
        <v>0.27500000000000002</v>
      </c>
    </row>
    <row r="60" spans="2:13">
      <c r="B60" s="165"/>
      <c r="C60" s="166"/>
      <c r="D60" s="166"/>
      <c r="E60" s="166"/>
      <c r="F60" s="166"/>
      <c r="G60" s="166"/>
      <c r="H60" s="165"/>
      <c r="I60" s="165"/>
      <c r="J60" s="165"/>
      <c r="K60" s="166"/>
      <c r="L60" s="159"/>
      <c r="M60" s="159"/>
    </row>
    <row r="61" spans="2:13">
      <c r="B61" s="165"/>
      <c r="C61" s="166"/>
      <c r="D61" s="166"/>
      <c r="E61" s="166"/>
      <c r="F61" s="166"/>
      <c r="G61" s="166"/>
      <c r="H61" s="165"/>
      <c r="I61" s="165"/>
      <c r="J61" s="165"/>
      <c r="K61" s="166"/>
      <c r="L61" s="159"/>
      <c r="M61" s="159"/>
    </row>
    <row r="62" spans="2:13">
      <c r="B62" s="165"/>
      <c r="C62" s="166"/>
      <c r="D62" s="166"/>
      <c r="E62" s="166"/>
      <c r="F62" s="166"/>
      <c r="G62" s="166"/>
      <c r="H62" s="165"/>
      <c r="I62" s="165"/>
      <c r="J62" s="165"/>
      <c r="K62" s="166"/>
      <c r="L62" s="159"/>
      <c r="M62" s="159"/>
    </row>
    <row r="63" spans="2:13">
      <c r="B63" s="159" t="s">
        <v>171</v>
      </c>
      <c r="C63" s="160">
        <v>0.45</v>
      </c>
      <c r="D63" s="160">
        <v>0.6</v>
      </c>
      <c r="E63" s="160">
        <v>0.1</v>
      </c>
      <c r="F63" s="160">
        <v>0.05</v>
      </c>
      <c r="G63" s="160">
        <v>10</v>
      </c>
      <c r="H63" s="159">
        <v>0.25</v>
      </c>
      <c r="I63" s="159">
        <v>10</v>
      </c>
      <c r="J63" s="159">
        <v>0.25</v>
      </c>
      <c r="K63" s="160"/>
      <c r="L63" s="159">
        <v>0.27500000000000002</v>
      </c>
      <c r="M63" s="159">
        <v>0.27500000000000002</v>
      </c>
    </row>
    <row r="64" spans="2:13">
      <c r="B64" s="165"/>
      <c r="C64" s="166"/>
      <c r="D64" s="166"/>
      <c r="E64" s="166"/>
      <c r="F64" s="166"/>
      <c r="G64" s="166"/>
      <c r="H64" s="165"/>
      <c r="I64" s="165"/>
      <c r="J64" s="165"/>
      <c r="K64" s="166"/>
      <c r="L64" s="159"/>
      <c r="M64" s="159"/>
    </row>
    <row r="65" spans="2:13">
      <c r="B65" s="165"/>
      <c r="C65" s="166"/>
      <c r="D65" s="166"/>
      <c r="E65" s="166"/>
      <c r="F65" s="166"/>
      <c r="G65" s="166"/>
      <c r="H65" s="165"/>
      <c r="I65" s="165"/>
      <c r="J65" s="165"/>
      <c r="K65" s="166"/>
      <c r="L65" s="159"/>
      <c r="M65" s="159"/>
    </row>
    <row r="66" spans="2:13">
      <c r="B66" s="172"/>
      <c r="C66" s="166"/>
      <c r="D66" s="166"/>
      <c r="E66" s="166"/>
      <c r="F66" s="166"/>
      <c r="G66" s="166"/>
      <c r="H66" s="165"/>
      <c r="I66" s="165"/>
      <c r="J66" s="165"/>
      <c r="K66" s="166"/>
      <c r="L66" s="159"/>
      <c r="M66" s="159"/>
    </row>
    <row r="67" spans="2:13">
      <c r="B67" s="159" t="s">
        <v>172</v>
      </c>
      <c r="C67" s="160">
        <v>0.6</v>
      </c>
      <c r="D67" s="160">
        <v>0.6</v>
      </c>
      <c r="E67" s="160">
        <v>0.1</v>
      </c>
      <c r="F67" s="160">
        <v>0.05</v>
      </c>
      <c r="G67" s="160">
        <v>10</v>
      </c>
      <c r="H67" s="159">
        <v>0.25</v>
      </c>
      <c r="I67" s="159">
        <v>10</v>
      </c>
      <c r="J67" s="159">
        <v>0.25</v>
      </c>
      <c r="K67" s="160"/>
      <c r="L67" s="159">
        <v>0.27500000000000002</v>
      </c>
      <c r="M67" s="159">
        <v>0.27500000000000002</v>
      </c>
    </row>
    <row r="68" spans="2:13">
      <c r="B68" s="165"/>
      <c r="C68" s="166"/>
      <c r="D68" s="166"/>
      <c r="E68" s="166"/>
      <c r="F68" s="166"/>
      <c r="G68" s="166"/>
      <c r="H68" s="165"/>
      <c r="I68" s="165"/>
      <c r="J68" s="165"/>
      <c r="K68" s="166"/>
      <c r="L68" s="159"/>
      <c r="M68" s="159"/>
    </row>
    <row r="69" spans="2:13">
      <c r="B69" s="165"/>
      <c r="C69" s="166"/>
      <c r="D69" s="166"/>
      <c r="E69" s="166"/>
      <c r="F69" s="166"/>
      <c r="G69" s="166"/>
      <c r="H69" s="165"/>
      <c r="I69" s="165"/>
      <c r="J69" s="165"/>
      <c r="K69" s="166"/>
      <c r="L69" s="159"/>
      <c r="M69" s="159"/>
    </row>
    <row r="70" spans="2:13">
      <c r="B70" s="165"/>
      <c r="C70" s="166"/>
      <c r="D70" s="166"/>
      <c r="E70" s="166"/>
      <c r="F70" s="166"/>
      <c r="G70" s="166"/>
      <c r="H70" s="165"/>
      <c r="I70" s="165"/>
      <c r="J70" s="165"/>
      <c r="K70" s="166"/>
      <c r="L70" s="159"/>
      <c r="M70" s="159"/>
    </row>
    <row r="71" spans="2:13">
      <c r="B71" s="159" t="s">
        <v>173</v>
      </c>
      <c r="C71" s="160">
        <v>0.8</v>
      </c>
      <c r="D71" s="160">
        <v>0.8</v>
      </c>
      <c r="E71" s="160">
        <v>0.1</v>
      </c>
      <c r="F71" s="160">
        <v>0.05</v>
      </c>
      <c r="G71" s="160">
        <v>10</v>
      </c>
      <c r="H71" s="159">
        <v>0.25</v>
      </c>
      <c r="I71" s="159">
        <v>10</v>
      </c>
      <c r="J71" s="159">
        <v>0.25</v>
      </c>
      <c r="K71" s="160"/>
      <c r="L71" s="159">
        <v>0.27500000000000002</v>
      </c>
      <c r="M71" s="159">
        <v>0.27500000000000002</v>
      </c>
    </row>
    <row r="72" spans="2:13">
      <c r="B72" s="165"/>
      <c r="C72" s="166"/>
      <c r="D72" s="166"/>
      <c r="E72" s="166"/>
      <c r="F72" s="166"/>
      <c r="G72" s="166"/>
      <c r="H72" s="165"/>
      <c r="I72" s="165"/>
      <c r="J72" s="165"/>
      <c r="K72" s="166"/>
      <c r="L72" s="159"/>
      <c r="M72" s="159"/>
    </row>
    <row r="73" spans="2:13">
      <c r="B73" s="165"/>
      <c r="C73" s="166"/>
      <c r="D73" s="166"/>
      <c r="E73" s="166"/>
      <c r="F73" s="166"/>
      <c r="G73" s="166"/>
      <c r="H73" s="165"/>
      <c r="I73" s="165"/>
      <c r="J73" s="165"/>
      <c r="K73" s="166"/>
      <c r="L73" s="159"/>
      <c r="M73" s="159"/>
    </row>
    <row r="74" spans="2:13">
      <c r="B74" s="165"/>
      <c r="C74" s="166"/>
      <c r="D74" s="166"/>
      <c r="E74" s="166"/>
      <c r="F74" s="166"/>
      <c r="G74" s="166"/>
      <c r="H74" s="165"/>
      <c r="I74" s="165"/>
      <c r="J74" s="165"/>
      <c r="K74" s="166"/>
      <c r="L74" s="159"/>
      <c r="M74" s="159"/>
    </row>
    <row r="75" spans="2:13">
      <c r="B75" s="159" t="s">
        <v>174</v>
      </c>
      <c r="C75" s="160">
        <v>1</v>
      </c>
      <c r="D75" s="160">
        <v>1</v>
      </c>
      <c r="E75" s="160">
        <v>0.125</v>
      </c>
      <c r="F75" s="160">
        <v>0.05</v>
      </c>
      <c r="G75" s="160">
        <v>10</v>
      </c>
      <c r="H75" s="159">
        <v>0.25</v>
      </c>
      <c r="I75" s="159">
        <v>10</v>
      </c>
      <c r="J75" s="159">
        <v>0.25</v>
      </c>
      <c r="K75" s="160"/>
      <c r="L75" s="159">
        <v>0.27500000000000002</v>
      </c>
      <c r="M75" s="159">
        <v>0.27500000000000002</v>
      </c>
    </row>
    <row r="76" spans="2:13">
      <c r="B76" s="165"/>
      <c r="C76" s="166"/>
      <c r="D76" s="166"/>
      <c r="E76" s="166"/>
      <c r="F76" s="166"/>
      <c r="G76" s="166"/>
      <c r="H76" s="165"/>
      <c r="I76" s="165"/>
      <c r="J76" s="165"/>
      <c r="K76" s="166"/>
      <c r="L76" s="159"/>
      <c r="M76" s="159"/>
    </row>
    <row r="77" spans="2:13">
      <c r="B77" s="165"/>
      <c r="C77" s="166"/>
      <c r="D77" s="166"/>
      <c r="E77" s="166"/>
      <c r="F77" s="166"/>
      <c r="G77" s="166"/>
      <c r="H77" s="165"/>
      <c r="I77" s="165"/>
      <c r="J77" s="165"/>
      <c r="K77" s="166"/>
      <c r="L77" s="159"/>
      <c r="M77" s="159"/>
    </row>
    <row r="78" spans="2:13">
      <c r="B78" s="165"/>
      <c r="C78" s="166"/>
      <c r="D78" s="166"/>
      <c r="E78" s="166"/>
      <c r="F78" s="166"/>
      <c r="G78" s="166"/>
      <c r="H78" s="165"/>
      <c r="I78" s="165"/>
      <c r="J78" s="165"/>
      <c r="K78" s="166"/>
      <c r="L78" s="159"/>
      <c r="M78" s="159"/>
    </row>
    <row r="79" spans="2:13">
      <c r="B79" s="173" t="s">
        <v>175</v>
      </c>
      <c r="C79" s="160">
        <v>0.45</v>
      </c>
      <c r="D79" s="160">
        <v>0.45</v>
      </c>
      <c r="E79" s="160">
        <v>0.1</v>
      </c>
      <c r="F79" s="160">
        <v>0.05</v>
      </c>
      <c r="G79" s="160">
        <v>10</v>
      </c>
      <c r="H79" s="159">
        <v>0.25</v>
      </c>
      <c r="I79" s="159">
        <v>10</v>
      </c>
      <c r="J79" s="159">
        <v>0.25</v>
      </c>
      <c r="K79" s="160"/>
      <c r="L79" s="159">
        <v>0.9</v>
      </c>
      <c r="M79" s="159">
        <v>0.45</v>
      </c>
    </row>
    <row r="80" spans="2:13">
      <c r="B80" s="174"/>
      <c r="C80" s="166"/>
      <c r="D80" s="166"/>
      <c r="E80" s="166"/>
      <c r="F80" s="166"/>
      <c r="G80" s="166"/>
      <c r="H80" s="165"/>
      <c r="I80" s="165"/>
      <c r="J80" s="165"/>
      <c r="K80" s="166"/>
      <c r="L80" s="159"/>
      <c r="M80" s="159"/>
    </row>
    <row r="81" spans="2:13">
      <c r="B81" s="174"/>
      <c r="C81" s="166"/>
      <c r="D81" s="166"/>
      <c r="E81" s="166"/>
      <c r="F81" s="166"/>
      <c r="G81" s="166"/>
      <c r="H81" s="165"/>
      <c r="I81" s="165"/>
      <c r="J81" s="165"/>
      <c r="K81" s="166"/>
      <c r="L81" s="159"/>
      <c r="M81" s="159"/>
    </row>
    <row r="82" spans="2:13">
      <c r="B82" s="174"/>
      <c r="C82" s="166"/>
      <c r="D82" s="166"/>
      <c r="E82" s="166"/>
      <c r="F82" s="166"/>
      <c r="G82" s="166"/>
      <c r="H82" s="165"/>
      <c r="I82" s="165"/>
      <c r="J82" s="165"/>
      <c r="K82" s="166"/>
      <c r="L82" s="159"/>
      <c r="M82" s="159"/>
    </row>
    <row r="83" spans="2:13">
      <c r="B83" s="173" t="s">
        <v>176</v>
      </c>
      <c r="C83" s="160">
        <v>0.45</v>
      </c>
      <c r="D83" s="160">
        <v>0.6</v>
      </c>
      <c r="E83" s="160">
        <v>0.1</v>
      </c>
      <c r="F83" s="160">
        <v>0.05</v>
      </c>
      <c r="G83" s="160">
        <v>10</v>
      </c>
      <c r="H83" s="159">
        <v>0.25</v>
      </c>
      <c r="I83" s="159">
        <v>10</v>
      </c>
      <c r="J83" s="159">
        <v>0.25</v>
      </c>
      <c r="K83" s="160"/>
      <c r="L83" s="159">
        <v>0.9</v>
      </c>
      <c r="M83" s="159">
        <v>0.45</v>
      </c>
    </row>
    <row r="84" spans="2:13">
      <c r="B84" s="174"/>
      <c r="C84" s="166"/>
      <c r="D84" s="166"/>
      <c r="E84" s="166"/>
      <c r="F84" s="166"/>
      <c r="G84" s="166"/>
      <c r="H84" s="165"/>
      <c r="I84" s="165"/>
      <c r="J84" s="165"/>
      <c r="K84" s="166"/>
      <c r="L84" s="159"/>
      <c r="M84" s="159"/>
    </row>
    <row r="85" spans="2:13">
      <c r="B85" s="174"/>
      <c r="C85" s="166"/>
      <c r="D85" s="166"/>
      <c r="E85" s="166"/>
      <c r="F85" s="166"/>
      <c r="G85" s="166"/>
      <c r="H85" s="165"/>
      <c r="I85" s="165"/>
      <c r="J85" s="165"/>
      <c r="K85" s="166"/>
      <c r="L85" s="159"/>
      <c r="M85" s="159"/>
    </row>
    <row r="86" spans="2:13">
      <c r="B86" s="174"/>
      <c r="C86" s="166"/>
      <c r="D86" s="166"/>
      <c r="E86" s="166"/>
      <c r="F86" s="166"/>
      <c r="G86" s="166"/>
      <c r="H86" s="165"/>
      <c r="I86" s="165"/>
      <c r="J86" s="165"/>
      <c r="K86" s="166"/>
      <c r="L86" s="159"/>
      <c r="M86" s="159"/>
    </row>
    <row r="87" spans="2:13">
      <c r="B87" s="173" t="s">
        <v>177</v>
      </c>
      <c r="C87" s="160">
        <v>0.6</v>
      </c>
      <c r="D87" s="160">
        <v>0.6</v>
      </c>
      <c r="E87" s="160">
        <v>0.1</v>
      </c>
      <c r="F87" s="160">
        <v>0.05</v>
      </c>
      <c r="G87" s="160">
        <v>10</v>
      </c>
      <c r="H87" s="159">
        <v>0.25</v>
      </c>
      <c r="I87" s="159">
        <v>10</v>
      </c>
      <c r="J87" s="159">
        <v>0.25</v>
      </c>
      <c r="K87" s="160"/>
      <c r="L87" s="159">
        <v>0.9</v>
      </c>
      <c r="M87" s="159">
        <v>0.45</v>
      </c>
    </row>
    <row r="88" spans="2:13">
      <c r="B88" s="174"/>
      <c r="C88" s="166"/>
      <c r="D88" s="166"/>
      <c r="E88" s="166"/>
      <c r="F88" s="166"/>
      <c r="G88" s="166"/>
      <c r="H88" s="165"/>
      <c r="I88" s="165"/>
      <c r="J88" s="165"/>
      <c r="K88" s="166"/>
      <c r="L88" s="159"/>
      <c r="M88" s="159"/>
    </row>
    <row r="89" spans="2:13">
      <c r="B89" s="174"/>
      <c r="C89" s="166"/>
      <c r="D89" s="166"/>
      <c r="E89" s="166"/>
      <c r="F89" s="166"/>
      <c r="G89" s="166"/>
      <c r="H89" s="165"/>
      <c r="I89" s="165"/>
      <c r="J89" s="165"/>
      <c r="K89" s="166"/>
      <c r="L89" s="159"/>
      <c r="M89" s="159"/>
    </row>
    <row r="90" spans="2:13">
      <c r="B90" s="174"/>
      <c r="C90" s="166"/>
      <c r="D90" s="166"/>
      <c r="E90" s="166"/>
      <c r="F90" s="166"/>
      <c r="G90" s="166"/>
      <c r="H90" s="165"/>
      <c r="I90" s="165"/>
      <c r="J90" s="165"/>
      <c r="K90" s="166"/>
      <c r="L90" s="159"/>
      <c r="M90" s="159"/>
    </row>
    <row r="91" spans="2:13">
      <c r="B91" s="173" t="s">
        <v>178</v>
      </c>
      <c r="C91" s="160">
        <v>0.8</v>
      </c>
      <c r="D91" s="160">
        <v>0.8</v>
      </c>
      <c r="E91" s="160">
        <v>0.1</v>
      </c>
      <c r="F91" s="160">
        <v>0.05</v>
      </c>
      <c r="G91" s="160">
        <v>10</v>
      </c>
      <c r="H91" s="159">
        <v>0.25</v>
      </c>
      <c r="I91" s="159">
        <v>10</v>
      </c>
      <c r="J91" s="159">
        <v>0.25</v>
      </c>
      <c r="K91" s="160"/>
      <c r="L91" s="159">
        <v>0.9</v>
      </c>
      <c r="M91" s="159">
        <v>0.45</v>
      </c>
    </row>
    <row r="92" spans="2:13">
      <c r="B92" s="174"/>
      <c r="C92" s="166"/>
      <c r="D92" s="166"/>
      <c r="E92" s="166"/>
      <c r="F92" s="166"/>
      <c r="G92" s="166"/>
      <c r="H92" s="165"/>
      <c r="I92" s="165"/>
      <c r="J92" s="165"/>
      <c r="K92" s="166"/>
      <c r="L92" s="159"/>
      <c r="M92" s="159"/>
    </row>
    <row r="93" spans="2:13">
      <c r="B93" s="174"/>
      <c r="C93" s="166"/>
      <c r="D93" s="166"/>
      <c r="E93" s="166"/>
      <c r="F93" s="166"/>
      <c r="G93" s="166"/>
      <c r="H93" s="165"/>
      <c r="I93" s="165"/>
      <c r="J93" s="165"/>
      <c r="K93" s="166"/>
      <c r="L93" s="159"/>
      <c r="M93" s="159"/>
    </row>
    <row r="94" spans="2:13">
      <c r="B94" s="174"/>
      <c r="C94" s="166"/>
      <c r="D94" s="166"/>
      <c r="E94" s="166"/>
      <c r="F94" s="166"/>
      <c r="G94" s="166"/>
      <c r="H94" s="165"/>
      <c r="I94" s="165"/>
      <c r="J94" s="165"/>
      <c r="K94" s="166"/>
      <c r="L94" s="159"/>
      <c r="M94" s="159"/>
    </row>
    <row r="95" spans="2:13">
      <c r="B95" s="173" t="s">
        <v>179</v>
      </c>
      <c r="C95" s="160">
        <v>1</v>
      </c>
      <c r="D95" s="160">
        <v>0.75</v>
      </c>
      <c r="E95" s="160">
        <v>0.125</v>
      </c>
      <c r="F95" s="160">
        <v>0.05</v>
      </c>
      <c r="G95" s="160">
        <v>10</v>
      </c>
      <c r="H95" s="159">
        <v>0.25</v>
      </c>
      <c r="I95" s="159">
        <v>10</v>
      </c>
      <c r="J95" s="159">
        <v>0.25</v>
      </c>
      <c r="K95" s="160"/>
      <c r="L95" s="159">
        <v>0.9</v>
      </c>
      <c r="M95" s="159">
        <v>0.45</v>
      </c>
    </row>
    <row r="96" spans="2:13">
      <c r="B96" s="174"/>
      <c r="C96" s="166"/>
      <c r="D96" s="166"/>
      <c r="E96" s="166"/>
      <c r="F96" s="166"/>
      <c r="G96" s="166"/>
      <c r="H96" s="165"/>
      <c r="I96" s="165"/>
      <c r="J96" s="165"/>
      <c r="K96" s="166"/>
      <c r="L96" s="159"/>
      <c r="M96" s="159"/>
    </row>
    <row r="97" spans="2:21">
      <c r="B97" s="174"/>
      <c r="C97" s="166"/>
      <c r="D97" s="166"/>
      <c r="E97" s="166"/>
      <c r="F97" s="166"/>
      <c r="G97" s="166"/>
      <c r="H97" s="165"/>
      <c r="I97" s="165"/>
      <c r="J97" s="165"/>
      <c r="K97" s="166"/>
      <c r="L97" s="159"/>
      <c r="M97" s="159"/>
    </row>
    <row r="98" spans="2:21">
      <c r="B98" s="174"/>
      <c r="C98" s="166"/>
      <c r="D98" s="166"/>
      <c r="E98" s="166"/>
      <c r="F98" s="166"/>
      <c r="G98" s="166"/>
      <c r="H98" s="165"/>
      <c r="I98" s="165"/>
      <c r="J98" s="165"/>
      <c r="K98" s="166"/>
      <c r="L98" s="159"/>
      <c r="M98" s="159"/>
    </row>
    <row r="99" spans="2:21">
      <c r="B99" s="165"/>
      <c r="C99" s="166"/>
      <c r="D99" s="166"/>
      <c r="E99" s="166"/>
      <c r="F99" s="166"/>
      <c r="G99" s="166"/>
      <c r="H99" s="165"/>
      <c r="I99" s="165"/>
      <c r="J99" s="165"/>
      <c r="K99" s="166"/>
      <c r="L99" s="159"/>
      <c r="M99" s="159"/>
    </row>
    <row r="100" spans="2:21">
      <c r="B100" s="175"/>
      <c r="C100" s="175"/>
      <c r="D100" s="175"/>
      <c r="E100" s="175"/>
      <c r="F100" s="175"/>
      <c r="G100" s="175"/>
      <c r="H100" s="175"/>
      <c r="I100" s="175"/>
      <c r="J100" s="175"/>
      <c r="K100" s="176"/>
      <c r="L100" s="175"/>
      <c r="M100" s="175"/>
    </row>
    <row r="103" spans="2:21">
      <c r="K103" s="177" t="s">
        <v>180</v>
      </c>
      <c r="L103" s="768" t="s">
        <v>181</v>
      </c>
      <c r="M103" s="769"/>
      <c r="N103" s="769"/>
      <c r="O103" s="769"/>
      <c r="P103" s="769"/>
      <c r="Q103" s="769"/>
      <c r="R103" s="769"/>
      <c r="S103" s="770"/>
    </row>
    <row r="104" spans="2:21">
      <c r="B104" s="177" t="s">
        <v>182</v>
      </c>
      <c r="K104" s="178">
        <v>1</v>
      </c>
      <c r="L104" s="763" t="s">
        <v>7</v>
      </c>
      <c r="M104" s="771"/>
      <c r="N104" s="764"/>
      <c r="O104" s="763" t="s">
        <v>6</v>
      </c>
      <c r="P104" s="771"/>
      <c r="Q104" s="764"/>
      <c r="R104" s="763" t="s">
        <v>183</v>
      </c>
      <c r="S104" s="764"/>
    </row>
    <row r="105" spans="2:21">
      <c r="D105" s="179" t="s">
        <v>184</v>
      </c>
      <c r="E105" s="180" t="s">
        <v>1</v>
      </c>
      <c r="G105" s="181" t="s">
        <v>185</v>
      </c>
      <c r="H105" s="181" t="s">
        <v>186</v>
      </c>
      <c r="I105" s="181" t="s">
        <v>187</v>
      </c>
      <c r="J105" s="181" t="s">
        <v>188</v>
      </c>
      <c r="K105" s="181" t="s">
        <v>189</v>
      </c>
      <c r="L105" s="763" t="s">
        <v>190</v>
      </c>
      <c r="M105" s="764"/>
      <c r="N105" s="182" t="s">
        <v>1</v>
      </c>
      <c r="O105" s="763" t="s">
        <v>190</v>
      </c>
      <c r="P105" s="764"/>
      <c r="Q105" s="182" t="s">
        <v>1</v>
      </c>
      <c r="R105" s="182" t="s">
        <v>1</v>
      </c>
      <c r="S105" s="182" t="s">
        <v>117</v>
      </c>
    </row>
    <row r="106" spans="2:21" ht="20.25" hidden="1" customHeight="1">
      <c r="B106" s="153" t="s">
        <v>191</v>
      </c>
      <c r="C106" s="177" t="s">
        <v>192</v>
      </c>
      <c r="E106" s="183">
        <f>62.33+67.78</f>
        <v>130.11000000000001</v>
      </c>
      <c r="G106" s="184">
        <f>+E106*(C6+E6*2+1.5)</f>
        <v>260.22000000000003</v>
      </c>
      <c r="H106" s="184">
        <f>+E106*(C6+E6*2)*(D6+E6+F6)</f>
        <v>29.274750000000004</v>
      </c>
      <c r="I106" s="185">
        <f>+(C6+E6*2)*E106*F6</f>
        <v>3.2527500000000007</v>
      </c>
      <c r="J106" s="185">
        <f>+E106*((C6+E6*2)*E6+(D6*E6*2))</f>
        <v>14.312100000000001</v>
      </c>
      <c r="K106" s="185">
        <f>+(D6+$K$104*(D6+E6))*E106*2</f>
        <v>182.154</v>
      </c>
      <c r="L106" s="186">
        <f>+(E106)/H6+ IF(E106&gt;0,1,0)</f>
        <v>651.55000000000007</v>
      </c>
      <c r="M106" s="187">
        <f>+ROUNDUP(L106,0)</f>
        <v>652</v>
      </c>
      <c r="N106" s="188">
        <f>+(D6+E6-0.08)*2+(C6+E6*2-0.08)</f>
        <v>1.06</v>
      </c>
      <c r="O106" s="186">
        <f>+N106/J6+1</f>
        <v>5.24</v>
      </c>
      <c r="P106" s="187">
        <f>+ROUNDUP(O106,0)</f>
        <v>6</v>
      </c>
      <c r="Q106" s="187">
        <f>+E106+E106/6*50*(G6/1000)</f>
        <v>140.95250000000001</v>
      </c>
      <c r="R106" s="189">
        <f>+N106*M106+P106*Q106</f>
        <v>1536.835</v>
      </c>
      <c r="S106" s="185">
        <f>((I6*I6)/162)*R106</f>
        <v>948.66358024691351</v>
      </c>
      <c r="T106" s="153" t="s">
        <v>193</v>
      </c>
    </row>
    <row r="107" spans="2:21" ht="18" hidden="1" customHeight="1">
      <c r="C107" s="153" t="s">
        <v>138</v>
      </c>
      <c r="D107" s="190">
        <f>ROUNDUP(+E106/K6,0)</f>
        <v>44</v>
      </c>
      <c r="E107" s="183"/>
      <c r="G107" s="191"/>
      <c r="H107" s="191"/>
      <c r="I107" s="190"/>
      <c r="J107" s="190">
        <f>0.5*(0.075+0.05)*0.075*C6*D107</f>
        <v>6.1874999999999999E-2</v>
      </c>
      <c r="K107" s="190">
        <f>+(0.075+0.08)*C6*D107</f>
        <v>2.0459999999999998</v>
      </c>
      <c r="L107" s="192">
        <f>+D107</f>
        <v>44</v>
      </c>
      <c r="M107" s="187">
        <f>+ROUNDUP(L107,0)</f>
        <v>44</v>
      </c>
      <c r="N107" s="193">
        <f>+(C6-0.08)+((0.075+0.05-0.04)*2)</f>
        <v>0.38999999999999996</v>
      </c>
      <c r="O107" s="192"/>
      <c r="P107" s="194"/>
      <c r="Q107" s="194"/>
      <c r="R107" s="189">
        <f>+N107*M107+P107*Q107</f>
        <v>17.159999999999997</v>
      </c>
      <c r="S107" s="185">
        <f>((I6*I6)/162)*R107</f>
        <v>10.59259259259259</v>
      </c>
      <c r="T107" s="153" t="s">
        <v>193</v>
      </c>
      <c r="U107" s="190">
        <f>S106+S107</f>
        <v>959.25617283950612</v>
      </c>
    </row>
    <row r="108" spans="2:21">
      <c r="E108" s="291"/>
    </row>
    <row r="109" spans="2:21">
      <c r="B109" s="153" t="s">
        <v>191</v>
      </c>
      <c r="C109" s="177" t="s">
        <v>194</v>
      </c>
      <c r="E109" s="291">
        <v>59.5</v>
      </c>
      <c r="G109" s="292"/>
      <c r="H109" s="292">
        <f>+E109*(C9+E9*2)*(D9+E9+F9)</f>
        <v>23.205000000000005</v>
      </c>
      <c r="I109" s="185">
        <f>+(C9+E9*2)*E109*F9</f>
        <v>1.9337500000000003</v>
      </c>
      <c r="J109" s="185">
        <f>+E109*((C9+E9*2)*E9+(D9*E9*2))</f>
        <v>9.2225000000000019</v>
      </c>
      <c r="K109" s="185">
        <f>+(D9+$K$104*(D9+E9))*E109*2</f>
        <v>119</v>
      </c>
      <c r="L109" s="293">
        <f>+(E109)/H9+ IF(E109&gt;0,1,0)</f>
        <v>298.5</v>
      </c>
      <c r="M109" s="187">
        <f>+ROUNDUP(L109,0)</f>
        <v>299</v>
      </c>
      <c r="N109" s="188">
        <f>+(D9+E9-0.08)*2+(C9+E9*2-0.08)</f>
        <v>1.5100000000000002</v>
      </c>
      <c r="O109" s="293">
        <f>+N109/J9+1</f>
        <v>7.0400000000000009</v>
      </c>
      <c r="P109" s="187">
        <f>+ROUNDUP(O109,0)</f>
        <v>8</v>
      </c>
      <c r="Q109" s="187">
        <f>+E109+E109/6*50*(G9/1000)</f>
        <v>64.458333333333329</v>
      </c>
      <c r="R109" s="294">
        <f>+N109*M109+P109*Q109</f>
        <v>967.15666666666675</v>
      </c>
      <c r="S109" s="185">
        <f>((I9*I9)/162)*R109</f>
        <v>597.01028806584361</v>
      </c>
      <c r="T109" s="153" t="s">
        <v>193</v>
      </c>
    </row>
    <row r="110" spans="2:21">
      <c r="C110" s="153" t="s">
        <v>138</v>
      </c>
      <c r="D110" s="190">
        <f>ROUNDUP(+E109/K9,0)</f>
        <v>20</v>
      </c>
      <c r="E110" s="291"/>
      <c r="G110" s="295"/>
      <c r="H110" s="295"/>
      <c r="I110" s="190"/>
      <c r="J110" s="190">
        <f>0.5*(0.075+0.05)*0.075*C9*D110</f>
        <v>4.2187500000000003E-2</v>
      </c>
      <c r="K110" s="190">
        <f>+(0.075+0.08)*C9*D110</f>
        <v>1.395</v>
      </c>
      <c r="L110" s="296">
        <f>+D110</f>
        <v>20</v>
      </c>
      <c r="M110" s="187">
        <f>+ROUNDUP(L110,0)</f>
        <v>20</v>
      </c>
      <c r="N110" s="193">
        <f>+(C9-0.08)+((0.075+0.05-0.04)*2)</f>
        <v>0.54</v>
      </c>
      <c r="O110" s="296"/>
      <c r="P110" s="194"/>
      <c r="Q110" s="194"/>
      <c r="R110" s="294">
        <f>+N110*M110+P110*Q110</f>
        <v>10.8</v>
      </c>
      <c r="S110" s="185">
        <f>((I9*I9)/162)*R110</f>
        <v>6.666666666666667</v>
      </c>
      <c r="T110" s="153" t="s">
        <v>193</v>
      </c>
      <c r="U110" s="190">
        <f>S109+S110</f>
        <v>603.67695473251024</v>
      </c>
    </row>
    <row r="111" spans="2:21">
      <c r="E111" s="291"/>
    </row>
    <row r="112" spans="2:21">
      <c r="B112" s="153" t="s">
        <v>191</v>
      </c>
      <c r="C112" s="177" t="s">
        <v>195</v>
      </c>
      <c r="E112" s="291">
        <v>93.8</v>
      </c>
      <c r="G112" s="292">
        <f>+E112*(C12+E12*2+3)</f>
        <v>356.44</v>
      </c>
      <c r="H112" s="292">
        <f>+E112*(C12+E12*2)*(D12+E12+F12)</f>
        <v>56.28</v>
      </c>
      <c r="I112" s="185">
        <f>+(C12+E12*2)*E112*F12</f>
        <v>3.7520000000000007</v>
      </c>
      <c r="J112" s="185">
        <f>+E112*((C12+E12*2)*E12+(D12*E12*2))</f>
        <v>18.760000000000002</v>
      </c>
      <c r="K112" s="185">
        <f>+(D12+$K$104*(D12+E12))*E112*2</f>
        <v>243.87999999999997</v>
      </c>
      <c r="L112" s="293">
        <f>+(E112)/H12+ IF(E112&gt;0,1,0)</f>
        <v>469.99999999999994</v>
      </c>
      <c r="M112" s="187">
        <f>+ROUNDUP(L112,0)</f>
        <v>470</v>
      </c>
      <c r="N112" s="188">
        <f>+(D12+E12-0.08)*2+(C12+E12*2-0.08)</f>
        <v>1.96</v>
      </c>
      <c r="O112" s="293">
        <f>+N112/J12+1</f>
        <v>8.84</v>
      </c>
      <c r="P112" s="187">
        <f>+ROUNDUP(O112,0)</f>
        <v>9</v>
      </c>
      <c r="Q112" s="187">
        <f>+E112+E112/6*50*(G12/1000)</f>
        <v>101.61666666666666</v>
      </c>
      <c r="R112" s="294">
        <f>+N112*M112+P112*Q112</f>
        <v>1835.75</v>
      </c>
      <c r="S112" s="185">
        <f>((I12*I12)/162)*R112</f>
        <v>1133.179012345679</v>
      </c>
      <c r="T112" s="153" t="s">
        <v>193</v>
      </c>
    </row>
    <row r="113" spans="2:21">
      <c r="C113" s="153" t="s">
        <v>138</v>
      </c>
      <c r="D113" s="190">
        <f>ROUNDUP(+E112/K12,0)</f>
        <v>32</v>
      </c>
      <c r="E113" s="291"/>
      <c r="G113" s="295"/>
      <c r="H113" s="295"/>
      <c r="I113" s="190"/>
      <c r="J113" s="190">
        <f>0.5*(0.075+0.05)*0.075*C12*D113</f>
        <v>0.09</v>
      </c>
      <c r="K113" s="190">
        <f>+(0.075+0.08)*C12*D113</f>
        <v>2.976</v>
      </c>
      <c r="L113" s="296">
        <f>+D113</f>
        <v>32</v>
      </c>
      <c r="M113" s="187">
        <f>+ROUNDUP(L113,0)</f>
        <v>32</v>
      </c>
      <c r="N113" s="193">
        <f>+(C12-0.08)+((0.075+0.05-0.04)*2)</f>
        <v>0.69</v>
      </c>
      <c r="O113" s="296"/>
      <c r="P113" s="194"/>
      <c r="Q113" s="194"/>
      <c r="R113" s="294">
        <f>+N113*M113+P113*Q113</f>
        <v>22.08</v>
      </c>
      <c r="S113" s="185">
        <f>((I12*I12)/162)*R113</f>
        <v>13.629629629629628</v>
      </c>
      <c r="T113" s="153" t="s">
        <v>193</v>
      </c>
      <c r="U113" s="190">
        <f>S112+S113</f>
        <v>1146.8086419753085</v>
      </c>
    </row>
    <row r="114" spans="2:21">
      <c r="E114" s="291"/>
    </row>
    <row r="115" spans="2:21" hidden="1">
      <c r="B115" s="153" t="s">
        <v>191</v>
      </c>
      <c r="C115" s="177" t="s">
        <v>196</v>
      </c>
      <c r="E115" s="291"/>
      <c r="G115" s="292">
        <f>+E115*(C15+E15*2+1.5)</f>
        <v>0</v>
      </c>
      <c r="H115" s="292">
        <f>+E115*(C15+E15*2)*(D15+E15+F15)</f>
        <v>0</v>
      </c>
      <c r="I115" s="185">
        <f>+(C15+E15*2)*E115*F15</f>
        <v>0</v>
      </c>
      <c r="J115" s="185">
        <f>+E115*((C15+E15*2)*E15+(D15*E15*2))</f>
        <v>0</v>
      </c>
      <c r="K115" s="185">
        <f>+(D15+$K$104*(D15+E15))*E115*2</f>
        <v>0</v>
      </c>
      <c r="L115" s="293">
        <f>+(E115)/H15+ IF(E115&gt;0,1,0)</f>
        <v>0</v>
      </c>
      <c r="M115" s="187">
        <f>+ROUNDUP(L115,0)</f>
        <v>0</v>
      </c>
      <c r="N115" s="188">
        <f>+(D15+E15-0.08)*2+(C15+E15*2-0.08)</f>
        <v>2.5100000000000002</v>
      </c>
      <c r="O115" s="293">
        <f>+N115/J15+1</f>
        <v>11.040000000000001</v>
      </c>
      <c r="P115" s="187">
        <f>+ROUNDUP(O115,0)</f>
        <v>12</v>
      </c>
      <c r="Q115" s="187">
        <f>+E115+E115/6*50*(G15/1000)</f>
        <v>0</v>
      </c>
      <c r="R115" s="294">
        <f>+N115*M115+P115*Q115</f>
        <v>0</v>
      </c>
      <c r="S115" s="185">
        <f>((I15*I15)/162)*R115</f>
        <v>0</v>
      </c>
      <c r="T115" s="153" t="s">
        <v>193</v>
      </c>
    </row>
    <row r="116" spans="2:21" hidden="1">
      <c r="C116" s="153" t="s">
        <v>138</v>
      </c>
      <c r="D116" s="190">
        <f>ROUNDUP(+E115/K15,0)</f>
        <v>0</v>
      </c>
      <c r="E116" s="291"/>
      <c r="G116" s="295"/>
      <c r="H116" s="295"/>
      <c r="I116" s="190"/>
      <c r="J116" s="190">
        <f>0.5*(0.075+0.05)*0.075*C15*D116</f>
        <v>0</v>
      </c>
      <c r="K116" s="190">
        <f>+(0.075+0.08)*C15*D116</f>
        <v>0</v>
      </c>
      <c r="L116" s="296">
        <f>+D116</f>
        <v>0</v>
      </c>
      <c r="M116" s="187">
        <f>+ROUNDUP(L116,0)</f>
        <v>0</v>
      </c>
      <c r="N116" s="193">
        <f>+(C15-0.08)+((0.075+0.05-0.04)*2)</f>
        <v>0.84000000000000008</v>
      </c>
      <c r="O116" s="296"/>
      <c r="P116" s="194"/>
      <c r="Q116" s="194"/>
      <c r="R116" s="294">
        <f>+N116*M116+P116*Q116</f>
        <v>0</v>
      </c>
      <c r="S116" s="185">
        <f>((I15*I15)/162)*R116</f>
        <v>0</v>
      </c>
      <c r="T116" s="153" t="s">
        <v>193</v>
      </c>
      <c r="U116" s="190">
        <f>S115+S116</f>
        <v>0</v>
      </c>
    </row>
    <row r="117" spans="2:21" hidden="1">
      <c r="B117" s="153" t="s">
        <v>191</v>
      </c>
      <c r="C117" s="177" t="s">
        <v>197</v>
      </c>
      <c r="E117" s="291"/>
      <c r="G117" s="292">
        <f>+E117*(C15+E15*2+1.5)</f>
        <v>0</v>
      </c>
      <c r="H117" s="292">
        <f>+E117*(C15+E15*2)*(D15+E15+F15)</f>
        <v>0</v>
      </c>
      <c r="I117" s="185">
        <f>+(C15+E15*2)*E117*F15</f>
        <v>0</v>
      </c>
      <c r="J117" s="185">
        <f>+E117*((C15+E15*2)*E15+(D15*E15*2))</f>
        <v>0</v>
      </c>
      <c r="K117" s="185">
        <f>+(D15+$K$104*(D15+E15))*E117*2</f>
        <v>0</v>
      </c>
      <c r="L117" s="293">
        <f>+(E117)/H15+ IF(E117&gt;0,1,0)</f>
        <v>0</v>
      </c>
      <c r="M117" s="187">
        <f>+ROUNDUP(L117,0)</f>
        <v>0</v>
      </c>
      <c r="N117" s="188">
        <f>+(D15+E15-0.08)*2+(C15+E15*2-0.08)</f>
        <v>2.5100000000000002</v>
      </c>
      <c r="O117" s="293">
        <f>+N117/J15+1</f>
        <v>11.040000000000001</v>
      </c>
      <c r="P117" s="187">
        <f>+ROUNDUP(O117,0)</f>
        <v>12</v>
      </c>
      <c r="Q117" s="187">
        <f>+E117+E117/6*50*(G15/1000)</f>
        <v>0</v>
      </c>
      <c r="R117" s="294">
        <f>+N117*M117+P117*Q117</f>
        <v>0</v>
      </c>
      <c r="S117" s="185">
        <f>((I15*I15)/162)*R117</f>
        <v>0</v>
      </c>
      <c r="T117" s="153" t="s">
        <v>193</v>
      </c>
    </row>
    <row r="118" spans="2:21" hidden="1">
      <c r="C118" s="153" t="s">
        <v>138</v>
      </c>
      <c r="D118" s="190">
        <f>ROUNDUP(+E117/K15,0)</f>
        <v>0</v>
      </c>
      <c r="E118" s="291"/>
      <c r="G118" s="295"/>
      <c r="H118" s="295"/>
      <c r="I118" s="190"/>
      <c r="J118" s="190">
        <f>0.5*(0.075+0.05)*0.075*C15*D118</f>
        <v>0</v>
      </c>
      <c r="K118" s="190">
        <f>+(0.075+0.08)*C15*D118</f>
        <v>0</v>
      </c>
      <c r="L118" s="296">
        <f>+D118</f>
        <v>0</v>
      </c>
      <c r="M118" s="187">
        <f>+ROUNDUP(L118,0)</f>
        <v>0</v>
      </c>
      <c r="N118" s="193">
        <f>+(C15-0.08)+((0.075+0.05-0.04)*2)</f>
        <v>0.84000000000000008</v>
      </c>
      <c r="O118" s="296"/>
      <c r="P118" s="194"/>
      <c r="Q118" s="194"/>
      <c r="R118" s="294">
        <f>+N118*M118+P118*Q118</f>
        <v>0</v>
      </c>
      <c r="S118" s="185">
        <f>((I15*I15)/162)*R118</f>
        <v>0</v>
      </c>
      <c r="T118" s="153" t="s">
        <v>193</v>
      </c>
    </row>
    <row r="119" spans="2:21" hidden="1">
      <c r="B119" s="201" t="s">
        <v>198</v>
      </c>
      <c r="D119" s="190"/>
      <c r="E119" s="291"/>
      <c r="G119" s="295"/>
      <c r="H119" s="295"/>
      <c r="I119" s="190"/>
      <c r="J119" s="190"/>
      <c r="K119" s="190"/>
      <c r="L119" s="296"/>
      <c r="M119" s="194"/>
      <c r="N119" s="193"/>
      <c r="O119" s="296"/>
      <c r="P119" s="194"/>
      <c r="Q119" s="194"/>
      <c r="R119" s="297"/>
      <c r="S119" s="190"/>
    </row>
    <row r="120" spans="2:21" hidden="1">
      <c r="C120" s="201" t="s">
        <v>199</v>
      </c>
      <c r="D120" s="190"/>
      <c r="E120" s="291"/>
      <c r="G120" s="295"/>
      <c r="H120" s="295"/>
      <c r="I120" s="190"/>
      <c r="J120" s="190"/>
      <c r="K120" s="190"/>
      <c r="L120" s="296"/>
      <c r="M120" s="194"/>
      <c r="N120" s="193"/>
      <c r="O120" s="296"/>
      <c r="P120" s="194"/>
      <c r="Q120" s="194"/>
      <c r="R120" s="297"/>
      <c r="S120" s="190"/>
    </row>
    <row r="121" spans="2:21" hidden="1">
      <c r="C121" s="201" t="s">
        <v>200</v>
      </c>
      <c r="D121" s="190"/>
      <c r="E121" s="291"/>
      <c r="G121" s="295"/>
      <c r="H121" s="295"/>
      <c r="I121" s="190"/>
      <c r="J121" s="190"/>
      <c r="K121" s="190"/>
      <c r="L121" s="296"/>
      <c r="M121" s="194"/>
      <c r="N121" s="193"/>
      <c r="O121" s="296"/>
      <c r="P121" s="194"/>
      <c r="Q121" s="194"/>
      <c r="R121" s="297"/>
      <c r="S121" s="190"/>
    </row>
    <row r="122" spans="2:21" hidden="1"/>
    <row r="123" spans="2:21" hidden="1">
      <c r="B123" s="153" t="s">
        <v>191</v>
      </c>
      <c r="C123" s="177" t="s">
        <v>201</v>
      </c>
      <c r="E123" s="291"/>
      <c r="G123" s="292">
        <f>+E123*(C18+E18*2+1.5)</f>
        <v>0</v>
      </c>
      <c r="H123" s="292">
        <f>+E123*(C18+E18*2)*(D18+E18+F18)</f>
        <v>0</v>
      </c>
      <c r="I123" s="185">
        <f>+(C18+E18*2)*E123*F18</f>
        <v>0</v>
      </c>
      <c r="J123" s="185">
        <f>+E123*((C18+E18*2)*E18+(D18*E18*2))</f>
        <v>0</v>
      </c>
      <c r="K123" s="185">
        <f>+(D18+$K$104*(D18+E18))*E123*2</f>
        <v>0</v>
      </c>
      <c r="L123" s="293">
        <f>+(E123)/H18+ IF(E123&gt;0,1,0)</f>
        <v>0</v>
      </c>
      <c r="M123" s="187">
        <f>+ROUNDUP(L123,0)</f>
        <v>0</v>
      </c>
      <c r="N123" s="188">
        <f>+(D18+E18-0.08)*2+(C18+E18*2-0.08)</f>
        <v>3.06</v>
      </c>
      <c r="O123" s="293">
        <f>+N123/J18+1</f>
        <v>13.24</v>
      </c>
      <c r="P123" s="187">
        <f>+ROUNDUP(O123,0)</f>
        <v>14</v>
      </c>
      <c r="Q123" s="187">
        <f>+E123+E123/6*50*(G18/1000)</f>
        <v>0</v>
      </c>
      <c r="R123" s="294">
        <f>+N123*M123+P123*Q123</f>
        <v>0</v>
      </c>
      <c r="S123" s="185">
        <f>((I18*I18)/162)*R123</f>
        <v>0</v>
      </c>
      <c r="T123" s="153" t="s">
        <v>193</v>
      </c>
    </row>
    <row r="124" spans="2:21" hidden="1">
      <c r="C124" s="153" t="s">
        <v>138</v>
      </c>
      <c r="D124" s="190">
        <f>ROUNDUP(+E123/K18,0)</f>
        <v>0</v>
      </c>
      <c r="E124" s="291"/>
      <c r="G124" s="295"/>
      <c r="H124" s="295"/>
      <c r="I124" s="190"/>
      <c r="J124" s="190">
        <f>0.5*(0.075+0.05)*0.075*C18*D124</f>
        <v>0</v>
      </c>
      <c r="K124" s="190">
        <f>+(0.075+0.08)*C18*D124</f>
        <v>0</v>
      </c>
      <c r="L124" s="296">
        <f>+D124</f>
        <v>0</v>
      </c>
      <c r="M124" s="187">
        <f>+ROUNDUP(L124,0)</f>
        <v>0</v>
      </c>
      <c r="N124" s="193">
        <f>+(C18-0.08)+((0.075+0.05-0.04)*2)</f>
        <v>0.99</v>
      </c>
      <c r="O124" s="296"/>
      <c r="P124" s="194"/>
      <c r="Q124" s="194"/>
      <c r="R124" s="294">
        <f>+N124*M124+P124*Q124</f>
        <v>0</v>
      </c>
      <c r="S124" s="185">
        <f>((I18*I18)/162)*R124</f>
        <v>0</v>
      </c>
      <c r="T124" s="153" t="s">
        <v>193</v>
      </c>
    </row>
    <row r="125" spans="2:21" hidden="1"/>
    <row r="126" spans="2:21" hidden="1">
      <c r="B126" s="153" t="s">
        <v>191</v>
      </c>
      <c r="C126" s="177" t="s">
        <v>202</v>
      </c>
      <c r="E126" s="291"/>
      <c r="G126" s="292">
        <f>+E126*(C21+E21*2+3)</f>
        <v>0</v>
      </c>
      <c r="H126" s="292">
        <f>+E126*(C21+E21*2)*(D21+E21+F21)</f>
        <v>0</v>
      </c>
      <c r="I126" s="185">
        <f>+(C21+E21*2)*E126*F21</f>
        <v>0</v>
      </c>
      <c r="J126" s="185">
        <f>+E126*((C21+E21*2)*E21+(D21*E21*2))</f>
        <v>0</v>
      </c>
      <c r="K126" s="185">
        <f>+(D21+$K$104*(D21+E21))*E126*2</f>
        <v>0</v>
      </c>
      <c r="L126" s="293">
        <f>+(E126)/H21+ IF(E126&gt;0,1,0)</f>
        <v>0</v>
      </c>
      <c r="M126" s="187">
        <f>+ROUNDUP(L126,0)</f>
        <v>0</v>
      </c>
      <c r="N126" s="188">
        <f>+(D21+E21-0.08)*2+(C21+E21*2-0.08)</f>
        <v>3.3599999999999994</v>
      </c>
      <c r="O126" s="293">
        <f>+N126/J21+1</f>
        <v>14.439999999999998</v>
      </c>
      <c r="P126" s="187">
        <f>+ROUNDUP(O126,0)</f>
        <v>15</v>
      </c>
      <c r="Q126" s="187">
        <f>+E126+E126/6*50*(G21/1000)</f>
        <v>0</v>
      </c>
      <c r="R126" s="294">
        <f>+N126*M126+P126*Q126</f>
        <v>0</v>
      </c>
      <c r="S126" s="185">
        <f>((I21*I21)/162)*R126</f>
        <v>0</v>
      </c>
      <c r="T126" s="153" t="s">
        <v>193</v>
      </c>
    </row>
    <row r="127" spans="2:21" hidden="1">
      <c r="C127" s="153" t="s">
        <v>138</v>
      </c>
      <c r="D127" s="190">
        <f>ROUNDUP(+E126/K21,0)</f>
        <v>0</v>
      </c>
      <c r="E127" s="291"/>
      <c r="G127" s="295"/>
      <c r="H127" s="295"/>
      <c r="I127" s="190"/>
      <c r="J127" s="190">
        <f>0.5*(0.075+0.05)*0.075*C21*D127</f>
        <v>0</v>
      </c>
      <c r="K127" s="190">
        <f>+(0.075+0.08)*C21*D127</f>
        <v>0</v>
      </c>
      <c r="L127" s="296">
        <f>+D127</f>
        <v>0</v>
      </c>
      <c r="M127" s="187">
        <f>+ROUNDUP(L127,0)</f>
        <v>0</v>
      </c>
      <c r="N127" s="193">
        <f>+(C21-0.08)+((0.075+0.05-0.04)*2)</f>
        <v>1.0900000000000001</v>
      </c>
      <c r="O127" s="296"/>
      <c r="P127" s="194"/>
      <c r="Q127" s="194"/>
      <c r="R127" s="294">
        <f>+N127*M127+P127*Q127</f>
        <v>0</v>
      </c>
      <c r="S127" s="185">
        <f>((I21*I21)/162)*R127</f>
        <v>0</v>
      </c>
      <c r="T127" s="153" t="s">
        <v>193</v>
      </c>
    </row>
    <row r="128" spans="2:21" hidden="1"/>
    <row r="129" spans="2:20" hidden="1">
      <c r="B129" s="153" t="s">
        <v>191</v>
      </c>
      <c r="C129" s="177" t="s">
        <v>203</v>
      </c>
      <c r="E129" s="291"/>
      <c r="G129" s="292">
        <f>+E129*(C24+E24*2+1.5)</f>
        <v>0</v>
      </c>
      <c r="H129" s="292">
        <f>+E129*(C24+E24*2)*(((D24+E24+F24)*2+0.1)/2)</f>
        <v>0</v>
      </c>
      <c r="I129" s="185">
        <f>+(C24+E24*2)*E129*F24</f>
        <v>0</v>
      </c>
      <c r="J129" s="185">
        <f>+E129*((C24+E24*2)*E24+(D24*E24)+((D24+0.1)*E24))</f>
        <v>0</v>
      </c>
      <c r="K129" s="185">
        <f>+((D24*2)+$K$104*((D24+E24)+(D24+E24+0.1)))*E129</f>
        <v>0</v>
      </c>
      <c r="L129" s="293">
        <f>+(E129)/H24+ IF(E129&gt;0,1,0)</f>
        <v>0</v>
      </c>
      <c r="M129" s="187">
        <f>+ROUNDUP(L129,0)</f>
        <v>0</v>
      </c>
      <c r="N129" s="188">
        <f>+(D24+E24-0.08)+(D24+E24+0.1-0.08)+(C24+E24*2-0.08)</f>
        <v>1.1599999999999999</v>
      </c>
      <c r="O129" s="293">
        <f>+N129/J24+1</f>
        <v>5.64</v>
      </c>
      <c r="P129" s="187">
        <f>+ROUNDUP(O129,0)</f>
        <v>6</v>
      </c>
      <c r="Q129" s="187">
        <f>+E129+E129/6*50*(G24/1000)</f>
        <v>0</v>
      </c>
      <c r="R129" s="294">
        <f>+N129*M129+P129*Q129</f>
        <v>0</v>
      </c>
      <c r="S129" s="185">
        <f>((I24*I24)/162)*R129</f>
        <v>0</v>
      </c>
      <c r="T129" s="153" t="s">
        <v>193</v>
      </c>
    </row>
    <row r="130" spans="2:20" hidden="1">
      <c r="C130" s="153" t="s">
        <v>138</v>
      </c>
      <c r="D130" s="190">
        <f>ROUNDUP(+E129/K24,0)</f>
        <v>0</v>
      </c>
      <c r="E130" s="291"/>
      <c r="G130" s="295"/>
      <c r="H130" s="295"/>
      <c r="I130" s="190"/>
      <c r="J130" s="190">
        <f>0.5*(0.075+0.05)*0.075*C24*D130</f>
        <v>0</v>
      </c>
      <c r="K130" s="190">
        <f>+(0.075+0.08)*C24*D130</f>
        <v>0</v>
      </c>
      <c r="L130" s="296">
        <f>+D130</f>
        <v>0</v>
      </c>
      <c r="M130" s="187">
        <f>+ROUNDUP(L130,0)</f>
        <v>0</v>
      </c>
      <c r="N130" s="193">
        <f>+(C24-0.08)+((0.075+0.05-0.04)*2)</f>
        <v>0.38999999999999996</v>
      </c>
      <c r="O130" s="296"/>
      <c r="P130" s="194"/>
      <c r="Q130" s="194"/>
      <c r="R130" s="294">
        <f>+N130*M130+P130*Q130</f>
        <v>0</v>
      </c>
      <c r="S130" s="185">
        <f>((I24*I24)/162)*R130</f>
        <v>0</v>
      </c>
      <c r="T130" s="153" t="s">
        <v>193</v>
      </c>
    </row>
    <row r="131" spans="2:20" hidden="1"/>
    <row r="132" spans="2:20" hidden="1">
      <c r="B132" s="153" t="s">
        <v>191</v>
      </c>
      <c r="C132" s="177" t="s">
        <v>204</v>
      </c>
      <c r="E132" s="291"/>
      <c r="G132" s="292">
        <f>+E132*(C27+E27*2+1.5)</f>
        <v>0</v>
      </c>
      <c r="H132" s="292">
        <f>+E132*(C27+E27*2)*(((D27+E27+F27)*2+0.1)/2)</f>
        <v>0</v>
      </c>
      <c r="I132" s="185">
        <f>+(C27+E27*2)*E132*F27</f>
        <v>0</v>
      </c>
      <c r="J132" s="185">
        <f>+E132*((C27+E27*2)*E27+(D27*E27)+((D27+0.1)*E27))</f>
        <v>0</v>
      </c>
      <c r="K132" s="185">
        <f>+((D27*2)+$K$104*((D27+E27)+(D27+E27+0.1)))*E132</f>
        <v>0</v>
      </c>
      <c r="L132" s="293">
        <f>+(E132)/H27+ IF(E132&gt;0,1,0)</f>
        <v>0</v>
      </c>
      <c r="M132" s="187">
        <f>+ROUNDUP(L132,0)</f>
        <v>0</v>
      </c>
      <c r="N132" s="188">
        <f>+(D27+E27-0.08)+(D27+E27+0.1-0.08)+(C27+E27*2-0.08)</f>
        <v>2.06</v>
      </c>
      <c r="O132" s="293">
        <f>+N132/J27+1</f>
        <v>9.24</v>
      </c>
      <c r="P132" s="187">
        <f>+ROUNDUP(O132,0)</f>
        <v>10</v>
      </c>
      <c r="Q132" s="187">
        <f>+E132+E132/6*50*(G27/1000)</f>
        <v>0</v>
      </c>
      <c r="R132" s="294">
        <f>+N132*M132+P132*Q132</f>
        <v>0</v>
      </c>
      <c r="S132" s="185">
        <f>((I27*I27)/162)*R132</f>
        <v>0</v>
      </c>
      <c r="T132" s="153" t="s">
        <v>193</v>
      </c>
    </row>
    <row r="133" spans="2:20" hidden="1">
      <c r="C133" s="153" t="s">
        <v>138</v>
      </c>
      <c r="D133" s="190">
        <f>ROUNDUP(+E132/K27,0)</f>
        <v>0</v>
      </c>
      <c r="E133" s="291"/>
      <c r="G133" s="295"/>
      <c r="H133" s="295"/>
      <c r="I133" s="190"/>
      <c r="J133" s="190">
        <f>0.5*(0.075+0.05)*0.075*C27*D133</f>
        <v>0</v>
      </c>
      <c r="K133" s="190">
        <f>+(0.075+0.08)*C27*D133</f>
        <v>0</v>
      </c>
      <c r="L133" s="296">
        <f>+D133</f>
        <v>0</v>
      </c>
      <c r="M133" s="187">
        <f>+ROUNDUP(L133,0)</f>
        <v>0</v>
      </c>
      <c r="N133" s="193">
        <f>+(C27-0.08)+((0.075+0.05-0.04)*2)</f>
        <v>0.69</v>
      </c>
      <c r="O133" s="296"/>
      <c r="P133" s="194"/>
      <c r="Q133" s="194"/>
      <c r="R133" s="294">
        <f>+N133*M133+P133*Q133</f>
        <v>0</v>
      </c>
      <c r="S133" s="185">
        <f>((I27*I27)/162)*R133</f>
        <v>0</v>
      </c>
      <c r="T133" s="153" t="s">
        <v>193</v>
      </c>
    </row>
    <row r="134" spans="2:20" hidden="1"/>
    <row r="135" spans="2:20" hidden="1">
      <c r="B135" s="153" t="s">
        <v>191</v>
      </c>
      <c r="C135" s="177" t="s">
        <v>205</v>
      </c>
      <c r="E135" s="291"/>
      <c r="G135" s="292">
        <f>+E135*(C30+E30*2+0.5)</f>
        <v>0</v>
      </c>
      <c r="H135" s="292">
        <f>+E135*(C30+E30*2)*(((D30+E30+F30)*2+0.1)/2)</f>
        <v>0</v>
      </c>
      <c r="I135" s="185">
        <f>+(C30+E30*2)*E135*F30</f>
        <v>0</v>
      </c>
      <c r="J135" s="185">
        <f>+E135*((C30+E30*2)*E30+(D30*E30)+((D30+0.1)*E30))</f>
        <v>0</v>
      </c>
      <c r="K135" s="185">
        <f>+((D30*2)+$K$104*((D30+E30)+(D30+E30+0.1)))*E135</f>
        <v>0</v>
      </c>
      <c r="L135" s="293">
        <f>+(E135)/H30+ IF(E135&gt;0,1,0)</f>
        <v>0</v>
      </c>
      <c r="M135" s="187">
        <f>+ROUNDUP(L135,0)</f>
        <v>0</v>
      </c>
      <c r="N135" s="188">
        <f>+(D30+E30-0.08)+(D30+E30+0.1-0.08)+(C30+E30*2-0.08)</f>
        <v>1.1599999999999999</v>
      </c>
      <c r="O135" s="293">
        <f>+N135/J30+1</f>
        <v>5.64</v>
      </c>
      <c r="P135" s="187">
        <f>+ROUNDUP(O135,0)</f>
        <v>6</v>
      </c>
      <c r="Q135" s="187">
        <f>+E135+E135/6*50*(G30/1000)</f>
        <v>0</v>
      </c>
      <c r="R135" s="294">
        <f>+N135*M135+P135*Q135</f>
        <v>0</v>
      </c>
      <c r="S135" s="185">
        <f>((I30*I30)/162)*R135</f>
        <v>0</v>
      </c>
      <c r="T135" s="153" t="s">
        <v>193</v>
      </c>
    </row>
    <row r="136" spans="2:20" hidden="1">
      <c r="C136" s="153" t="s">
        <v>158</v>
      </c>
      <c r="D136" s="190"/>
      <c r="E136" s="291"/>
      <c r="G136" s="292">
        <f>+E136*(C31+0.5)</f>
        <v>0</v>
      </c>
      <c r="H136" s="295">
        <f>+E136*C31*E31</f>
        <v>0</v>
      </c>
      <c r="I136" s="190"/>
      <c r="J136" s="190">
        <f>+E136*C31*E31</f>
        <v>0</v>
      </c>
      <c r="K136" s="190">
        <f>+E136*E31</f>
        <v>0</v>
      </c>
      <c r="L136" s="293">
        <f>+(E136)/H31+ IF(E136&gt;0,1,0)</f>
        <v>0</v>
      </c>
      <c r="M136" s="187">
        <f>+ROUNDUP(L136,0)</f>
        <v>0</v>
      </c>
      <c r="N136" s="188">
        <f>+C31-0.04</f>
        <v>1.46</v>
      </c>
      <c r="O136" s="293">
        <f>+N136/J31+1</f>
        <v>10.733333333333334</v>
      </c>
      <c r="P136" s="187">
        <f>+ROUNDUP(O136,0)</f>
        <v>11</v>
      </c>
      <c r="Q136" s="187">
        <f>+E136+E136/6*50*(G31/1000)</f>
        <v>0</v>
      </c>
      <c r="R136" s="294">
        <f>+N136*M136+P136*Q136</f>
        <v>0</v>
      </c>
      <c r="S136" s="185">
        <f>((I31*I31)/162)*R136</f>
        <v>0</v>
      </c>
      <c r="T136" s="153" t="s">
        <v>193</v>
      </c>
    </row>
    <row r="137" spans="2:20" hidden="1">
      <c r="N137" s="188"/>
    </row>
    <row r="138" spans="2:20" hidden="1">
      <c r="B138" s="153" t="s">
        <v>191</v>
      </c>
      <c r="C138" s="177" t="s">
        <v>206</v>
      </c>
      <c r="E138" s="291"/>
      <c r="G138" s="292">
        <f>+E138*(C33+E33*2+0.5)</f>
        <v>0</v>
      </c>
      <c r="H138" s="292">
        <f>+E138*(C33+E33*2)*(((D33+E33+F33)*2+0.1)/2)</f>
        <v>0</v>
      </c>
      <c r="I138" s="185">
        <f>+(C33+E33*2)*E138*F33</f>
        <v>0</v>
      </c>
      <c r="J138" s="185">
        <f>+E138*((C33+E33*2)*E33+(D33*E33)+((D33+0.1)*E33))</f>
        <v>0</v>
      </c>
      <c r="K138" s="185">
        <f>+((D33*2)+$K$104*((D33+E33)+(D33+E33+0.1)))*E138</f>
        <v>0</v>
      </c>
      <c r="L138" s="293">
        <f>+(E138)/H33+ IF(E138&gt;0,1,0)</f>
        <v>0</v>
      </c>
      <c r="M138" s="187">
        <f>+ROUNDUP(L138,0)</f>
        <v>0</v>
      </c>
      <c r="N138" s="188">
        <f>+(D33+E33-0.08)+(D33+E33+0.1-0.08)+(C33+E33*2-0.08)</f>
        <v>1.61</v>
      </c>
      <c r="O138" s="293">
        <f>+N138/J33+1</f>
        <v>7.44</v>
      </c>
      <c r="P138" s="187">
        <f>+ROUNDUP(O138,0)</f>
        <v>8</v>
      </c>
      <c r="Q138" s="187">
        <f>+E138+E138/6*50*(G33/1000)</f>
        <v>0</v>
      </c>
      <c r="R138" s="294">
        <f>+N138*M138+P138*Q138</f>
        <v>0</v>
      </c>
      <c r="S138" s="185">
        <f>((I33*I33)/162)*R138</f>
        <v>0</v>
      </c>
      <c r="T138" s="153" t="s">
        <v>193</v>
      </c>
    </row>
    <row r="139" spans="2:20" hidden="1">
      <c r="C139" s="153" t="s">
        <v>158</v>
      </c>
      <c r="D139" s="190"/>
      <c r="E139" s="291"/>
      <c r="G139" s="292">
        <f>+E139*(C34+0.5)</f>
        <v>0</v>
      </c>
      <c r="H139" s="295">
        <f>+E139*C34*E34</f>
        <v>0</v>
      </c>
      <c r="I139" s="190"/>
      <c r="J139" s="190">
        <f>+E139*C34*E34</f>
        <v>0</v>
      </c>
      <c r="K139" s="190">
        <f>+E139*E34</f>
        <v>0</v>
      </c>
      <c r="L139" s="293">
        <f>+(E139)/H34+ IF(E139&gt;0,1,0)</f>
        <v>0</v>
      </c>
      <c r="M139" s="187">
        <f>+ROUNDUP(L139,0)</f>
        <v>0</v>
      </c>
      <c r="N139" s="188">
        <f>+C34-0.04</f>
        <v>1.46</v>
      </c>
      <c r="O139" s="293">
        <f>+N139/J34+1</f>
        <v>10.733333333333334</v>
      </c>
      <c r="P139" s="187">
        <f>+ROUNDUP(O139,0)</f>
        <v>11</v>
      </c>
      <c r="Q139" s="187">
        <f>+E139+E139/6*50*(G34/1000)</f>
        <v>0</v>
      </c>
      <c r="R139" s="294">
        <f>+N139*M139+P139*Q139</f>
        <v>0</v>
      </c>
      <c r="S139" s="185">
        <f>((I34*I34)/162)*R139</f>
        <v>0</v>
      </c>
      <c r="T139" s="153" t="s">
        <v>193</v>
      </c>
    </row>
    <row r="140" spans="2:20" hidden="1">
      <c r="N140" s="188"/>
    </row>
    <row r="141" spans="2:20" hidden="1">
      <c r="B141" s="153" t="s">
        <v>191</v>
      </c>
      <c r="C141" s="177" t="s">
        <v>207</v>
      </c>
      <c r="E141" s="291"/>
      <c r="G141" s="292">
        <f>+E141*(C36+E36*2+0.5)</f>
        <v>0</v>
      </c>
      <c r="H141" s="292">
        <f>+E141*(C36+E36*2)*(((D36+E36+F36)*2+0.1)/2)</f>
        <v>0</v>
      </c>
      <c r="I141" s="185">
        <f>+(C36+E36*2)*E141*F36</f>
        <v>0</v>
      </c>
      <c r="J141" s="185">
        <f>+E141*((C36+E36*2)*E36+(D36*E36)+((D36+0.1)*E36))</f>
        <v>0</v>
      </c>
      <c r="K141" s="185">
        <f>+((D36*2)+$K$104*((D36+E36)+(D36+E36+0.1)))*E141</f>
        <v>0</v>
      </c>
      <c r="L141" s="293">
        <f>+(E141)/H36+ IF(E141&gt;0,1,0)</f>
        <v>0</v>
      </c>
      <c r="M141" s="187">
        <f>+ROUNDUP(L141,0)</f>
        <v>0</v>
      </c>
      <c r="N141" s="188">
        <f>+(D36+E36-0.08)+(D36+E36+0.1-0.08)+(C36+E36*2-0.08)</f>
        <v>1.5599999999999998</v>
      </c>
      <c r="O141" s="293">
        <f>+N141/J36+1</f>
        <v>7.2399999999999993</v>
      </c>
      <c r="P141" s="187">
        <f>+ROUNDUP(O141,0)</f>
        <v>8</v>
      </c>
      <c r="Q141" s="187">
        <f>+E141+E141/6*50*(G36/1000)</f>
        <v>0</v>
      </c>
      <c r="R141" s="294">
        <f>+N141*M141+P141*Q141</f>
        <v>0</v>
      </c>
      <c r="S141" s="185">
        <f>((I36*I36)/162)*R141</f>
        <v>0</v>
      </c>
      <c r="T141" s="153" t="s">
        <v>193</v>
      </c>
    </row>
    <row r="142" spans="2:20" hidden="1">
      <c r="C142" s="153" t="s">
        <v>158</v>
      </c>
      <c r="D142" s="190"/>
      <c r="E142" s="291"/>
      <c r="G142" s="292">
        <f>+E142*(C37+0.5)</f>
        <v>0</v>
      </c>
      <c r="H142" s="295">
        <f>+E142*C37*E37</f>
        <v>0</v>
      </c>
      <c r="I142" s="190"/>
      <c r="J142" s="190">
        <f>+E142*C37*E37</f>
        <v>0</v>
      </c>
      <c r="K142" s="190">
        <f>+E142*E37</f>
        <v>0</v>
      </c>
      <c r="L142" s="293">
        <f>+(E142)/H37+ IF(E142&gt;0,1,0)</f>
        <v>0</v>
      </c>
      <c r="M142" s="187">
        <f>+ROUNDUP(L142,0)</f>
        <v>0</v>
      </c>
      <c r="N142" s="188">
        <f>+C37-0.04</f>
        <v>1.46</v>
      </c>
      <c r="O142" s="293">
        <f>+N142/J37+1</f>
        <v>10.733333333333334</v>
      </c>
      <c r="P142" s="187">
        <f>+ROUNDUP(O142,0)</f>
        <v>11</v>
      </c>
      <c r="Q142" s="187">
        <f>+E142+E142/6*50*(G37/1000)</f>
        <v>0</v>
      </c>
      <c r="R142" s="294">
        <f>+N142*M142+P142*Q142</f>
        <v>0</v>
      </c>
      <c r="S142" s="185">
        <f>((I37*I37)/162)*R142</f>
        <v>0</v>
      </c>
      <c r="T142" s="153" t="s">
        <v>193</v>
      </c>
    </row>
    <row r="143" spans="2:20" hidden="1">
      <c r="N143" s="188"/>
    </row>
    <row r="144" spans="2:20">
      <c r="B144" s="298" t="s">
        <v>191</v>
      </c>
      <c r="C144" s="299" t="s">
        <v>208</v>
      </c>
      <c r="E144" s="291">
        <v>480.2</v>
      </c>
      <c r="G144" s="292">
        <f>+E144*(C39+E39)</f>
        <v>528.22</v>
      </c>
      <c r="H144" s="292">
        <f>+E144*(C39+E39)*E39</f>
        <v>52.822000000000003</v>
      </c>
      <c r="I144" s="185">
        <f>+E144*(C39+E39)*F39</f>
        <v>26.411000000000001</v>
      </c>
      <c r="J144" s="185">
        <f>+E144*((C39+E39)*E39+(E39*D39))</f>
        <v>62.426000000000002</v>
      </c>
      <c r="K144" s="185">
        <f>+E144*(E39*2+D39*2)</f>
        <v>288.12000000000006</v>
      </c>
      <c r="L144" s="293">
        <f>+(E144)/H39+ IF(E144&gt;0,1,0)</f>
        <v>1921.8</v>
      </c>
      <c r="M144" s="187">
        <f>+ROUNDUP(L144,0)</f>
        <v>1922</v>
      </c>
      <c r="N144" s="188">
        <f>+(C39+E39-0.08)+(D39+E39-0.08)</f>
        <v>1.24</v>
      </c>
      <c r="O144" s="293">
        <f>+N144/J39+1</f>
        <v>5.96</v>
      </c>
      <c r="P144" s="187">
        <f>+ROUNDUP(O144,0)</f>
        <v>6</v>
      </c>
      <c r="Q144" s="187">
        <f>+E144+E144/6*50*(G39/1000)</f>
        <v>520.2166666666667</v>
      </c>
      <c r="R144" s="294">
        <f>+N144*M144+P144*Q144</f>
        <v>5504.58</v>
      </c>
      <c r="S144" s="185">
        <f>((I39*I39)/162)*R144</f>
        <v>3397.8888888888887</v>
      </c>
      <c r="T144" s="153" t="s">
        <v>193</v>
      </c>
    </row>
    <row r="145" spans="2:20">
      <c r="N145" s="188"/>
    </row>
    <row r="146" spans="2:20" hidden="1">
      <c r="B146" s="153" t="s">
        <v>191</v>
      </c>
      <c r="C146" s="177" t="s">
        <v>209</v>
      </c>
      <c r="E146" s="291"/>
      <c r="G146" s="292">
        <f>+E146*(C41+E41)</f>
        <v>0</v>
      </c>
      <c r="H146" s="292">
        <f>+E146*(C41+E41)*E41</f>
        <v>0</v>
      </c>
      <c r="I146" s="185">
        <f>+E146*(C41+E41)*F41</f>
        <v>0</v>
      </c>
      <c r="J146" s="185">
        <f>+E146*((C41+E41)*E41+(E41*D41))</f>
        <v>0</v>
      </c>
      <c r="K146" s="185">
        <f>+E146*(E41*2+D41*2)</f>
        <v>0</v>
      </c>
      <c r="L146" s="293">
        <f>+(E146)/H41+ IF(E146&gt;0,1,0)</f>
        <v>0</v>
      </c>
      <c r="M146" s="187">
        <f>+ROUNDUP(L146,0)</f>
        <v>0</v>
      </c>
      <c r="N146" s="188">
        <f>+(C41+E41-0.08)+(D41+E41-0.08)</f>
        <v>1.34</v>
      </c>
      <c r="O146" s="293">
        <f>+N146/J41+1</f>
        <v>6.36</v>
      </c>
      <c r="P146" s="187">
        <f>+ROUNDUP(O146,0)</f>
        <v>7</v>
      </c>
      <c r="Q146" s="187">
        <f>+E146+E146/6*50*(G41/1000)</f>
        <v>0</v>
      </c>
      <c r="R146" s="294">
        <f>+N146*M146+P146*Q146</f>
        <v>0</v>
      </c>
      <c r="S146" s="185">
        <f>((I41*I41)/162)*R146</f>
        <v>0</v>
      </c>
      <c r="T146" s="153" t="s">
        <v>193</v>
      </c>
    </row>
    <row r="147" spans="2:20" hidden="1">
      <c r="N147" s="188"/>
    </row>
    <row r="148" spans="2:20" hidden="1">
      <c r="B148" s="153" t="s">
        <v>191</v>
      </c>
      <c r="C148" s="177" t="s">
        <v>210</v>
      </c>
      <c r="E148" s="291"/>
      <c r="G148" s="292">
        <f>+E148*(C43+E43*2+1.5)</f>
        <v>0</v>
      </c>
      <c r="H148" s="292">
        <f>+E148*(C43+E43*2)*(((D43+E43+F43)*2+0.6)/2)</f>
        <v>0</v>
      </c>
      <c r="I148" s="185">
        <f>+(C43+E43*2)*E148*F43</f>
        <v>0</v>
      </c>
      <c r="J148" s="185">
        <f>+E148*((C43+E43*2)*E43+(D43*E43)+((D43+0.6)*E43))</f>
        <v>0</v>
      </c>
      <c r="K148" s="185">
        <f>+((D43*2)+$K$104*((D43+E43)+(D43+E43+0.6)))*E148</f>
        <v>0</v>
      </c>
      <c r="L148" s="293">
        <f>+(E148)/H43+ IF(E148&gt;0,1,0)</f>
        <v>0</v>
      </c>
      <c r="M148" s="187">
        <f>+ROUNDUP(L148,0)</f>
        <v>0</v>
      </c>
      <c r="N148" s="188">
        <f>+(E43+D43+E43+C43+2*E43+E43+D43+0.6+E43-9*0.04)+(E43+D43+2*E43-5*0.04)+(E43+0.6+D43+2*E43-5*0.04)+(C43+4*E43-6*0.04)</f>
        <v>6.2</v>
      </c>
      <c r="O148" s="293">
        <f>2*(D43/J43+1)+2*((D43+0.6)/J43+1)+((C43+2*E43)/J43+1)</f>
        <v>23</v>
      </c>
      <c r="P148" s="187">
        <f>+ROUNDUP(O148,0)</f>
        <v>23</v>
      </c>
      <c r="Q148" s="187">
        <f>+E148+E148/6*50*(G43/1000)</f>
        <v>0</v>
      </c>
      <c r="R148" s="294">
        <f>+N148*M148+P148*Q148</f>
        <v>0</v>
      </c>
      <c r="S148" s="185">
        <f>((I43*I43)/162)*R148</f>
        <v>0</v>
      </c>
      <c r="T148" s="153" t="s">
        <v>193</v>
      </c>
    </row>
    <row r="149" spans="2:20" hidden="1"/>
    <row r="150" spans="2:20" hidden="1">
      <c r="B150" s="153" t="s">
        <v>191</v>
      </c>
      <c r="C150" s="177" t="s">
        <v>211</v>
      </c>
      <c r="E150" s="291"/>
      <c r="G150" s="292">
        <f>+E150*(C45+E45*2+1.5)</f>
        <v>0</v>
      </c>
      <c r="H150" s="292">
        <f>+E150*(C45+E45*2)*(((D45+E45+F45)*2+0.6)/2)</f>
        <v>0</v>
      </c>
      <c r="I150" s="185">
        <f>+(C45+E45*2)*E150*F45</f>
        <v>0</v>
      </c>
      <c r="J150" s="185">
        <f>+E150*((C45+E45*2)*E45+(D45*E45)+((D45+0.6)*E45))</f>
        <v>0</v>
      </c>
      <c r="K150" s="185">
        <f>+((D45*2)+$K$104*((D45+E45)+(D45+E45+0.6)))*E150</f>
        <v>0</v>
      </c>
      <c r="L150" s="293">
        <f>+(E150)/H45+ IF(E150&gt;0,1,0)</f>
        <v>0</v>
      </c>
      <c r="M150" s="187">
        <f>+ROUNDUP(L150,0)</f>
        <v>0</v>
      </c>
      <c r="N150" s="188">
        <f>+(E45+D45+E45+C45+2*E45+E45+D45+0.6+E45-9*0.04)+(E45+D45+2*E45-5*0.04)+(E45+0.6+D45+2*E45-5*0.04)+(C45+4*E45-6*0.04)</f>
        <v>7.4000000000000012</v>
      </c>
      <c r="O150" s="293">
        <f>2*(D45/J45+1)+2*((D45+0.6)/J45+1)+((C45+2*E45)/J45+1)</f>
        <v>27</v>
      </c>
      <c r="P150" s="187">
        <f>+ROUNDUP(O150,0)</f>
        <v>27</v>
      </c>
      <c r="Q150" s="187">
        <f>+E150+E150/6*50*(G45/1000)</f>
        <v>0</v>
      </c>
      <c r="R150" s="294">
        <f>+N150*M150+P150*Q150</f>
        <v>0</v>
      </c>
      <c r="S150" s="185">
        <f>((I45*I45)/162)*R150</f>
        <v>0</v>
      </c>
      <c r="T150" s="153" t="s">
        <v>193</v>
      </c>
    </row>
    <row r="151" spans="2:20" hidden="1"/>
    <row r="152" spans="2:20" hidden="1">
      <c r="B152" s="153" t="s">
        <v>191</v>
      </c>
      <c r="C152" s="177" t="s">
        <v>212</v>
      </c>
      <c r="E152" s="291"/>
      <c r="G152" s="292">
        <f>+E152*(C47+E47*2+1.5)</f>
        <v>0</v>
      </c>
      <c r="H152" s="292">
        <f>+E152*(C47+E47*2)*(D47+F47+F47)</f>
        <v>0</v>
      </c>
      <c r="I152" s="185">
        <f>+(C47+E47*2)*E152*F47</f>
        <v>0</v>
      </c>
      <c r="J152" s="185">
        <f>+E152*((C47+E47*2)*E47+(D47*E47*2))</f>
        <v>0</v>
      </c>
      <c r="K152" s="185">
        <f>+(D47+$K$104*(D47+E47))*E152*2</f>
        <v>0</v>
      </c>
      <c r="L152" s="293">
        <f>+(E152)/H47+ IF(E152&gt;0,1,0)</f>
        <v>0</v>
      </c>
      <c r="M152" s="187">
        <f>+ROUNDUP(L152,0)</f>
        <v>0</v>
      </c>
      <c r="N152" s="188">
        <f>+(D47+E47-0.08)*2+(C47+E47*2-0.08)</f>
        <v>2.36</v>
      </c>
      <c r="O152" s="293">
        <f>+N152/J47+1</f>
        <v>10.44</v>
      </c>
      <c r="P152" s="187">
        <f>+ROUNDUP(O152,0)</f>
        <v>11</v>
      </c>
      <c r="Q152" s="187">
        <f>+E152+E152/6*50*(G47/1000)</f>
        <v>0</v>
      </c>
      <c r="R152" s="294">
        <f>+N152*M152+P152*Q152</f>
        <v>0</v>
      </c>
      <c r="S152" s="185">
        <f>((I47*I47)/162)*R152</f>
        <v>0</v>
      </c>
      <c r="T152" s="153" t="s">
        <v>193</v>
      </c>
    </row>
    <row r="153" spans="2:20" hidden="1">
      <c r="C153" s="153" t="s">
        <v>138</v>
      </c>
      <c r="D153" s="190">
        <f>ROUNDUP(+E152/K47,0)</f>
        <v>0</v>
      </c>
      <c r="E153" s="291"/>
      <c r="G153" s="295"/>
      <c r="H153" s="295"/>
      <c r="I153" s="190"/>
      <c r="J153" s="190">
        <f>0.5*(0.075+0.05)*0.075*C47*D153</f>
        <v>0</v>
      </c>
      <c r="K153" s="190">
        <f>+(0.075+0.08)*C47*D153</f>
        <v>0</v>
      </c>
      <c r="L153" s="296">
        <f>+D153</f>
        <v>0</v>
      </c>
      <c r="M153" s="187">
        <f>+ROUNDUP(L153,0)</f>
        <v>0</v>
      </c>
      <c r="N153" s="193">
        <f>+(C47-0.08)+((0.075+0.05-2*0.04)*2)</f>
        <v>1.01</v>
      </c>
      <c r="O153" s="296"/>
      <c r="P153" s="194"/>
      <c r="Q153" s="194"/>
      <c r="R153" s="294">
        <f>+N153*M153+P153*Q153</f>
        <v>0</v>
      </c>
      <c r="S153" s="185">
        <f>((I47*I47)/162)*R153</f>
        <v>0</v>
      </c>
      <c r="T153" s="153" t="s">
        <v>193</v>
      </c>
    </row>
    <row r="154" spans="2:20" hidden="1">
      <c r="E154" s="291"/>
    </row>
    <row r="155" spans="2:20" hidden="1">
      <c r="B155" s="153" t="s">
        <v>191</v>
      </c>
      <c r="C155" s="177" t="s">
        <v>213</v>
      </c>
      <c r="E155" s="291"/>
      <c r="G155" s="292">
        <f>+E155*(C50+E50*2+1.5)</f>
        <v>0</v>
      </c>
      <c r="H155" s="292">
        <f>+E155*(C50+E50*2)*(D50+F50+F50)</f>
        <v>0</v>
      </c>
      <c r="I155" s="185">
        <f>+(C50+E50*2)*E155*F50</f>
        <v>0</v>
      </c>
      <c r="J155" s="185">
        <f>+E155*((C50+E50*2)*E50+(D50*E50*2))</f>
        <v>0</v>
      </c>
      <c r="K155" s="185">
        <f>+(D50+$K$104*(D50+E50))*E155*2</f>
        <v>0</v>
      </c>
      <c r="L155" s="293">
        <f>+(E155)/H50+ IF(E155&gt;0,1,0)</f>
        <v>0</v>
      </c>
      <c r="M155" s="187">
        <f>+ROUNDUP(L155,0)</f>
        <v>0</v>
      </c>
      <c r="N155" s="188">
        <f>+(D50+E50-0.08)*2+(C50+E50*2-0.08)</f>
        <v>2.8600000000000003</v>
      </c>
      <c r="O155" s="293">
        <f>+N155/J50+1</f>
        <v>12.440000000000001</v>
      </c>
      <c r="P155" s="187">
        <f>+ROUNDUP(O155,0)</f>
        <v>13</v>
      </c>
      <c r="Q155" s="187">
        <f>+E155+E155/6*50*(G50/1000)</f>
        <v>0</v>
      </c>
      <c r="R155" s="294">
        <f>+N155*M155+P155*Q155</f>
        <v>0</v>
      </c>
      <c r="S155" s="185">
        <f>((I50*I50)/162)*R155</f>
        <v>0</v>
      </c>
      <c r="T155" s="153" t="s">
        <v>193</v>
      </c>
    </row>
    <row r="156" spans="2:20" hidden="1">
      <c r="C156" s="153" t="s">
        <v>138</v>
      </c>
      <c r="D156" s="190">
        <f>ROUNDUP(+E155/K50,0)</f>
        <v>0</v>
      </c>
      <c r="E156" s="291"/>
      <c r="G156" s="295"/>
      <c r="H156" s="295"/>
      <c r="I156" s="190"/>
      <c r="J156" s="190">
        <f>0.5*(0.075+0.05)*0.075*C50*D156</f>
        <v>0</v>
      </c>
      <c r="K156" s="190">
        <f>+(0.075+0.08)*C50*D156</f>
        <v>0</v>
      </c>
      <c r="L156" s="296">
        <f>+D156</f>
        <v>0</v>
      </c>
      <c r="M156" s="187">
        <f>+ROUNDUP(L156,0)</f>
        <v>0</v>
      </c>
      <c r="N156" s="193">
        <f>+(C50-0.08)+((0.075+0.05-2*0.04)*2)</f>
        <v>1.01</v>
      </c>
      <c r="O156" s="296"/>
      <c r="P156" s="194"/>
      <c r="Q156" s="194"/>
      <c r="R156" s="294">
        <f>+N156*M156+P156*Q156</f>
        <v>0</v>
      </c>
      <c r="S156" s="185">
        <f>((I50*I50)/162)*R156</f>
        <v>0</v>
      </c>
      <c r="T156" s="153" t="s">
        <v>193</v>
      </c>
    </row>
    <row r="157" spans="2:20" hidden="1"/>
    <row r="158" spans="2:20" hidden="1">
      <c r="B158" s="153" t="s">
        <v>191</v>
      </c>
      <c r="C158" s="177" t="s">
        <v>214</v>
      </c>
      <c r="E158" s="291"/>
      <c r="G158" s="292">
        <f>+E158*(C53+E53*2+1.5)</f>
        <v>0</v>
      </c>
      <c r="H158" s="292">
        <f>+E158*(C53+E53*2)*(D53+F53+F53)</f>
        <v>0</v>
      </c>
      <c r="I158" s="185">
        <f>+(C53+E53*2)*E158*F53</f>
        <v>0</v>
      </c>
      <c r="J158" s="185">
        <f>+E158*((C53+E53*2)*E53+(D53*E53*2))</f>
        <v>0</v>
      </c>
      <c r="K158" s="185">
        <f>+(D53+$K$104*(D53+E53))*E158*2</f>
        <v>0</v>
      </c>
      <c r="L158" s="293">
        <f>+(E158)/H53+ IF(E158&gt;0,1,0)</f>
        <v>0</v>
      </c>
      <c r="M158" s="187">
        <f>+ROUNDUP(L158,0)</f>
        <v>0</v>
      </c>
      <c r="N158" s="188">
        <f>+(E53+D53+E53+C53+2*E53+D53+2*E53-0.04*10)+(E53+D53+2*E53-5*0.04)*2+(C53+4*E53-6*0.04)</f>
        <v>6.96</v>
      </c>
      <c r="O158" s="293">
        <f>(2*(D53+E53)+(C53+2*E53)-6*0.04)/J53*2</f>
        <v>26.08</v>
      </c>
      <c r="P158" s="187">
        <f>+ROUNDUP(O158,0)</f>
        <v>27</v>
      </c>
      <c r="Q158" s="187">
        <f>+E158+E158/6*50*(G53/1000)</f>
        <v>0</v>
      </c>
      <c r="R158" s="294">
        <f>+N158*M158+P158*Q158</f>
        <v>0</v>
      </c>
      <c r="S158" s="185">
        <f>((I53*I53)/162)*R158</f>
        <v>0</v>
      </c>
      <c r="T158" s="153" t="s">
        <v>193</v>
      </c>
    </row>
    <row r="159" spans="2:20" hidden="1">
      <c r="C159" s="153" t="s">
        <v>138</v>
      </c>
      <c r="D159" s="190">
        <f>ROUNDUP(+E158/K53,0)</f>
        <v>0</v>
      </c>
      <c r="E159" s="291"/>
      <c r="G159" s="295"/>
      <c r="H159" s="295"/>
      <c r="I159" s="190"/>
      <c r="J159" s="190">
        <f>0.5*(0.075+0.05)*0.075*C53*D159</f>
        <v>0</v>
      </c>
      <c r="K159" s="190">
        <f>+(0.075+0.08)*C53*D159</f>
        <v>0</v>
      </c>
      <c r="L159" s="296">
        <f>+D159</f>
        <v>0</v>
      </c>
      <c r="M159" s="187">
        <f>+ROUNDUP(L159,0)</f>
        <v>0</v>
      </c>
      <c r="N159" s="193">
        <f>+(C53-0.08)+((0.075+0.05-2*0.04)*2)</f>
        <v>1.01</v>
      </c>
      <c r="O159" s="296"/>
      <c r="P159" s="194"/>
      <c r="Q159" s="194"/>
      <c r="R159" s="294">
        <f>+N159*M159+P159*Q159</f>
        <v>0</v>
      </c>
      <c r="S159" s="185">
        <f>((I53*I53)/162)*R159</f>
        <v>0</v>
      </c>
      <c r="T159" s="153" t="s">
        <v>193</v>
      </c>
    </row>
    <row r="160" spans="2:20" hidden="1"/>
    <row r="161" spans="2:20" hidden="1">
      <c r="B161" s="153" t="s">
        <v>191</v>
      </c>
      <c r="C161" s="177" t="s">
        <v>215</v>
      </c>
      <c r="E161" s="291"/>
      <c r="G161" s="292">
        <f>+E161*(C56+E56*2+1.5)</f>
        <v>0</v>
      </c>
      <c r="H161" s="292">
        <f>+E161*(C56+E56*2)*(D56+F56+F56)</f>
        <v>0</v>
      </c>
      <c r="I161" s="185">
        <f>+(C56+E56*2)*E161*F56</f>
        <v>0</v>
      </c>
      <c r="J161" s="185">
        <f>+E161*((C56+E56*2)*E56+(D56*E56*2))</f>
        <v>0</v>
      </c>
      <c r="K161" s="185">
        <f>+(D56+$K$104*(D56+E56))*E161*2</f>
        <v>0</v>
      </c>
      <c r="L161" s="293">
        <f>+(E161)/H56+ IF(E161&gt;0,1,0)</f>
        <v>0</v>
      </c>
      <c r="M161" s="187">
        <f>+ROUNDUP(L161,0)</f>
        <v>0</v>
      </c>
      <c r="N161" s="188">
        <f>+(E56+D56+E56+C56+2*E56+D56+2*E56-0.04*10)+(E56+D56+2*E56-5*0.04)*2+(C56+4*E56-6*0.04)</f>
        <v>6.96</v>
      </c>
      <c r="O161" s="293">
        <f>(2*(D56+E56)+(C56+2*E56)-6*0.04)/J56*2</f>
        <v>26.08</v>
      </c>
      <c r="P161" s="187">
        <f>+ROUNDUP(O161,0)</f>
        <v>27</v>
      </c>
      <c r="Q161" s="187">
        <f>+E161+E161/6*50*(G56/1000)</f>
        <v>0</v>
      </c>
      <c r="R161" s="294">
        <f>+N161*M161+P161*Q161</f>
        <v>0</v>
      </c>
      <c r="S161" s="185">
        <f>((I56*I56)/162)*R161</f>
        <v>0</v>
      </c>
      <c r="T161" s="153" t="s">
        <v>193</v>
      </c>
    </row>
    <row r="162" spans="2:20" hidden="1">
      <c r="C162" s="153" t="s">
        <v>138</v>
      </c>
      <c r="D162" s="190">
        <f>ROUNDUP(+E161/K56,0)</f>
        <v>0</v>
      </c>
      <c r="E162" s="291"/>
      <c r="G162" s="295"/>
      <c r="H162" s="295"/>
      <c r="I162" s="190"/>
      <c r="J162" s="190">
        <f>0.5*(0.075+0.05)*0.075*C56*D162</f>
        <v>0</v>
      </c>
      <c r="K162" s="190">
        <f>+(0.075+0.08)*C56*D162</f>
        <v>0</v>
      </c>
      <c r="L162" s="296">
        <f>+D162</f>
        <v>0</v>
      </c>
      <c r="M162" s="187">
        <f>+ROUNDUP(L162,0)</f>
        <v>0</v>
      </c>
      <c r="N162" s="193">
        <f>+(C56-0.08)+((0.075+0.05-2*0.04)*2)</f>
        <v>1.01</v>
      </c>
      <c r="O162" s="296"/>
      <c r="P162" s="194"/>
      <c r="Q162" s="194"/>
      <c r="R162" s="294">
        <f>+N162*M162+P162*Q162</f>
        <v>0</v>
      </c>
      <c r="S162" s="185">
        <f>((I56*I56)/162)*R162</f>
        <v>0</v>
      </c>
      <c r="T162" s="153" t="s">
        <v>193</v>
      </c>
    </row>
    <row r="163" spans="2:20" hidden="1"/>
    <row r="164" spans="2:20" hidden="1">
      <c r="B164" s="204" t="s">
        <v>216</v>
      </c>
      <c r="C164" s="177" t="s">
        <v>217</v>
      </c>
      <c r="E164" s="291"/>
      <c r="G164" s="292">
        <f>+E164*(C59+E59*2+1)</f>
        <v>0</v>
      </c>
      <c r="H164" s="292">
        <f>(+E164*(C59+E59*2)*(D59+F59+F59))*50%</f>
        <v>0</v>
      </c>
      <c r="I164" s="185">
        <f>+(C59+E59*2)*E164*F59</f>
        <v>0</v>
      </c>
      <c r="J164" s="185">
        <f>+E164*((C59+E59*2+0.06)*E59+(D59*E59*2))</f>
        <v>0</v>
      </c>
      <c r="K164" s="185">
        <f>+(D59+(D59+E59))*E164*2</f>
        <v>0</v>
      </c>
      <c r="L164" s="293">
        <f>+(E164)/H59+ IF(E164&gt;0,1,0)</f>
        <v>0</v>
      </c>
      <c r="M164" s="187">
        <f>+ROUNDUP(L164,0)</f>
        <v>0</v>
      </c>
      <c r="N164" s="188">
        <f>+(D59+E59-0.08)*2+(C59+E59*2-0.08)</f>
        <v>1.5100000000000002</v>
      </c>
      <c r="O164" s="293">
        <f>+N164/J59+1</f>
        <v>7.0400000000000009</v>
      </c>
      <c r="P164" s="187">
        <f>+ROUNDUP(O164,0)</f>
        <v>8</v>
      </c>
      <c r="Q164" s="187">
        <f>+E164+E164/6*50*(G59/1000)</f>
        <v>0</v>
      </c>
      <c r="R164" s="294">
        <f>+N164*M164+P164*Q164</f>
        <v>0</v>
      </c>
      <c r="S164" s="185">
        <f>((I59*I59)/162)*R164</f>
        <v>0</v>
      </c>
      <c r="T164" s="153" t="s">
        <v>193</v>
      </c>
    </row>
    <row r="165" spans="2:20" hidden="1">
      <c r="C165" s="153" t="s">
        <v>218</v>
      </c>
      <c r="D165" s="190">
        <f>ROUNDUP(+(E164/SQRT(L59^2+M59^2)),0)</f>
        <v>0</v>
      </c>
      <c r="E165" s="291"/>
      <c r="G165" s="295"/>
      <c r="H165" s="295"/>
      <c r="I165" s="190"/>
      <c r="J165" s="190">
        <f>0.5*(0.075+0.05)*0.075*C59*D165</f>
        <v>0</v>
      </c>
      <c r="K165" s="190">
        <f>+M59*C59*D165</f>
        <v>0</v>
      </c>
      <c r="L165" s="296"/>
      <c r="M165" s="187">
        <f>+ROUNDUP(L165,0)</f>
        <v>0</v>
      </c>
      <c r="N165" s="193"/>
      <c r="O165" s="296"/>
      <c r="P165" s="194"/>
      <c r="Q165" s="194"/>
      <c r="R165" s="294">
        <f>+N165*M165+P165*Q165</f>
        <v>0</v>
      </c>
      <c r="S165" s="185">
        <f>((I59*I59)/162)*R165</f>
        <v>0</v>
      </c>
    </row>
    <row r="166" spans="2:20" hidden="1">
      <c r="C166" s="153" t="s">
        <v>219</v>
      </c>
      <c r="D166" s="153">
        <f>ROUNDUP(+E164/1,0)</f>
        <v>0</v>
      </c>
    </row>
    <row r="167" spans="2:20" hidden="1"/>
    <row r="168" spans="2:20" hidden="1">
      <c r="B168" s="204" t="s">
        <v>216</v>
      </c>
      <c r="C168" s="177" t="s">
        <v>220</v>
      </c>
      <c r="E168" s="291"/>
      <c r="G168" s="292">
        <f>+E168*(C63+E63*2+1)</f>
        <v>0</v>
      </c>
      <c r="H168" s="292">
        <f>(+E168*(C63+E63*2)*(D63+F63+F63))*50%</f>
        <v>0</v>
      </c>
      <c r="I168" s="185">
        <f>+(C63+E63*2)*E168*F63</f>
        <v>0</v>
      </c>
      <c r="J168" s="185">
        <f>+E168*((C63+E63*2+0.06)*E63+(D63*E63*2))</f>
        <v>0</v>
      </c>
      <c r="K168" s="185">
        <f>+(D63+(D63+E63))*E168*2</f>
        <v>0</v>
      </c>
      <c r="L168" s="293">
        <f>+(E168)/H63+ IF(E168&gt;0,1,0)</f>
        <v>0</v>
      </c>
      <c r="M168" s="187">
        <f>+ROUNDUP(L168,0)</f>
        <v>0</v>
      </c>
      <c r="N168" s="188">
        <f>+(D63+E63-0.08)*2+(C63+E63*2-0.08)</f>
        <v>1.81</v>
      </c>
      <c r="O168" s="293">
        <f>+N168/J63+1</f>
        <v>8.24</v>
      </c>
      <c r="P168" s="187">
        <f>+ROUNDUP(O168,0)</f>
        <v>9</v>
      </c>
      <c r="Q168" s="187">
        <f>+E168+E168/6*50*(G63/1000)</f>
        <v>0</v>
      </c>
      <c r="R168" s="294">
        <f>+N168*M168+P168*Q168</f>
        <v>0</v>
      </c>
      <c r="S168" s="185">
        <f>((I63*I63)/162)*R168</f>
        <v>0</v>
      </c>
      <c r="T168" s="153" t="s">
        <v>193</v>
      </c>
    </row>
    <row r="169" spans="2:20" hidden="1">
      <c r="C169" s="153" t="s">
        <v>218</v>
      </c>
      <c r="D169" s="190">
        <f>ROUNDUP(+(E168/SQRT(L63^2+M63^2)),0)</f>
        <v>0</v>
      </c>
      <c r="E169" s="291"/>
      <c r="G169" s="295"/>
      <c r="H169" s="295"/>
      <c r="I169" s="190"/>
      <c r="J169" s="190">
        <f>0.5*(0.075+0.05)*0.075*C63*D169</f>
        <v>0</v>
      </c>
      <c r="K169" s="190">
        <f>+M63*C63*D169</f>
        <v>0</v>
      </c>
      <c r="L169" s="296"/>
      <c r="M169" s="187">
        <f>+ROUNDUP(L169,0)</f>
        <v>0</v>
      </c>
      <c r="N169" s="193"/>
      <c r="O169" s="296"/>
      <c r="P169" s="194"/>
      <c r="Q169" s="194"/>
      <c r="R169" s="294">
        <f>+N169*M169+P169*Q169</f>
        <v>0</v>
      </c>
      <c r="S169" s="185">
        <f>((I63*I63)/162)*R169</f>
        <v>0</v>
      </c>
    </row>
    <row r="170" spans="2:20" hidden="1">
      <c r="C170" s="153" t="s">
        <v>219</v>
      </c>
      <c r="D170" s="153">
        <f>ROUNDUP(+E168/1,0)</f>
        <v>0</v>
      </c>
    </row>
    <row r="171" spans="2:20" hidden="1">
      <c r="K171" s="185"/>
    </row>
    <row r="172" spans="2:20" hidden="1">
      <c r="B172" s="204" t="s">
        <v>216</v>
      </c>
      <c r="C172" s="177" t="s">
        <v>221</v>
      </c>
      <c r="E172" s="291"/>
      <c r="G172" s="292">
        <f>+E172*(C67+E67*2+1)</f>
        <v>0</v>
      </c>
      <c r="H172" s="292">
        <f>(+E172*(C67+E67*2)*(D67+F67+F67))*50%</f>
        <v>0</v>
      </c>
      <c r="I172" s="185">
        <f>+(C67+E67*2)*E172*F67</f>
        <v>0</v>
      </c>
      <c r="J172" s="185">
        <f>+E172*((C67+E67*2+0.06)*E67+(D67*E67*2))</f>
        <v>0</v>
      </c>
      <c r="K172" s="185">
        <f>+(D67+(D67+E67))*E172*2</f>
        <v>0</v>
      </c>
      <c r="L172" s="293">
        <f>+(E172)/H67+ IF(E172&gt;0,1,0)</f>
        <v>0</v>
      </c>
      <c r="M172" s="187">
        <f>+ROUNDUP(L172,0)</f>
        <v>0</v>
      </c>
      <c r="N172" s="188">
        <f>+(D67+E67-0.08)*2+(C67+E67*2-0.08)</f>
        <v>1.96</v>
      </c>
      <c r="O172" s="293">
        <f>+N172/J67+1</f>
        <v>8.84</v>
      </c>
      <c r="P172" s="187">
        <f>+ROUNDUP(O172,0)</f>
        <v>9</v>
      </c>
      <c r="Q172" s="187">
        <f>+E172+E172/6*50*(G67/1000)</f>
        <v>0</v>
      </c>
      <c r="R172" s="294">
        <f>+N172*M172+P172*Q172</f>
        <v>0</v>
      </c>
      <c r="S172" s="185">
        <f>((I67*I67)/162)*R172</f>
        <v>0</v>
      </c>
      <c r="T172" s="153" t="s">
        <v>193</v>
      </c>
    </row>
    <row r="173" spans="2:20" hidden="1">
      <c r="C173" s="153" t="s">
        <v>218</v>
      </c>
      <c r="D173" s="190">
        <f>ROUNDUP(+(E172/SQRT(L67^2+M67^2)),0)</f>
        <v>0</v>
      </c>
      <c r="E173" s="291"/>
      <c r="G173" s="295"/>
      <c r="H173" s="295"/>
      <c r="I173" s="190"/>
      <c r="J173" s="190">
        <f>0.5*(0.075+0.05)*0.075*C67*D173</f>
        <v>0</v>
      </c>
      <c r="K173" s="190">
        <f>+M67*C67*D173</f>
        <v>0</v>
      </c>
      <c r="L173" s="296"/>
      <c r="M173" s="187">
        <f>+ROUNDUP(L173,0)</f>
        <v>0</v>
      </c>
      <c r="N173" s="193"/>
      <c r="O173" s="296"/>
      <c r="P173" s="194"/>
      <c r="Q173" s="194"/>
      <c r="R173" s="294">
        <f>+N173*M173+P173*Q173</f>
        <v>0</v>
      </c>
      <c r="S173" s="185">
        <f>((I67*I67)/162)*R173</f>
        <v>0</v>
      </c>
    </row>
    <row r="174" spans="2:20" hidden="1">
      <c r="C174" s="153" t="s">
        <v>219</v>
      </c>
      <c r="D174" s="153">
        <f>ROUNDUP(+E172/1,0)</f>
        <v>0</v>
      </c>
    </row>
    <row r="175" spans="2:20" hidden="1"/>
    <row r="176" spans="2:20" hidden="1">
      <c r="B176" s="204" t="s">
        <v>216</v>
      </c>
      <c r="C176" s="177" t="s">
        <v>222</v>
      </c>
      <c r="E176" s="183"/>
      <c r="G176" s="195">
        <f>+E176*(C71+E71*2+1)</f>
        <v>0</v>
      </c>
      <c r="H176" s="195">
        <f>(+E176*(C71+E71*2)*(D71+F71+F71))*50%</f>
        <v>0</v>
      </c>
      <c r="I176" s="196">
        <f>+(C71+E71*2)*E176*F71</f>
        <v>0</v>
      </c>
      <c r="J176" s="196">
        <f>+E176*((C71+E71*2+0.06)*E71+(D71*E71*2))</f>
        <v>0</v>
      </c>
      <c r="K176" s="196">
        <f>+(D71+(D71+E71))*E176*2</f>
        <v>0</v>
      </c>
      <c r="L176" s="186">
        <f>+(E176)/H71+ IF(E176&gt;0,1,0)</f>
        <v>0</v>
      </c>
      <c r="M176" s="197">
        <f>+ROUNDUP(L176,0)</f>
        <v>0</v>
      </c>
      <c r="N176" s="188">
        <f>+(D71+E71-0.08)*2+(C71+E71*2-0.08)</f>
        <v>2.56</v>
      </c>
      <c r="O176" s="186">
        <f>+N176/J71+1</f>
        <v>11.24</v>
      </c>
      <c r="P176" s="197">
        <f>+ROUNDUP(O176,0)</f>
        <v>12</v>
      </c>
      <c r="Q176" s="187">
        <f>+E176+E176/6*50*(G71/1000)</f>
        <v>0</v>
      </c>
      <c r="R176" s="189">
        <f>+N176*M176+P176*Q176</f>
        <v>0</v>
      </c>
      <c r="S176" s="196">
        <f>((I71*I71)/162)*R176</f>
        <v>0</v>
      </c>
      <c r="T176" s="153" t="s">
        <v>193</v>
      </c>
    </row>
    <row r="177" spans="2:20" hidden="1">
      <c r="C177" s="153" t="s">
        <v>218</v>
      </c>
      <c r="D177" s="190">
        <f>ROUNDUP(+(E176/SQRT(L71^2+M71^2)),0)</f>
        <v>0</v>
      </c>
      <c r="E177" s="183"/>
      <c r="G177" s="198"/>
      <c r="H177" s="198"/>
      <c r="I177" s="199"/>
      <c r="J177" s="199">
        <f>0.5*(0.075+0.05)*0.075*C71*D177</f>
        <v>0</v>
      </c>
      <c r="K177" s="199">
        <f>+M71*C71*D177</f>
        <v>0</v>
      </c>
      <c r="L177" s="192"/>
      <c r="M177" s="197">
        <f>+ROUNDUP(L177,0)</f>
        <v>0</v>
      </c>
      <c r="N177" s="193"/>
      <c r="O177" s="192"/>
      <c r="P177" s="200"/>
      <c r="Q177" s="194"/>
      <c r="R177" s="189">
        <f>+N177*M177+P177*Q177</f>
        <v>0</v>
      </c>
      <c r="S177" s="196">
        <f>((I71*I71)/162)*R177</f>
        <v>0</v>
      </c>
    </row>
    <row r="178" spans="2:20" hidden="1">
      <c r="C178" s="153" t="s">
        <v>219</v>
      </c>
      <c r="D178" s="153">
        <f>ROUNDUP(+E176/1,0)</f>
        <v>0</v>
      </c>
      <c r="H178" s="190"/>
    </row>
    <row r="179" spans="2:20" hidden="1"/>
    <row r="180" spans="2:20">
      <c r="B180" s="206" t="s">
        <v>216</v>
      </c>
      <c r="C180" s="177" t="s">
        <v>223</v>
      </c>
      <c r="E180" s="183">
        <v>45.61</v>
      </c>
      <c r="G180" s="195">
        <f>+E180*(C75+E75*2+1)</f>
        <v>102.6225</v>
      </c>
      <c r="H180" s="195">
        <f>(+E180*(C75+E75*2)*(D75+F75+F75))*50%</f>
        <v>31.356875000000006</v>
      </c>
      <c r="I180" s="196">
        <f>+(C75+E75*2)*E180*F75</f>
        <v>2.8506250000000004</v>
      </c>
      <c r="J180" s="196">
        <f>+E180*((C75+E75*2+0.06)*E75+(D75*E75*2))</f>
        <v>18.8711375</v>
      </c>
      <c r="K180" s="196">
        <f>+(D75+(D75+E75))*E180*2</f>
        <v>193.8425</v>
      </c>
      <c r="L180" s="186">
        <f>+(E180)/H75+ IF(E180&gt;0,1,0)</f>
        <v>183.44</v>
      </c>
      <c r="M180" s="197">
        <f>+ROUNDUP(L180,0)</f>
        <v>184</v>
      </c>
      <c r="N180" s="188">
        <f>+(D75+E75-0.08)*2+(C75+E75*2-0.08)</f>
        <v>3.26</v>
      </c>
      <c r="O180" s="186">
        <f>+N180/J75+1</f>
        <v>14.04</v>
      </c>
      <c r="P180" s="197">
        <f>+ROUNDUP(O180,0)</f>
        <v>15</v>
      </c>
      <c r="Q180" s="187">
        <f>+E180+E180/6*50*(G75/1000)</f>
        <v>49.410833333333329</v>
      </c>
      <c r="R180" s="189">
        <f>+N180*M180+P180*Q180</f>
        <v>1341.0024999999998</v>
      </c>
      <c r="S180" s="196">
        <f>((I75*I75)/162)*R180</f>
        <v>827.77932098765416</v>
      </c>
      <c r="T180" s="153" t="s">
        <v>193</v>
      </c>
    </row>
    <row r="181" spans="2:20">
      <c r="C181" s="153" t="s">
        <v>218</v>
      </c>
      <c r="D181" s="190">
        <f>ROUNDUP(+(E180/SQRT(L75^2+M75^2)),0)</f>
        <v>118</v>
      </c>
      <c r="E181" s="183"/>
      <c r="G181" s="198"/>
      <c r="H181" s="198"/>
      <c r="I181" s="199"/>
      <c r="J181" s="199">
        <f>0.5*(0.075+0.05)*0.075*C75*D181</f>
        <v>0.55312499999999998</v>
      </c>
      <c r="K181" s="199">
        <f>+M75*C75*D181</f>
        <v>32.450000000000003</v>
      </c>
      <c r="L181" s="192"/>
      <c r="M181" s="197">
        <f>+ROUNDUP(L181,0)</f>
        <v>0</v>
      </c>
      <c r="N181" s="193"/>
      <c r="O181" s="192"/>
      <c r="P181" s="200"/>
      <c r="Q181" s="194"/>
      <c r="R181" s="189">
        <f>+N181*M181+P181*Q181</f>
        <v>0</v>
      </c>
      <c r="S181" s="196">
        <f>((I75*I75)/162)*R181</f>
        <v>0</v>
      </c>
    </row>
    <row r="182" spans="2:20">
      <c r="C182" s="153" t="s">
        <v>219</v>
      </c>
      <c r="D182" s="153">
        <f>ROUNDUP(+E180/1,0)</f>
        <v>46</v>
      </c>
    </row>
    <row r="184" spans="2:20" hidden="1">
      <c r="B184" s="204" t="s">
        <v>224</v>
      </c>
      <c r="C184" s="177" t="s">
        <v>217</v>
      </c>
      <c r="E184" s="183">
        <v>100</v>
      </c>
      <c r="G184" s="195">
        <f>+E184*(C79+E79*2+1)</f>
        <v>165</v>
      </c>
      <c r="H184" s="195">
        <f>0.5*L79*M79*D185</f>
        <v>20.25</v>
      </c>
      <c r="I184" s="196">
        <f>+(L79*(C79+2*E79)*D185*E79)</f>
        <v>5.8500000000000014</v>
      </c>
      <c r="J184" s="196">
        <f>+D185*(L79+M79)*E79*(C79+2*E79)+D185*((L79+M79)*E79*D79)*2</f>
        <v>20.925000000000001</v>
      </c>
      <c r="K184" s="196">
        <f>+(D79+(D79+E79))*E184*2</f>
        <v>200</v>
      </c>
      <c r="L184" s="186">
        <f>+(D185*(L79+M79))/H79+ IF(E184&gt;0,1,0)</f>
        <v>541</v>
      </c>
      <c r="M184" s="197">
        <f>+ROUNDUP(L184,0)</f>
        <v>541</v>
      </c>
      <c r="N184" s="188">
        <f>+(D79+E79-0.08)*2+(C79+E79*2-0.08)</f>
        <v>1.5100000000000002</v>
      </c>
      <c r="O184" s="186">
        <f>+N184/J79+1</f>
        <v>7.0400000000000009</v>
      </c>
      <c r="P184" s="197">
        <f>+ROUNDUP(O184,0)</f>
        <v>8</v>
      </c>
      <c r="Q184" s="187">
        <f>+(L79+M79-2*0.04)*D185+(((L79+M79-2*0.04)*D185)/6*50*(I79/1000))</f>
        <v>137.58333333333334</v>
      </c>
      <c r="R184" s="189">
        <f>+N184*M184+P184*Q184</f>
        <v>1917.5766666666668</v>
      </c>
      <c r="S184" s="196">
        <f>((I79*I79)/162)*R184</f>
        <v>1183.6893004115227</v>
      </c>
      <c r="T184" s="153" t="s">
        <v>193</v>
      </c>
    </row>
    <row r="185" spans="2:20" hidden="1">
      <c r="C185" s="153" t="s">
        <v>218</v>
      </c>
      <c r="D185" s="190">
        <f>ROUNDUP(+(E184/SQRT(L79^2+M79^2)),0)</f>
        <v>100</v>
      </c>
      <c r="E185" s="183"/>
      <c r="G185" s="198"/>
      <c r="H185" s="198"/>
      <c r="I185" s="199"/>
      <c r="J185" s="199"/>
      <c r="K185" s="199"/>
      <c r="L185" s="192"/>
      <c r="M185" s="197"/>
      <c r="N185" s="193"/>
      <c r="O185" s="192"/>
      <c r="P185" s="200"/>
      <c r="Q185" s="194"/>
      <c r="R185" s="189"/>
      <c r="S185" s="196"/>
    </row>
    <row r="186" spans="2:20" hidden="1">
      <c r="C186" s="153" t="s">
        <v>219</v>
      </c>
      <c r="D186" s="153">
        <f>ROUNDUP(+E184/1,0)</f>
        <v>100</v>
      </c>
    </row>
    <row r="187" spans="2:20" hidden="1"/>
    <row r="188" spans="2:20" hidden="1">
      <c r="B188" s="204" t="s">
        <v>224</v>
      </c>
      <c r="C188" s="177" t="s">
        <v>220</v>
      </c>
      <c r="E188" s="183">
        <v>28.19</v>
      </c>
      <c r="G188" s="195">
        <f>+E188*(C83+E83*2+1)</f>
        <v>46.513500000000001</v>
      </c>
      <c r="H188" s="195">
        <f>0.5*L83*M83*D189</f>
        <v>5.8725000000000005</v>
      </c>
      <c r="I188" s="196">
        <f>+(L83*(C83+2*E83)*D189*E83)</f>
        <v>1.6965000000000003</v>
      </c>
      <c r="J188" s="196">
        <f>+D189*(L83+M83)*E83*(C83+2*E83)+D189*((L83+M83)*E83*D83)*2</f>
        <v>7.2427500000000009</v>
      </c>
      <c r="K188" s="196">
        <f>+(D83+(D83+E83))*E188*2</f>
        <v>73.293999999999997</v>
      </c>
      <c r="L188" s="186">
        <f>+(D189*(L83+M83))/H83+ IF(E188&gt;0,1,0)</f>
        <v>157.60000000000002</v>
      </c>
      <c r="M188" s="197">
        <f>+ROUNDUP(L188,0)</f>
        <v>158</v>
      </c>
      <c r="N188" s="188">
        <f>+(D83+E83-0.08)*2+(C83+E83*2-0.08)</f>
        <v>1.81</v>
      </c>
      <c r="O188" s="186">
        <f>+N188/J83+1</f>
        <v>8.24</v>
      </c>
      <c r="P188" s="197">
        <f>+ROUNDUP(O188,0)</f>
        <v>9</v>
      </c>
      <c r="Q188" s="187">
        <f>+(L83+M83-2*0.04)*D189+(((L83+M83-2*0.04)*D189)/6*50*(I83/1000))</f>
        <v>39.899166666666666</v>
      </c>
      <c r="R188" s="189">
        <f>+N188*M188+P188*Q188</f>
        <v>645.07249999999999</v>
      </c>
      <c r="S188" s="196">
        <f>((I83*I83)/162)*R188</f>
        <v>398.1929012345679</v>
      </c>
      <c r="T188" s="153" t="s">
        <v>193</v>
      </c>
    </row>
    <row r="189" spans="2:20" hidden="1">
      <c r="C189" s="153" t="s">
        <v>218</v>
      </c>
      <c r="D189" s="190">
        <f>ROUNDUP(+(E188/SQRT(L83^2+M83^2)),0)</f>
        <v>29</v>
      </c>
      <c r="E189" s="183"/>
      <c r="G189" s="198"/>
      <c r="H189" s="198"/>
      <c r="I189" s="199"/>
      <c r="J189" s="199"/>
      <c r="K189" s="199"/>
      <c r="L189" s="192"/>
      <c r="M189" s="197"/>
      <c r="N189" s="193"/>
      <c r="O189" s="192"/>
      <c r="P189" s="200"/>
      <c r="Q189" s="194"/>
      <c r="R189" s="189"/>
      <c r="S189" s="196"/>
    </row>
    <row r="190" spans="2:20" hidden="1">
      <c r="C190" s="153" t="s">
        <v>219</v>
      </c>
      <c r="D190" s="153">
        <f>ROUNDUP(+E188/1,0)</f>
        <v>29</v>
      </c>
    </row>
    <row r="191" spans="2:20" hidden="1"/>
    <row r="192" spans="2:20" hidden="1">
      <c r="B192" s="204" t="s">
        <v>224</v>
      </c>
      <c r="C192" s="177" t="s">
        <v>221</v>
      </c>
      <c r="E192" s="183">
        <v>100</v>
      </c>
      <c r="G192" s="195">
        <f>+E192*(C87+E87*2+1)</f>
        <v>180</v>
      </c>
      <c r="H192" s="195">
        <f>0.5*L87*M87*D193</f>
        <v>20.25</v>
      </c>
      <c r="I192" s="196">
        <f>+(L87*(C87+2*E87)*D193*E87)</f>
        <v>7.200000000000002</v>
      </c>
      <c r="J192" s="196">
        <f>+D193*(L87+M87)*E87*(C87+2*E87)+D193*((L87+M87)*E87*D87)*2</f>
        <v>27</v>
      </c>
      <c r="K192" s="196">
        <f>+(D87+(D87+E87))*E192*2</f>
        <v>259.99999999999994</v>
      </c>
      <c r="L192" s="186">
        <f>+(D193*(L87+M87))/H87+ IF(E192&gt;0,1,0)</f>
        <v>541</v>
      </c>
      <c r="M192" s="197">
        <f>+ROUNDUP(L192,0)</f>
        <v>541</v>
      </c>
      <c r="N192" s="188">
        <f>+(D87+E87-0.08)*2+(C87+E87*2-0.08)</f>
        <v>1.96</v>
      </c>
      <c r="O192" s="186">
        <f>+N192/J87+1</f>
        <v>8.84</v>
      </c>
      <c r="P192" s="197">
        <f>+ROUNDUP(O192,0)</f>
        <v>9</v>
      </c>
      <c r="Q192" s="187">
        <f>+(L87+M87-2*0.04)*D193+(((L87+M87-2*0.04)*D193)/6*50*(I87/1000))</f>
        <v>137.58333333333334</v>
      </c>
      <c r="R192" s="189">
        <f>+N192*M192+P192*Q192</f>
        <v>2298.6099999999997</v>
      </c>
      <c r="S192" s="196">
        <f>((I87*I87)/162)*R192</f>
        <v>1418.8950617283947</v>
      </c>
      <c r="T192" s="153" t="s">
        <v>193</v>
      </c>
    </row>
    <row r="193" spans="2:20" hidden="1">
      <c r="C193" s="153" t="s">
        <v>218</v>
      </c>
      <c r="D193" s="190">
        <f>ROUNDUP(+(E192/SQRT(L87^2+M87^2)),0)</f>
        <v>100</v>
      </c>
      <c r="E193" s="183"/>
      <c r="G193" s="198"/>
      <c r="H193" s="198"/>
      <c r="I193" s="199"/>
      <c r="J193" s="199"/>
      <c r="K193" s="199"/>
      <c r="L193" s="192"/>
      <c r="M193" s="197"/>
      <c r="N193" s="193"/>
      <c r="O193" s="192"/>
      <c r="P193" s="200"/>
      <c r="Q193" s="194"/>
      <c r="R193" s="189"/>
      <c r="S193" s="196"/>
    </row>
    <row r="194" spans="2:20" hidden="1">
      <c r="C194" s="153" t="s">
        <v>219</v>
      </c>
      <c r="D194" s="153">
        <f>ROUNDUP(+E192/1,0)</f>
        <v>100</v>
      </c>
    </row>
    <row r="195" spans="2:20" hidden="1"/>
    <row r="196" spans="2:20" hidden="1">
      <c r="B196" s="204" t="s">
        <v>224</v>
      </c>
      <c r="C196" s="177" t="s">
        <v>222</v>
      </c>
      <c r="E196" s="183">
        <v>100</v>
      </c>
      <c r="G196" s="195">
        <f>+E196*(C91+E91*2+1)</f>
        <v>200</v>
      </c>
      <c r="H196" s="195">
        <f>0.5*L91*M91*D197</f>
        <v>20.25</v>
      </c>
      <c r="I196" s="196">
        <f>+(L91*(C91+2*E91)*D197*E91)</f>
        <v>9</v>
      </c>
      <c r="J196" s="196">
        <f>+D197*(L91+M91)*E91*(C91+2*E91)+D197*((L91+M91)*E91*D91)*2</f>
        <v>35.1</v>
      </c>
      <c r="K196" s="196">
        <f>+(D91+(D91+E91))*E196*2</f>
        <v>340.00000000000006</v>
      </c>
      <c r="L196" s="186">
        <f>+(D197*(L91+M91))/H91+ IF(E196&gt;0,1,0)</f>
        <v>541</v>
      </c>
      <c r="M196" s="197">
        <f>+ROUNDUP(L196,0)</f>
        <v>541</v>
      </c>
      <c r="N196" s="188">
        <f>+(D91+E91-0.08)*2+(C91+E91*2-0.08)</f>
        <v>2.56</v>
      </c>
      <c r="O196" s="186">
        <f>+N196/J91+1</f>
        <v>11.24</v>
      </c>
      <c r="P196" s="197">
        <f>+ROUNDUP(O196,0)</f>
        <v>12</v>
      </c>
      <c r="Q196" s="187">
        <f>+(L91+M91-2*0.04)*D197+(((L91+M91-2*0.04)*D197)/6*50*(I91/1000))</f>
        <v>137.58333333333334</v>
      </c>
      <c r="R196" s="189">
        <f>+N196*M196+P196*Q196</f>
        <v>3035.96</v>
      </c>
      <c r="S196" s="196">
        <f>((I91*I91)/162)*R196</f>
        <v>1874.0493827160492</v>
      </c>
      <c r="T196" s="153" t="s">
        <v>193</v>
      </c>
    </row>
    <row r="197" spans="2:20" hidden="1">
      <c r="C197" s="153" t="s">
        <v>218</v>
      </c>
      <c r="D197" s="190">
        <f>ROUNDUP(+(E196/SQRT(L91^2+M91^2)),0)</f>
        <v>100</v>
      </c>
      <c r="E197" s="183"/>
      <c r="G197" s="198"/>
      <c r="H197" s="198"/>
      <c r="I197" s="199"/>
      <c r="J197" s="199"/>
      <c r="K197" s="199"/>
      <c r="L197" s="192"/>
      <c r="M197" s="197"/>
      <c r="N197" s="193"/>
      <c r="O197" s="192"/>
      <c r="P197" s="200"/>
      <c r="Q197" s="194"/>
      <c r="R197" s="189"/>
      <c r="S197" s="196"/>
    </row>
    <row r="198" spans="2:20" hidden="1">
      <c r="C198" s="153" t="s">
        <v>219</v>
      </c>
      <c r="D198" s="153">
        <f>ROUNDUP(+E196/1,0)</f>
        <v>100</v>
      </c>
    </row>
    <row r="199" spans="2:20" hidden="1"/>
    <row r="200" spans="2:20" hidden="1">
      <c r="B200" s="204" t="s">
        <v>224</v>
      </c>
      <c r="C200" s="177" t="s">
        <v>225</v>
      </c>
      <c r="E200" s="183">
        <f>(22.38+21.09+22.47+16.84)*1.06418</f>
        <v>88.092820399999994</v>
      </c>
      <c r="G200" s="195">
        <f>+E200*(C95+E95*2+1)</f>
        <v>198.20884589999997</v>
      </c>
      <c r="H200" s="195">
        <f>0.5*L95*M95*D201</f>
        <v>17.82</v>
      </c>
      <c r="I200" s="196">
        <f>+(L95*(C95+2*E95)*D201*E95)</f>
        <v>12.375</v>
      </c>
      <c r="J200" s="196">
        <f>+D201*(L95+M95)*E95*(C95+2*E95)+D201*((L95+M95)*E95*D95)*2</f>
        <v>40.837500000000006</v>
      </c>
      <c r="K200" s="196">
        <f>+(D95+(D95+E95))*E200*2</f>
        <v>286.30166629999997</v>
      </c>
      <c r="L200" s="186">
        <f>+(D201*(L95+M95))/H95+ IF(E200&gt;0,1,0)</f>
        <v>476.20000000000005</v>
      </c>
      <c r="M200" s="197">
        <f>+ROUNDUP(L200,0)</f>
        <v>477</v>
      </c>
      <c r="N200" s="188">
        <f>+(D95+E95-0.08)*2+(C95+E95*2-0.08)</f>
        <v>2.76</v>
      </c>
      <c r="O200" s="186">
        <f>+N200/J95+1</f>
        <v>12.04</v>
      </c>
      <c r="P200" s="197">
        <f>+ROUNDUP(O200,0)</f>
        <v>13</v>
      </c>
      <c r="Q200" s="187">
        <f>+(L95+M95-2*0.04)*D201+(((L95+M95-2*0.04)*D201)/6*50*(I95/1000))</f>
        <v>121.07333333333334</v>
      </c>
      <c r="R200" s="189">
        <f>+N200*M200+P200*Q200</f>
        <v>2890.4733333333334</v>
      </c>
      <c r="S200" s="196">
        <f>((I95*I95)/162)*R200</f>
        <v>1784.2427983539094</v>
      </c>
      <c r="T200" s="153" t="s">
        <v>193</v>
      </c>
    </row>
    <row r="201" spans="2:20" hidden="1">
      <c r="C201" s="153" t="s">
        <v>218</v>
      </c>
      <c r="D201" s="190">
        <f>ROUNDUP(+(E200/SQRT(L95^2+M95^2)),0)</f>
        <v>88</v>
      </c>
      <c r="E201" s="183"/>
      <c r="G201" s="198"/>
      <c r="H201" s="198"/>
      <c r="I201" s="199"/>
      <c r="J201" s="199">
        <f>0.5*(0.075+0.05)*0.075*C95*D201</f>
        <v>0.41249999999999998</v>
      </c>
      <c r="K201" s="199">
        <f>D201*C95*M95</f>
        <v>39.6</v>
      </c>
      <c r="L201" s="192"/>
      <c r="M201" s="197"/>
      <c r="N201" s="193"/>
      <c r="O201" s="192"/>
      <c r="P201" s="200"/>
      <c r="Q201" s="194"/>
      <c r="R201" s="189"/>
      <c r="S201" s="196"/>
    </row>
    <row r="202" spans="2:20" hidden="1">
      <c r="C202" s="153" t="s">
        <v>219</v>
      </c>
      <c r="D202" s="153">
        <f>ROUNDUP(+E200/1,0)</f>
        <v>89</v>
      </c>
    </row>
    <row r="203" spans="2:20" hidden="1">
      <c r="G203" s="205" t="s">
        <v>226</v>
      </c>
      <c r="H203" s="205" t="s">
        <v>227</v>
      </c>
      <c r="I203" s="205" t="s">
        <v>89</v>
      </c>
    </row>
    <row r="204" spans="2:20" hidden="1"/>
    <row r="205" spans="2:20" hidden="1">
      <c r="B205" s="201"/>
      <c r="E205" s="201"/>
    </row>
    <row r="206" spans="2:20" hidden="1"/>
    <row r="207" spans="2:20" hidden="1">
      <c r="E207" s="201"/>
    </row>
    <row r="208" spans="2:20" hidden="1"/>
    <row r="209" spans="5:5" hidden="1">
      <c r="E209" s="201"/>
    </row>
    <row r="210" spans="5:5" hidden="1"/>
    <row r="211" spans="5:5" hidden="1">
      <c r="E211" s="201"/>
    </row>
    <row r="212" spans="5:5" hidden="1"/>
    <row r="213" spans="5:5" hidden="1"/>
    <row r="214" spans="5:5" hidden="1"/>
    <row r="215" spans="5:5" hidden="1"/>
    <row r="216" spans="5:5" hidden="1"/>
    <row r="217" spans="5:5" hidden="1"/>
    <row r="218" spans="5:5" hidden="1"/>
    <row r="219" spans="5:5" hidden="1"/>
    <row r="220" spans="5:5" hidden="1"/>
    <row r="221" spans="5:5" hidden="1"/>
    <row r="222" spans="5:5" hidden="1"/>
    <row r="223" spans="5:5" hidden="1"/>
    <row r="224" spans="5:5" hidden="1"/>
    <row r="225" spans="2:7" hidden="1"/>
    <row r="226" spans="2:7" hidden="1">
      <c r="B226" s="201" t="s">
        <v>195</v>
      </c>
    </row>
    <row r="227" spans="2:7" ht="28.8" hidden="1">
      <c r="B227" s="206" t="s">
        <v>228</v>
      </c>
      <c r="C227" s="207"/>
    </row>
    <row r="228" spans="2:7" hidden="1"/>
    <row r="229" spans="2:7" hidden="1">
      <c r="B229" s="153" t="s">
        <v>229</v>
      </c>
      <c r="C229" s="190"/>
    </row>
    <row r="230" spans="2:7" hidden="1">
      <c r="B230" s="153" t="s">
        <v>230</v>
      </c>
      <c r="C230" s="153">
        <v>0.5</v>
      </c>
    </row>
    <row r="231" spans="2:7" hidden="1">
      <c r="C231" s="190"/>
    </row>
    <row r="232" spans="2:7" hidden="1">
      <c r="B232" s="153" t="s">
        <v>231</v>
      </c>
      <c r="C232" s="153">
        <f>ROUNDUP(C227/C230,0)</f>
        <v>0</v>
      </c>
    </row>
    <row r="233" spans="2:7" hidden="1"/>
    <row r="234" spans="2:7" hidden="1"/>
    <row r="235" spans="2:7" hidden="1">
      <c r="B235" s="153" t="s">
        <v>232</v>
      </c>
      <c r="C235" s="153">
        <f>C232*0.16*0.5</f>
        <v>0</v>
      </c>
      <c r="E235" s="201" t="s">
        <v>233</v>
      </c>
    </row>
    <row r="236" spans="2:7" hidden="1">
      <c r="B236" s="153" t="s">
        <v>119</v>
      </c>
      <c r="C236" s="153">
        <f>((0.16*2)+(0.15*0.5*2))*C232</f>
        <v>0</v>
      </c>
    </row>
    <row r="237" spans="2:7" hidden="1"/>
    <row r="238" spans="2:7" hidden="1">
      <c r="B238" s="153" t="s">
        <v>234</v>
      </c>
      <c r="C238" s="192">
        <v>2.12</v>
      </c>
      <c r="D238" s="208">
        <f>ROUNDUP(0.5/0.125,0)+1</f>
        <v>5</v>
      </c>
      <c r="E238" s="153">
        <f>C232</f>
        <v>0</v>
      </c>
      <c r="F238" s="153">
        <v>1.1000000000000001</v>
      </c>
      <c r="G238" s="153">
        <f>PRODUCT(C238:F238)</f>
        <v>0</v>
      </c>
    </row>
    <row r="239" spans="2:7" hidden="1">
      <c r="C239" s="153">
        <v>0.5</v>
      </c>
      <c r="D239" s="208">
        <f>ROUNDUP(C238/0.2+1,0)</f>
        <v>12</v>
      </c>
      <c r="E239" s="153">
        <f>C232</f>
        <v>0</v>
      </c>
      <c r="F239" s="153">
        <v>1.1000000000000001</v>
      </c>
      <c r="G239" s="153">
        <f>PRODUCT(C239:F239)</f>
        <v>0</v>
      </c>
    </row>
    <row r="240" spans="2:7" hidden="1"/>
    <row r="241" spans="2:10" hidden="1">
      <c r="G241" s="153">
        <f>SUM(G238:G240)</f>
        <v>0</v>
      </c>
      <c r="H241" s="153">
        <f>ROUND(100/162,3)</f>
        <v>0.61699999999999999</v>
      </c>
      <c r="J241" s="192">
        <f>ROUNDUP(PRODUCT(G241:H241),0)</f>
        <v>0</v>
      </c>
    </row>
    <row r="242" spans="2:10" hidden="1"/>
    <row r="243" spans="2:10" hidden="1"/>
    <row r="244" spans="2:10" hidden="1"/>
    <row r="245" spans="2:10" hidden="1"/>
    <row r="246" spans="2:10" hidden="1"/>
    <row r="247" spans="2:10" hidden="1"/>
    <row r="248" spans="2:10" hidden="1">
      <c r="B248" s="201" t="s">
        <v>235</v>
      </c>
    </row>
    <row r="249" spans="2:10" hidden="1">
      <c r="C249" s="201" t="s">
        <v>226</v>
      </c>
      <c r="D249" s="201" t="s">
        <v>392</v>
      </c>
      <c r="F249" s="201" t="s">
        <v>393</v>
      </c>
    </row>
    <row r="250" spans="2:10" hidden="1">
      <c r="B250" s="201" t="s">
        <v>394</v>
      </c>
      <c r="C250" s="190">
        <f>E106</f>
        <v>130.11000000000001</v>
      </c>
      <c r="D250" s="190">
        <f>(C6+E6+E6)</f>
        <v>0.5</v>
      </c>
      <c r="F250" s="153">
        <f>C250*D250</f>
        <v>65.055000000000007</v>
      </c>
      <c r="G250" s="153">
        <v>1.1000000000000001</v>
      </c>
      <c r="H250" s="153">
        <f>F250*G250</f>
        <v>71.560500000000019</v>
      </c>
    </row>
    <row r="251" spans="2:10" hidden="1"/>
  </sheetData>
  <mergeCells count="10">
    <mergeCell ref="L105:M105"/>
    <mergeCell ref="O105:P105"/>
    <mergeCell ref="H3:J3"/>
    <mergeCell ref="T6:U6"/>
    <mergeCell ref="W7:W17"/>
    <mergeCell ref="W18:W20"/>
    <mergeCell ref="L103:S103"/>
    <mergeCell ref="L104:N104"/>
    <mergeCell ref="O104:Q104"/>
    <mergeCell ref="R104:S104"/>
  </mergeCells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BD5F7-796A-4025-8591-3AD91DC24A91}">
  <dimension ref="A1:R26"/>
  <sheetViews>
    <sheetView workbookViewId="0">
      <selection activeCell="A12" sqref="A12:J12"/>
    </sheetView>
  </sheetViews>
  <sheetFormatPr defaultColWidth="9.109375" defaultRowHeight="14.4"/>
  <cols>
    <col min="1" max="1" width="15.6640625" style="1" bestFit="1" customWidth="1"/>
    <col min="2" max="2" width="9.109375" style="1"/>
    <col min="3" max="3" width="9.5546875" style="1" bestFit="1" customWidth="1"/>
    <col min="4" max="5" width="9.109375" style="1"/>
    <col min="6" max="6" width="13.44140625" style="1" bestFit="1" customWidth="1"/>
    <col min="7" max="8" width="9.109375" style="1"/>
    <col min="9" max="9" width="11.6640625" style="1" bestFit="1" customWidth="1"/>
    <col min="10" max="10" width="11.5546875" style="1" bestFit="1" customWidth="1"/>
    <col min="11" max="11" width="17.88671875" style="1" bestFit="1" customWidth="1"/>
    <col min="12" max="12" width="11.5546875" style="1" bestFit="1" customWidth="1"/>
    <col min="13" max="14" width="9.109375" style="1"/>
    <col min="15" max="15" width="11.5546875" style="1" bestFit="1" customWidth="1"/>
    <col min="16" max="16384" width="9.109375" style="1"/>
  </cols>
  <sheetData>
    <row r="1" spans="1:18">
      <c r="A1" s="1" t="s">
        <v>395</v>
      </c>
    </row>
    <row r="3" spans="1:18">
      <c r="A3" s="2" t="s">
        <v>0</v>
      </c>
      <c r="B3" s="2"/>
      <c r="C3" s="2" t="s">
        <v>1</v>
      </c>
      <c r="D3" s="2"/>
      <c r="E3" s="2"/>
      <c r="F3" s="2" t="s">
        <v>396</v>
      </c>
      <c r="G3" s="2"/>
      <c r="H3" s="2" t="s">
        <v>1</v>
      </c>
      <c r="I3" s="3" t="s">
        <v>397</v>
      </c>
      <c r="M3" s="2"/>
      <c r="N3" s="2"/>
      <c r="O3" s="2" t="s">
        <v>398</v>
      </c>
      <c r="Q3" s="1" t="s">
        <v>1</v>
      </c>
    </row>
    <row r="5" spans="1:18">
      <c r="A5" s="1" t="s">
        <v>3</v>
      </c>
      <c r="C5" s="1">
        <v>59.5</v>
      </c>
      <c r="F5" s="1" t="s">
        <v>378</v>
      </c>
      <c r="H5" s="1">
        <v>13.7</v>
      </c>
      <c r="I5" s="1">
        <v>11.7</v>
      </c>
      <c r="O5" s="1">
        <v>6</v>
      </c>
      <c r="P5" s="1">
        <v>89</v>
      </c>
      <c r="Q5" s="1">
        <f>O5*P5</f>
        <v>534</v>
      </c>
      <c r="R5" s="1" t="s">
        <v>5</v>
      </c>
    </row>
    <row r="6" spans="1:18">
      <c r="A6" s="1" t="s">
        <v>4</v>
      </c>
      <c r="C6" s="1">
        <v>93.8</v>
      </c>
      <c r="F6" s="1" t="s">
        <v>379</v>
      </c>
      <c r="H6" s="1">
        <v>13.6</v>
      </c>
      <c r="I6" s="1">
        <f>(11.7+12.8)/2</f>
        <v>12.25</v>
      </c>
    </row>
    <row r="7" spans="1:18">
      <c r="A7" s="1" t="s">
        <v>399</v>
      </c>
      <c r="C7" s="1">
        <f>32.3*1.412</f>
        <v>45.607599999999991</v>
      </c>
      <c r="F7" s="1" t="s">
        <v>386</v>
      </c>
      <c r="H7" s="1">
        <v>7.9</v>
      </c>
      <c r="I7" s="1">
        <v>12.8</v>
      </c>
    </row>
    <row r="8" spans="1:18">
      <c r="A8" s="1" t="s">
        <v>400</v>
      </c>
      <c r="C8" s="1">
        <v>480.2</v>
      </c>
    </row>
    <row r="10" spans="1:18" ht="28.8">
      <c r="A10" s="1" t="s">
        <v>401</v>
      </c>
      <c r="C10" s="1">
        <v>35.799999999999997</v>
      </c>
      <c r="F10" s="300" t="s">
        <v>402</v>
      </c>
      <c r="G10" s="2"/>
      <c r="H10" s="3" t="s">
        <v>1</v>
      </c>
      <c r="I10" s="3" t="s">
        <v>403</v>
      </c>
      <c r="J10" s="3" t="s">
        <v>404</v>
      </c>
      <c r="K10" s="3" t="s">
        <v>405</v>
      </c>
    </row>
    <row r="12" spans="1:18">
      <c r="A12" s="1" t="s">
        <v>406</v>
      </c>
      <c r="C12" s="1">
        <v>100.5</v>
      </c>
      <c r="F12" s="1" t="s">
        <v>378</v>
      </c>
      <c r="H12" s="1">
        <v>13.2</v>
      </c>
      <c r="I12" s="1">
        <v>8.5</v>
      </c>
      <c r="J12" s="1">
        <v>10.1</v>
      </c>
      <c r="K12" s="1">
        <v>33.9</v>
      </c>
      <c r="O12" s="1" t="s">
        <v>407</v>
      </c>
    </row>
    <row r="13" spans="1:18">
      <c r="F13" s="1" t="s">
        <v>379</v>
      </c>
      <c r="H13" s="1">
        <v>13.5</v>
      </c>
      <c r="I13" s="1">
        <f>(8.5+11)/2</f>
        <v>9.75</v>
      </c>
      <c r="J13" s="1">
        <f>(10.1+5)/2</f>
        <v>7.55</v>
      </c>
      <c r="K13" s="1">
        <f>(33.9+44.5)/2</f>
        <v>39.200000000000003</v>
      </c>
    </row>
    <row r="14" spans="1:18">
      <c r="A14" s="1" t="s">
        <v>408</v>
      </c>
      <c r="B14" s="1" t="s">
        <v>6</v>
      </c>
      <c r="C14" s="1">
        <v>179.5</v>
      </c>
      <c r="F14" s="1" t="s">
        <v>380</v>
      </c>
      <c r="H14" s="1">
        <v>10.8</v>
      </c>
      <c r="I14" s="1">
        <f>(11+13.9)/2</f>
        <v>12.45</v>
      </c>
      <c r="J14" s="1">
        <f>(5+12.6)/2</f>
        <v>8.8000000000000007</v>
      </c>
      <c r="K14" s="1">
        <f>(44.5+43)/2</f>
        <v>43.75</v>
      </c>
      <c r="O14" s="1">
        <v>20</v>
      </c>
      <c r="P14" s="1">
        <v>9</v>
      </c>
      <c r="Q14" s="1">
        <f>O14*P14</f>
        <v>180</v>
      </c>
      <c r="R14" s="1" t="s">
        <v>5</v>
      </c>
    </row>
    <row r="15" spans="1:18">
      <c r="B15" s="1" t="s">
        <v>7</v>
      </c>
      <c r="C15" s="1">
        <v>165.7</v>
      </c>
      <c r="F15" s="1" t="s">
        <v>381</v>
      </c>
      <c r="H15" s="1">
        <v>8.1999999999999993</v>
      </c>
      <c r="I15" s="1">
        <v>13.9</v>
      </c>
      <c r="J15" s="1">
        <v>12.6</v>
      </c>
      <c r="K15" s="1">
        <v>43</v>
      </c>
    </row>
    <row r="18" spans="6:16">
      <c r="F18" s="1" t="s">
        <v>383</v>
      </c>
      <c r="H18" s="3" t="s">
        <v>1</v>
      </c>
      <c r="I18" s="3" t="s">
        <v>409</v>
      </c>
      <c r="J18" s="1" t="s">
        <v>410</v>
      </c>
      <c r="O18" s="1" t="s">
        <v>411</v>
      </c>
      <c r="P18" s="1" t="s">
        <v>412</v>
      </c>
    </row>
    <row r="19" spans="6:16">
      <c r="O19" s="1" t="s">
        <v>384</v>
      </c>
      <c r="P19" s="1">
        <v>8.5</v>
      </c>
    </row>
    <row r="20" spans="6:16">
      <c r="F20" s="1" t="str">
        <f>F12</f>
        <v>~CS02</v>
      </c>
      <c r="H20" s="1">
        <f>H12</f>
        <v>13.2</v>
      </c>
      <c r="I20" s="1">
        <v>11.6</v>
      </c>
      <c r="J20" s="1">
        <v>10.7</v>
      </c>
      <c r="O20" s="1" t="s">
        <v>413</v>
      </c>
      <c r="P20" s="1">
        <v>1.8</v>
      </c>
    </row>
    <row r="21" spans="6:16">
      <c r="F21" s="1" t="str">
        <f>F13</f>
        <v>CS02 - CS03</v>
      </c>
      <c r="H21" s="1">
        <f>H13</f>
        <v>13.5</v>
      </c>
      <c r="I21" s="1">
        <f>(11.6+9.3)/2</f>
        <v>10.45</v>
      </c>
      <c r="J21" s="1">
        <f>(10.7+12.6)/2</f>
        <v>11.649999999999999</v>
      </c>
      <c r="O21" s="1" t="s">
        <v>414</v>
      </c>
      <c r="P21" s="1">
        <v>11.8</v>
      </c>
    </row>
    <row r="22" spans="6:16">
      <c r="F22" s="1" t="str">
        <f>F14</f>
        <v>CS03 - CS04</v>
      </c>
      <c r="H22" s="1">
        <f>H14</f>
        <v>10.8</v>
      </c>
      <c r="I22" s="1">
        <v>9.3000000000000007</v>
      </c>
      <c r="J22" s="1">
        <v>12.6</v>
      </c>
    </row>
    <row r="26" spans="6:16">
      <c r="F26" s="301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500D9-CD7C-4729-B799-2201A167522E}">
  <sheetPr>
    <tabColor rgb="FF002060"/>
    <pageSetUpPr fitToPage="1"/>
  </sheetPr>
  <dimension ref="A1:M38"/>
  <sheetViews>
    <sheetView showGridLines="0" view="pageBreakPreview" zoomScaleNormal="100" zoomScaleSheetLayoutView="100" workbookViewId="0">
      <selection activeCell="F32" sqref="F32"/>
    </sheetView>
  </sheetViews>
  <sheetFormatPr defaultColWidth="9.109375" defaultRowHeight="13.2"/>
  <cols>
    <col min="1" max="1" width="5.6640625" style="21" customWidth="1"/>
    <col min="2" max="2" width="40.6640625" style="22" customWidth="1"/>
    <col min="3" max="3" width="6.6640625" style="21" customWidth="1"/>
    <col min="4" max="4" width="8.6640625" style="23" customWidth="1"/>
    <col min="5" max="5" width="13.33203125" style="24" customWidth="1"/>
    <col min="6" max="6" width="33" style="24" customWidth="1"/>
    <col min="7" max="7" width="1.6640625" style="22" customWidth="1"/>
    <col min="8" max="8" width="17.5546875" style="25" customWidth="1"/>
    <col min="9" max="9" width="13.44140625" style="26" bestFit="1" customWidth="1"/>
    <col min="10" max="10" width="11.6640625" style="25" bestFit="1" customWidth="1"/>
    <col min="11" max="11" width="12.44140625" style="22" bestFit="1" customWidth="1"/>
    <col min="12" max="12" width="13.5546875" style="22" customWidth="1"/>
    <col min="13" max="13" width="14.109375" style="22" customWidth="1"/>
    <col min="14" max="16384" width="9.109375" style="22"/>
  </cols>
  <sheetData>
    <row r="1" spans="1:13" customFormat="1" ht="15.6">
      <c r="A1" s="772" t="s">
        <v>932</v>
      </c>
      <c r="B1" s="773"/>
      <c r="C1" s="773"/>
      <c r="D1" s="773"/>
      <c r="E1" s="773"/>
      <c r="F1" s="774"/>
    </row>
    <row r="2" spans="1:13" customFormat="1" ht="51" customHeight="1" thickBot="1">
      <c r="A2" s="786" t="s">
        <v>973</v>
      </c>
      <c r="B2" s="787"/>
      <c r="C2" s="787"/>
      <c r="D2" s="787"/>
      <c r="E2" s="787"/>
      <c r="F2" s="788"/>
    </row>
    <row r="3" spans="1:13" customFormat="1" ht="15" hidden="1" thickBot="1">
      <c r="A3" s="644"/>
      <c r="B3" s="645"/>
      <c r="C3" s="645"/>
      <c r="D3" s="645"/>
      <c r="E3" s="646"/>
      <c r="F3" s="647"/>
    </row>
    <row r="4" spans="1:13" customFormat="1" ht="15" thickBot="1">
      <c r="A4" s="636"/>
      <c r="B4" s="6" t="s">
        <v>8</v>
      </c>
      <c r="C4" s="6"/>
      <c r="D4" s="7"/>
      <c r="E4" s="8"/>
      <c r="F4" s="637" t="s">
        <v>9</v>
      </c>
    </row>
    <row r="5" spans="1:13" s="11" customFormat="1" ht="24.9" customHeight="1">
      <c r="A5" s="9"/>
      <c r="B5" s="721" t="str">
        <f>'Bill 3.1'!$A$1</f>
        <v>BILL No. 3.1 - SITE CLEARING</v>
      </c>
      <c r="C5" s="721"/>
      <c r="D5" s="721"/>
      <c r="E5" s="722"/>
      <c r="F5" s="10"/>
      <c r="H5" s="12"/>
      <c r="I5" s="13"/>
      <c r="J5" s="12"/>
      <c r="L5" s="14"/>
    </row>
    <row r="6" spans="1:13" s="11" customFormat="1" ht="17.399999999999999" customHeight="1">
      <c r="A6" s="9"/>
      <c r="B6" s="776" t="str">
        <f>'Bill 3.2'!$A$1</f>
        <v>BILL No. 3.2 - EARTHWORKS</v>
      </c>
      <c r="C6" s="776"/>
      <c r="D6" s="776"/>
      <c r="E6" s="777"/>
      <c r="F6" s="10"/>
      <c r="H6" s="12"/>
      <c r="I6" s="13"/>
      <c r="J6" s="12"/>
      <c r="L6" s="14"/>
    </row>
    <row r="7" spans="1:13" s="11" customFormat="1" ht="24.9" customHeight="1">
      <c r="A7" s="9"/>
      <c r="B7" s="776" t="str">
        <f>'Bill 3.3'!$A$1</f>
        <v>BILL No. 3.3 - STRUCTURE CONSTRUCTION</v>
      </c>
      <c r="C7" s="776"/>
      <c r="D7" s="776"/>
      <c r="E7" s="777"/>
      <c r="F7" s="10"/>
      <c r="H7" s="12"/>
      <c r="I7" s="13"/>
      <c r="J7" s="12"/>
      <c r="L7" s="14"/>
    </row>
    <row r="8" spans="1:13" s="11" customFormat="1" ht="20.399999999999999" customHeight="1">
      <c r="A8" s="9"/>
      <c r="B8" s="593" t="str">
        <f>'Bill 3.4'!$A$1</f>
        <v>BILL No. 3.4 - SOIL NAILING AND HORIZONTAL DRAINS</v>
      </c>
      <c r="C8" s="593"/>
      <c r="D8" s="593"/>
      <c r="E8" s="593"/>
      <c r="F8" s="10"/>
      <c r="H8" s="12"/>
      <c r="I8" s="13"/>
      <c r="J8" s="12"/>
      <c r="L8" s="14"/>
    </row>
    <row r="9" spans="1:13" s="11" customFormat="1" ht="23.4" customHeight="1" thickBot="1">
      <c r="A9" s="9"/>
      <c r="B9" s="302" t="str">
        <f>'Bill 3.5'!$A$1</f>
        <v>BILL No. 3.5 - INCIDENTIAL CONSTRUCTION</v>
      </c>
      <c r="C9" s="593"/>
      <c r="D9" s="593"/>
      <c r="E9" s="593"/>
      <c r="F9" s="10"/>
      <c r="H9" s="12"/>
      <c r="I9" s="12"/>
      <c r="J9" s="12"/>
    </row>
    <row r="10" spans="1:13" s="11" customFormat="1" ht="24.9" customHeight="1" thickBot="1">
      <c r="A10" s="15"/>
      <c r="B10" s="723" t="s">
        <v>12</v>
      </c>
      <c r="C10" s="723"/>
      <c r="D10" s="723"/>
      <c r="E10" s="724"/>
      <c r="F10" s="16"/>
      <c r="H10" s="12"/>
      <c r="I10" s="17"/>
      <c r="J10" s="12"/>
      <c r="K10" s="14"/>
      <c r="M10" s="12"/>
    </row>
    <row r="11" spans="1:13" s="11" customFormat="1" ht="38.4" customHeight="1">
      <c r="A11" s="18"/>
      <c r="C11" s="18"/>
      <c r="D11" s="19"/>
      <c r="E11" s="20"/>
      <c r="F11" s="20"/>
      <c r="H11" s="12"/>
      <c r="I11" s="13"/>
      <c r="J11" s="12"/>
    </row>
    <row r="12" spans="1:13" s="11" customFormat="1" ht="38.4" customHeight="1">
      <c r="A12" s="18"/>
      <c r="C12" s="18"/>
      <c r="D12" s="19"/>
      <c r="E12" s="20"/>
      <c r="F12" s="20"/>
      <c r="H12" s="12"/>
      <c r="I12" s="13"/>
      <c r="J12" s="12"/>
    </row>
    <row r="13" spans="1:13" s="11" customFormat="1" ht="38.4" customHeight="1">
      <c r="A13" s="18"/>
      <c r="C13" s="18"/>
      <c r="D13" s="19"/>
      <c r="E13" s="20"/>
      <c r="F13" s="20"/>
      <c r="H13" s="12"/>
      <c r="I13" s="13"/>
      <c r="J13" s="12"/>
    </row>
    <row r="14" spans="1:13" s="11" customFormat="1" ht="38.4" customHeight="1">
      <c r="A14" s="18"/>
      <c r="C14" s="18"/>
      <c r="D14" s="19"/>
      <c r="E14" s="20"/>
      <c r="F14" s="20"/>
      <c r="H14" s="12"/>
      <c r="I14" s="13"/>
      <c r="J14" s="12"/>
    </row>
    <row r="15" spans="1:13" s="11" customFormat="1" ht="38.4" customHeight="1">
      <c r="A15" s="18"/>
      <c r="C15" s="18"/>
      <c r="D15" s="19"/>
      <c r="E15" s="20"/>
      <c r="F15" s="20"/>
      <c r="H15" s="12"/>
      <c r="I15" s="13"/>
      <c r="J15" s="12"/>
    </row>
    <row r="16" spans="1:13" s="11" customFormat="1" ht="38.4" customHeight="1">
      <c r="A16" s="18"/>
      <c r="C16" s="18"/>
      <c r="D16" s="19"/>
      <c r="E16" s="20"/>
      <c r="F16" s="20"/>
      <c r="H16" s="12"/>
      <c r="I16" s="13"/>
      <c r="J16" s="12"/>
    </row>
    <row r="17" spans="1:10" s="11" customFormat="1" ht="38.4" customHeight="1">
      <c r="A17" s="18"/>
      <c r="C17" s="18"/>
      <c r="D17" s="19"/>
      <c r="E17" s="20"/>
      <c r="F17" s="20"/>
      <c r="H17" s="12"/>
      <c r="I17" s="13"/>
      <c r="J17" s="12"/>
    </row>
    <row r="18" spans="1:10" s="11" customFormat="1" ht="38.4" customHeight="1">
      <c r="A18" s="18"/>
      <c r="C18" s="18"/>
      <c r="D18" s="19"/>
      <c r="E18" s="20"/>
      <c r="F18" s="20"/>
      <c r="H18" s="12"/>
      <c r="I18" s="13"/>
      <c r="J18" s="12"/>
    </row>
    <row r="19" spans="1:10" s="11" customFormat="1" ht="38.4" customHeight="1">
      <c r="A19" s="18"/>
      <c r="C19" s="18"/>
      <c r="D19" s="19"/>
      <c r="E19" s="20"/>
      <c r="F19" s="20"/>
      <c r="H19" s="12"/>
      <c r="I19" s="13"/>
      <c r="J19" s="12"/>
    </row>
    <row r="20" spans="1:10" s="11" customFormat="1" ht="38.4" customHeight="1">
      <c r="A20" s="18"/>
      <c r="C20" s="18"/>
      <c r="D20" s="19"/>
      <c r="E20" s="20"/>
      <c r="F20" s="20"/>
      <c r="H20" s="12"/>
      <c r="I20" s="13"/>
      <c r="J20" s="12"/>
    </row>
    <row r="21" spans="1:10" s="11" customFormat="1" ht="34.799999999999997" customHeight="1">
      <c r="A21" s="18"/>
      <c r="C21" s="18"/>
      <c r="D21" s="19"/>
      <c r="E21" s="20"/>
      <c r="F21" s="20"/>
      <c r="H21" s="12"/>
      <c r="I21" s="13"/>
      <c r="J21" s="12"/>
    </row>
    <row r="22" spans="1:10" s="11" customFormat="1" ht="34.799999999999997" customHeight="1">
      <c r="A22" s="18"/>
      <c r="C22" s="18"/>
      <c r="D22" s="19"/>
      <c r="E22" s="20"/>
      <c r="F22" s="20"/>
      <c r="H22" s="12"/>
      <c r="I22" s="13"/>
      <c r="J22" s="12"/>
    </row>
    <row r="23" spans="1:10" s="11" customFormat="1" ht="34.799999999999997" customHeight="1">
      <c r="A23" s="18"/>
      <c r="C23" s="18"/>
      <c r="D23" s="19"/>
      <c r="E23" s="20"/>
      <c r="F23" s="20"/>
      <c r="H23" s="12"/>
      <c r="I23" s="13"/>
      <c r="J23" s="12"/>
    </row>
    <row r="24" spans="1:10" s="11" customFormat="1" ht="34.799999999999997" customHeight="1">
      <c r="A24" s="18"/>
      <c r="C24" s="18"/>
      <c r="D24" s="19"/>
      <c r="E24" s="20"/>
      <c r="F24" s="20"/>
      <c r="H24" s="12"/>
      <c r="I24" s="13"/>
      <c r="J24" s="12"/>
    </row>
    <row r="25" spans="1:10" s="11" customFormat="1" ht="34.799999999999997" customHeight="1">
      <c r="A25" s="18"/>
      <c r="C25" s="18"/>
      <c r="D25" s="19"/>
      <c r="E25" s="20"/>
      <c r="F25" s="20"/>
      <c r="H25" s="12"/>
      <c r="I25" s="13"/>
      <c r="J25" s="12"/>
    </row>
    <row r="26" spans="1:10" s="11" customFormat="1" ht="34.799999999999997" customHeight="1">
      <c r="A26" s="18"/>
      <c r="C26" s="18"/>
      <c r="D26" s="19"/>
      <c r="E26" s="20"/>
      <c r="F26" s="20"/>
      <c r="H26" s="12"/>
      <c r="I26" s="13"/>
      <c r="J26" s="12"/>
    </row>
    <row r="27" spans="1:10" s="11" customFormat="1">
      <c r="A27" s="18"/>
      <c r="C27" s="18"/>
      <c r="D27" s="19"/>
      <c r="E27" s="20"/>
      <c r="F27" s="20"/>
      <c r="H27" s="12"/>
      <c r="I27" s="13"/>
      <c r="J27" s="12"/>
    </row>
    <row r="28" spans="1:10" s="11" customFormat="1">
      <c r="A28" s="18"/>
      <c r="C28" s="18"/>
      <c r="D28" s="19"/>
      <c r="E28" s="20"/>
      <c r="F28" s="20"/>
      <c r="H28" s="12"/>
      <c r="I28" s="13"/>
      <c r="J28" s="12"/>
    </row>
    <row r="29" spans="1:10" s="11" customFormat="1">
      <c r="A29" s="18"/>
      <c r="C29" s="18"/>
      <c r="D29" s="19"/>
      <c r="E29" s="20"/>
      <c r="F29" s="20"/>
      <c r="H29" s="12"/>
      <c r="I29" s="13"/>
      <c r="J29" s="12"/>
    </row>
    <row r="30" spans="1:10" s="11" customFormat="1">
      <c r="A30" s="18"/>
      <c r="C30" s="18"/>
      <c r="D30" s="19"/>
      <c r="E30" s="20"/>
      <c r="F30" s="20"/>
      <c r="H30" s="12"/>
      <c r="I30" s="13"/>
      <c r="J30" s="12"/>
    </row>
    <row r="31" spans="1:10" s="11" customFormat="1">
      <c r="A31" s="18"/>
      <c r="C31" s="18"/>
      <c r="D31" s="19"/>
      <c r="E31" s="20"/>
      <c r="F31" s="20"/>
      <c r="H31" s="12"/>
      <c r="I31" s="13"/>
      <c r="J31" s="12"/>
    </row>
    <row r="32" spans="1:10" s="11" customFormat="1">
      <c r="A32" s="18"/>
      <c r="C32" s="18"/>
      <c r="D32" s="19"/>
      <c r="E32" s="20"/>
      <c r="F32" s="20"/>
      <c r="H32" s="12"/>
      <c r="I32" s="13"/>
      <c r="J32" s="12"/>
    </row>
    <row r="33" spans="1:10" s="11" customFormat="1">
      <c r="A33" s="18"/>
      <c r="C33" s="18"/>
      <c r="D33" s="19"/>
      <c r="E33" s="20"/>
      <c r="F33" s="20"/>
      <c r="H33" s="12"/>
      <c r="I33" s="13"/>
      <c r="J33" s="12"/>
    </row>
    <row r="34" spans="1:10" s="11" customFormat="1">
      <c r="A34" s="18"/>
      <c r="C34" s="18"/>
      <c r="D34" s="19"/>
      <c r="E34" s="20"/>
      <c r="F34" s="20"/>
      <c r="H34" s="12"/>
      <c r="I34" s="13"/>
      <c r="J34" s="12"/>
    </row>
    <row r="35" spans="1:10" s="11" customFormat="1">
      <c r="A35" s="18"/>
      <c r="C35" s="18"/>
      <c r="D35" s="19"/>
      <c r="E35" s="20"/>
      <c r="F35" s="20"/>
      <c r="H35" s="12"/>
      <c r="I35" s="13"/>
      <c r="J35" s="12"/>
    </row>
    <row r="36" spans="1:10" s="11" customFormat="1">
      <c r="A36" s="18"/>
      <c r="C36" s="18"/>
      <c r="D36" s="19"/>
      <c r="E36" s="20"/>
      <c r="F36" s="20"/>
      <c r="H36" s="12"/>
      <c r="I36" s="13"/>
      <c r="J36" s="12"/>
    </row>
    <row r="37" spans="1:10" s="11" customFormat="1">
      <c r="A37" s="18"/>
      <c r="C37" s="18"/>
      <c r="D37" s="19"/>
      <c r="E37" s="20"/>
      <c r="F37" s="20"/>
      <c r="H37" s="12"/>
      <c r="I37" s="13"/>
      <c r="J37" s="12"/>
    </row>
    <row r="38" spans="1:10" s="11" customFormat="1">
      <c r="A38" s="18"/>
      <c r="C38" s="18"/>
      <c r="D38" s="19"/>
      <c r="E38" s="20"/>
      <c r="F38" s="20"/>
      <c r="H38" s="12"/>
      <c r="I38" s="13"/>
      <c r="J38" s="12"/>
    </row>
  </sheetData>
  <mergeCells count="6">
    <mergeCell ref="B10:E10"/>
    <mergeCell ref="A1:F1"/>
    <mergeCell ref="A2:F2"/>
    <mergeCell ref="B5:E5"/>
    <mergeCell ref="B6:E6"/>
    <mergeCell ref="B7:E7"/>
  </mergeCells>
  <printOptions horizontalCentered="1"/>
  <pageMargins left="0.75" right="0.4" top="0.75" bottom="0.5" header="0" footer="0"/>
  <pageSetup paperSize="9" scale="8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5FBCC-8057-4405-B2B3-C06661B1483E}">
  <sheetPr>
    <tabColor rgb="FFFF9933"/>
    <pageSetUpPr fitToPage="1"/>
  </sheetPr>
  <dimension ref="A1:O26"/>
  <sheetViews>
    <sheetView view="pageBreakPreview" topLeftCell="A19" zoomScaleNormal="100" zoomScaleSheetLayoutView="100" workbookViewId="0">
      <selection activeCell="I1" sqref="I1:M1048576"/>
    </sheetView>
  </sheetViews>
  <sheetFormatPr defaultColWidth="9.109375" defaultRowHeight="13.2"/>
  <cols>
    <col min="1" max="1" width="7.6640625" style="31" customWidth="1"/>
    <col min="2" max="2" width="9.6640625" style="31" customWidth="1"/>
    <col min="3" max="3" width="50.6640625" style="31" customWidth="1"/>
    <col min="4" max="4" width="7.6640625" style="31" customWidth="1"/>
    <col min="5" max="5" width="8.6640625" style="567" customWidth="1"/>
    <col min="6" max="6" width="10.6640625" style="31" customWidth="1"/>
    <col min="7" max="7" width="17.6640625" style="31" customWidth="1"/>
    <col min="8" max="8" width="9.109375" style="31"/>
    <col min="9" max="13" width="0" style="31" hidden="1" customWidth="1"/>
    <col min="14" max="16384" width="9.109375" style="31"/>
  </cols>
  <sheetData>
    <row r="1" spans="1:15" s="27" customFormat="1" ht="75.599999999999994" customHeight="1" thickBot="1">
      <c r="A1" s="778" t="s">
        <v>10</v>
      </c>
      <c r="B1" s="779"/>
      <c r="C1" s="779"/>
      <c r="D1" s="789" t="s">
        <v>1167</v>
      </c>
      <c r="E1" s="789"/>
      <c r="F1" s="789"/>
      <c r="G1" s="790"/>
    </row>
    <row r="2" spans="1:15" ht="26.4">
      <c r="A2" s="620" t="s">
        <v>13</v>
      </c>
      <c r="B2" s="28" t="s">
        <v>14</v>
      </c>
      <c r="C2" s="29" t="s">
        <v>8</v>
      </c>
      <c r="D2" s="28" t="s">
        <v>15</v>
      </c>
      <c r="E2" s="565" t="s">
        <v>16</v>
      </c>
      <c r="F2" s="30" t="s">
        <v>17</v>
      </c>
      <c r="G2" s="621" t="s">
        <v>18</v>
      </c>
    </row>
    <row r="3" spans="1:15" ht="30" customHeight="1">
      <c r="A3" s="622" t="s">
        <v>19</v>
      </c>
      <c r="B3" s="32"/>
      <c r="C3" s="218" t="s">
        <v>20</v>
      </c>
      <c r="D3" s="32"/>
      <c r="E3" s="568"/>
      <c r="F3" s="32"/>
      <c r="G3" s="623"/>
      <c r="I3" s="219" t="s">
        <v>0</v>
      </c>
      <c r="J3" s="791" t="s">
        <v>417</v>
      </c>
      <c r="K3" s="791"/>
    </row>
    <row r="4" spans="1:15" ht="36.6" customHeight="1">
      <c r="A4" s="624" t="s">
        <v>21</v>
      </c>
      <c r="B4" s="33" t="s">
        <v>22</v>
      </c>
      <c r="C4" s="34" t="s">
        <v>23</v>
      </c>
      <c r="D4" s="33" t="s">
        <v>24</v>
      </c>
      <c r="E4" s="234">
        <v>3610</v>
      </c>
      <c r="F4" s="35"/>
      <c r="G4" s="625"/>
      <c r="I4" s="44">
        <f>Drains84!G109+Drains84!G112+Drains84!G135+Drains84!G136+Drains84!G168</f>
        <v>1650.8100000000002</v>
      </c>
      <c r="J4" s="44">
        <f>'QTY84'!J13</f>
        <v>1951.5700000000002</v>
      </c>
      <c r="K4" s="247"/>
      <c r="L4" s="44">
        <f>SUM(I4:K4)</f>
        <v>3602.38</v>
      </c>
    </row>
    <row r="5" spans="1:15" s="27" customFormat="1" ht="30" customHeight="1">
      <c r="A5" s="624" t="s">
        <v>25</v>
      </c>
      <c r="B5" s="36" t="s">
        <v>26</v>
      </c>
      <c r="C5" s="37" t="s">
        <v>27</v>
      </c>
      <c r="D5" s="36" t="s">
        <v>28</v>
      </c>
      <c r="E5" s="232">
        <v>40</v>
      </c>
      <c r="F5" s="38"/>
      <c r="G5" s="39"/>
      <c r="H5" s="40"/>
      <c r="I5" s="792" t="s">
        <v>420</v>
      </c>
      <c r="J5" s="793"/>
      <c r="K5" s="794"/>
    </row>
    <row r="6" spans="1:15" s="27" customFormat="1" ht="30" customHeight="1">
      <c r="A6" s="624" t="s">
        <v>29</v>
      </c>
      <c r="B6" s="36" t="s">
        <v>30</v>
      </c>
      <c r="C6" s="37" t="s">
        <v>31</v>
      </c>
      <c r="D6" s="36" t="s">
        <v>28</v>
      </c>
      <c r="E6" s="232">
        <v>35</v>
      </c>
      <c r="F6" s="38"/>
      <c r="G6" s="39"/>
      <c r="H6" s="40"/>
      <c r="I6" s="795"/>
      <c r="J6" s="796"/>
      <c r="K6" s="797"/>
    </row>
    <row r="7" spans="1:15" s="27" customFormat="1" ht="30" customHeight="1">
      <c r="A7" s="624" t="s">
        <v>32</v>
      </c>
      <c r="B7" s="56" t="s">
        <v>237</v>
      </c>
      <c r="C7" s="222" t="s">
        <v>238</v>
      </c>
      <c r="D7" s="36" t="s">
        <v>28</v>
      </c>
      <c r="E7" s="232">
        <v>10</v>
      </c>
      <c r="F7" s="57"/>
      <c r="G7" s="39"/>
      <c r="H7" s="40"/>
      <c r="I7" s="795"/>
      <c r="J7" s="796"/>
      <c r="K7" s="797"/>
    </row>
    <row r="8" spans="1:15" s="27" customFormat="1" ht="30" customHeight="1">
      <c r="A8" s="624" t="s">
        <v>239</v>
      </c>
      <c r="B8" s="56" t="s">
        <v>240</v>
      </c>
      <c r="C8" s="222" t="s">
        <v>241</v>
      </c>
      <c r="D8" s="36" t="s">
        <v>28</v>
      </c>
      <c r="E8" s="232">
        <v>10</v>
      </c>
      <c r="F8" s="57"/>
      <c r="G8" s="39"/>
      <c r="H8" s="40"/>
      <c r="I8" s="795"/>
      <c r="J8" s="796"/>
      <c r="K8" s="797"/>
    </row>
    <row r="9" spans="1:15" s="27" customFormat="1" ht="30" customHeight="1">
      <c r="A9" s="624" t="s">
        <v>242</v>
      </c>
      <c r="B9" s="56" t="s">
        <v>33</v>
      </c>
      <c r="C9" s="222" t="s">
        <v>243</v>
      </c>
      <c r="D9" s="36" t="s">
        <v>28</v>
      </c>
      <c r="E9" s="232">
        <v>15</v>
      </c>
      <c r="F9" s="57"/>
      <c r="G9" s="39"/>
      <c r="H9" s="40"/>
      <c r="I9" s="795"/>
      <c r="J9" s="796"/>
      <c r="K9" s="797"/>
    </row>
    <row r="10" spans="1:15" s="27" customFormat="1" ht="30" customHeight="1">
      <c r="A10" s="624" t="s">
        <v>244</v>
      </c>
      <c r="B10" s="56" t="s">
        <v>245</v>
      </c>
      <c r="C10" s="222" t="s">
        <v>246</v>
      </c>
      <c r="D10" s="36" t="s">
        <v>28</v>
      </c>
      <c r="E10" s="232">
        <v>10</v>
      </c>
      <c r="F10" s="57"/>
      <c r="G10" s="39"/>
      <c r="H10" s="40"/>
      <c r="I10" s="795"/>
      <c r="J10" s="796"/>
      <c r="K10" s="797"/>
      <c r="O10" s="27">
        <v>0</v>
      </c>
    </row>
    <row r="11" spans="1:15" customFormat="1" ht="38.4" customHeight="1">
      <c r="A11" s="626" t="s">
        <v>317</v>
      </c>
      <c r="B11" s="250"/>
      <c r="C11" s="251" t="s">
        <v>318</v>
      </c>
      <c r="D11" s="250"/>
      <c r="E11" s="569"/>
      <c r="F11" s="57"/>
      <c r="G11" s="627"/>
      <c r="I11" s="795"/>
      <c r="J11" s="796"/>
      <c r="K11" s="797"/>
    </row>
    <row r="12" spans="1:15" customFormat="1" ht="38.4" customHeight="1">
      <c r="A12" s="221" t="s">
        <v>319</v>
      </c>
      <c r="B12" s="250" t="s">
        <v>320</v>
      </c>
      <c r="C12" s="253" t="s">
        <v>321</v>
      </c>
      <c r="D12" s="250" t="s">
        <v>37</v>
      </c>
      <c r="E12" s="569">
        <v>10</v>
      </c>
      <c r="F12" s="57"/>
      <c r="G12" s="627"/>
      <c r="I12" s="795"/>
      <c r="J12" s="796"/>
      <c r="K12" s="797"/>
    </row>
    <row r="13" spans="1:15" customFormat="1" ht="38.4" customHeight="1">
      <c r="A13" s="221" t="s">
        <v>322</v>
      </c>
      <c r="B13" s="254" t="s">
        <v>323</v>
      </c>
      <c r="C13" s="255" t="s">
        <v>324</v>
      </c>
      <c r="D13" s="254" t="s">
        <v>37</v>
      </c>
      <c r="E13" s="570">
        <v>10</v>
      </c>
      <c r="F13" s="257"/>
      <c r="G13" s="627"/>
      <c r="I13" s="798"/>
      <c r="J13" s="799"/>
      <c r="K13" s="800"/>
    </row>
    <row r="14" spans="1:15" ht="38.4" customHeight="1" thickBot="1">
      <c r="A14" s="631"/>
      <c r="B14" s="783" t="s">
        <v>34</v>
      </c>
      <c r="C14" s="784"/>
      <c r="D14" s="784"/>
      <c r="E14" s="784"/>
      <c r="F14" s="785"/>
      <c r="G14" s="632"/>
    </row>
    <row r="15" spans="1:15" ht="38.4" customHeight="1"/>
    <row r="16" spans="1:15" ht="38.4" customHeight="1"/>
    <row r="17" ht="38.4" customHeight="1"/>
    <row r="18" ht="38.4" customHeight="1"/>
    <row r="19" ht="38.4" customHeight="1"/>
    <row r="20" ht="38.4" customHeight="1"/>
    <row r="21" ht="34.799999999999997" customHeight="1"/>
    <row r="22" ht="34.799999999999997" customHeight="1"/>
    <row r="23" ht="34.799999999999997" customHeight="1"/>
    <row r="24" ht="34.799999999999997" customHeight="1"/>
    <row r="25" ht="34.799999999999997" customHeight="1"/>
    <row r="26" ht="34.799999999999997" customHeight="1"/>
  </sheetData>
  <mergeCells count="5">
    <mergeCell ref="A1:C1"/>
    <mergeCell ref="D1:G1"/>
    <mergeCell ref="J3:K3"/>
    <mergeCell ref="I5:K13"/>
    <mergeCell ref="B14:F14"/>
  </mergeCells>
  <phoneticPr fontId="32" type="noConversion"/>
  <printOptions horizontalCentered="1"/>
  <pageMargins left="0.75" right="0.4" top="0.75" bottom="0.5" header="0" footer="0"/>
  <pageSetup paperSize="9" scale="8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D2C47-F639-47ED-B905-55FCE492508B}">
  <sheetPr>
    <tabColor rgb="FFFF9933"/>
    <pageSetUpPr fitToPage="1"/>
  </sheetPr>
  <dimension ref="A1:L26"/>
  <sheetViews>
    <sheetView view="pageBreakPreview" topLeftCell="A16" zoomScaleNormal="100" zoomScaleSheetLayoutView="100" workbookViewId="0">
      <selection activeCell="H1" sqref="H1:K1048576"/>
    </sheetView>
  </sheetViews>
  <sheetFormatPr defaultColWidth="9.109375" defaultRowHeight="13.2"/>
  <cols>
    <col min="1" max="1" width="7.6640625" style="31" customWidth="1"/>
    <col min="2" max="2" width="9.6640625" style="31" customWidth="1"/>
    <col min="3" max="3" width="54" style="31" customWidth="1"/>
    <col min="4" max="4" width="7.6640625" style="31" customWidth="1"/>
    <col min="5" max="5" width="8.6640625" style="567" customWidth="1"/>
    <col min="6" max="6" width="10.6640625" style="31" customWidth="1"/>
    <col min="7" max="7" width="17.6640625" style="31" customWidth="1"/>
    <col min="8" max="8" width="9.44140625" style="31" hidden="1" customWidth="1"/>
    <col min="9" max="11" width="0" style="31" hidden="1" customWidth="1"/>
    <col min="12" max="16384" width="9.109375" style="31"/>
  </cols>
  <sheetData>
    <row r="1" spans="1:12" s="27" customFormat="1" ht="75" customHeight="1" thickBot="1">
      <c r="A1" s="778" t="s">
        <v>35</v>
      </c>
      <c r="B1" s="779"/>
      <c r="C1" s="779"/>
      <c r="D1" s="780" t="str">
        <f>+'Bill 3.1'!D1:G1</f>
        <v>BILL NO. 03 - 
REDUCTION OF LANDSLIDE VULNERABILITY BY MITIGATION MEASURES 
BETWEEN CULVERT NO. 25/3~25/4 ALONG PELAWATTA - NELUWA ROAD (B363) (SITE NO.84)</v>
      </c>
      <c r="E1" s="780"/>
      <c r="F1" s="780"/>
      <c r="G1" s="781"/>
    </row>
    <row r="2" spans="1:12" ht="26.4">
      <c r="A2" s="620" t="s">
        <v>13</v>
      </c>
      <c r="B2" s="28" t="s">
        <v>14</v>
      </c>
      <c r="C2" s="29" t="s">
        <v>8</v>
      </c>
      <c r="D2" s="28" t="s">
        <v>15</v>
      </c>
      <c r="E2" s="565" t="s">
        <v>16</v>
      </c>
      <c r="F2" s="30" t="s">
        <v>17</v>
      </c>
      <c r="G2" s="621" t="s">
        <v>18</v>
      </c>
    </row>
    <row r="3" spans="1:12" ht="24.75" customHeight="1">
      <c r="A3" s="628" t="s">
        <v>267</v>
      </c>
      <c r="B3" s="41"/>
      <c r="C3" s="42" t="s">
        <v>268</v>
      </c>
      <c r="D3" s="41"/>
      <c r="E3" s="566"/>
      <c r="F3" s="41"/>
      <c r="G3" s="630"/>
    </row>
    <row r="4" spans="1:12" ht="36" customHeight="1" thickBot="1">
      <c r="A4" s="624" t="s">
        <v>256</v>
      </c>
      <c r="B4" s="33" t="s">
        <v>257</v>
      </c>
      <c r="C4" s="45" t="s">
        <v>433</v>
      </c>
      <c r="D4" s="33" t="s">
        <v>36</v>
      </c>
      <c r="E4" s="234">
        <v>1710</v>
      </c>
      <c r="F4" s="35"/>
      <c r="G4" s="629"/>
      <c r="H4" s="648">
        <f>'QTY84'!J27</f>
        <v>1708.07</v>
      </c>
    </row>
    <row r="5" spans="1:12" ht="32.25" customHeight="1">
      <c r="A5" s="624" t="s">
        <v>259</v>
      </c>
      <c r="B5" s="33" t="s">
        <v>260</v>
      </c>
      <c r="C5" s="45" t="s">
        <v>435</v>
      </c>
      <c r="D5" s="33" t="s">
        <v>36</v>
      </c>
      <c r="E5" s="233">
        <v>100</v>
      </c>
      <c r="F5" s="35"/>
      <c r="G5" s="629"/>
      <c r="H5" s="649"/>
      <c r="I5" s="801" t="s">
        <v>420</v>
      </c>
      <c r="J5" s="802"/>
    </row>
    <row r="6" spans="1:12" ht="32.25" customHeight="1" thickBot="1">
      <c r="A6" s="624" t="s">
        <v>262</v>
      </c>
      <c r="B6" s="46" t="s">
        <v>263</v>
      </c>
      <c r="C6" s="47" t="s">
        <v>437</v>
      </c>
      <c r="D6" s="46" t="s">
        <v>37</v>
      </c>
      <c r="E6" s="231">
        <v>50</v>
      </c>
      <c r="F6" s="35"/>
      <c r="G6" s="629"/>
      <c r="H6" s="649"/>
      <c r="I6" s="803"/>
      <c r="J6" s="804"/>
    </row>
    <row r="7" spans="1:12" ht="32.25" customHeight="1">
      <c r="A7" s="624" t="s">
        <v>265</v>
      </c>
      <c r="B7" s="48" t="s">
        <v>266</v>
      </c>
      <c r="C7" s="49" t="s">
        <v>439</v>
      </c>
      <c r="D7" s="50" t="s">
        <v>36</v>
      </c>
      <c r="E7" s="231">
        <v>1710</v>
      </c>
      <c r="F7" s="35"/>
      <c r="G7" s="629"/>
      <c r="H7" s="44">
        <f>E4</f>
        <v>1710</v>
      </c>
    </row>
    <row r="8" spans="1:12" ht="26.25" customHeight="1">
      <c r="A8" s="628" t="s">
        <v>38</v>
      </c>
      <c r="B8" s="41"/>
      <c r="C8" s="42" t="s">
        <v>39</v>
      </c>
      <c r="D8" s="51"/>
      <c r="E8" s="566"/>
      <c r="F8" s="41"/>
      <c r="G8" s="630"/>
    </row>
    <row r="9" spans="1:12" ht="48" customHeight="1">
      <c r="A9" s="624" t="s">
        <v>40</v>
      </c>
      <c r="B9" s="52" t="s">
        <v>41</v>
      </c>
      <c r="C9" s="53" t="s">
        <v>42</v>
      </c>
      <c r="D9" s="52" t="s">
        <v>37</v>
      </c>
      <c r="E9" s="234">
        <v>134</v>
      </c>
      <c r="F9" s="35"/>
      <c r="G9" s="629"/>
      <c r="H9" s="44">
        <f>Drains84!H110+Drains84!H112+Drains84!H135+Drains84!H136+Drains84!H168</f>
        <v>134</v>
      </c>
    </row>
    <row r="10" spans="1:12" ht="51" customHeight="1">
      <c r="A10" s="624" t="s">
        <v>43</v>
      </c>
      <c r="B10" s="52" t="s">
        <v>41</v>
      </c>
      <c r="C10" s="53" t="s">
        <v>325</v>
      </c>
      <c r="D10" s="52" t="s">
        <v>37</v>
      </c>
      <c r="E10" s="234">
        <v>1242</v>
      </c>
      <c r="F10" s="35"/>
      <c r="G10" s="629"/>
      <c r="H10" s="44">
        <f>'QTY84'!J41</f>
        <v>1241.9026950000004</v>
      </c>
      <c r="L10" s="54"/>
    </row>
    <row r="11" spans="1:12" ht="38.4" customHeight="1" thickBot="1">
      <c r="A11" s="624" t="s">
        <v>44</v>
      </c>
      <c r="B11" s="52" t="s">
        <v>326</v>
      </c>
      <c r="C11" s="53" t="s">
        <v>327</v>
      </c>
      <c r="D11" s="52" t="s">
        <v>37</v>
      </c>
      <c r="E11" s="234">
        <v>736</v>
      </c>
      <c r="F11" s="35"/>
      <c r="G11" s="629"/>
      <c r="H11" s="44">
        <f>'QTY84'!J52</f>
        <v>735.79176000000007</v>
      </c>
      <c r="L11" s="54"/>
    </row>
    <row r="12" spans="1:12" ht="38.4" customHeight="1">
      <c r="A12" s="624" t="s">
        <v>45</v>
      </c>
      <c r="B12" s="46" t="s">
        <v>46</v>
      </c>
      <c r="C12" s="47" t="s">
        <v>445</v>
      </c>
      <c r="D12" s="46" t="s">
        <v>37</v>
      </c>
      <c r="E12" s="231">
        <v>25</v>
      </c>
      <c r="F12" s="35"/>
      <c r="G12" s="629"/>
      <c r="H12" s="650"/>
      <c r="I12" s="805" t="s">
        <v>420</v>
      </c>
      <c r="J12" s="806"/>
      <c r="L12" s="54"/>
    </row>
    <row r="13" spans="1:12" ht="38.4" customHeight="1" thickBot="1">
      <c r="A13" s="624" t="s">
        <v>47</v>
      </c>
      <c r="B13" s="46" t="s">
        <v>48</v>
      </c>
      <c r="C13" s="47" t="s">
        <v>437</v>
      </c>
      <c r="D13" s="46" t="s">
        <v>37</v>
      </c>
      <c r="E13" s="231">
        <v>20</v>
      </c>
      <c r="F13" s="35"/>
      <c r="G13" s="629"/>
      <c r="H13" s="650"/>
      <c r="I13" s="807"/>
      <c r="J13" s="808"/>
      <c r="L13" s="54"/>
    </row>
    <row r="14" spans="1:12" ht="38.4" customHeight="1">
      <c r="A14" s="624" t="s">
        <v>328</v>
      </c>
      <c r="B14" s="48" t="s">
        <v>49</v>
      </c>
      <c r="C14" s="49" t="s">
        <v>50</v>
      </c>
      <c r="D14" s="50" t="s">
        <v>36</v>
      </c>
      <c r="E14" s="231">
        <v>641</v>
      </c>
      <c r="F14" s="35"/>
      <c r="G14" s="629"/>
      <c r="H14" s="44">
        <f>H9+H10-H11</f>
        <v>640.11093500000038</v>
      </c>
      <c r="L14" s="54"/>
    </row>
    <row r="15" spans="1:12" ht="38.4" customHeight="1" thickBot="1">
      <c r="A15" s="631"/>
      <c r="B15" s="783" t="s">
        <v>51</v>
      </c>
      <c r="C15" s="784"/>
      <c r="D15" s="784"/>
      <c r="E15" s="784"/>
      <c r="F15" s="785"/>
      <c r="G15" s="632"/>
    </row>
    <row r="16" spans="1:12" ht="38.4" customHeight="1"/>
    <row r="17" ht="38.4" customHeight="1"/>
    <row r="18" ht="38.4" customHeight="1"/>
    <row r="19" ht="38.4" customHeight="1"/>
    <row r="20" ht="38.4" customHeight="1"/>
    <row r="21" ht="34.799999999999997" customHeight="1"/>
    <row r="22" ht="34.799999999999997" customHeight="1"/>
    <row r="23" ht="34.799999999999997" customHeight="1"/>
    <row r="24" ht="34.799999999999997" customHeight="1"/>
    <row r="25" ht="34.799999999999997" customHeight="1"/>
    <row r="26" ht="34.799999999999997" customHeight="1"/>
  </sheetData>
  <mergeCells count="5">
    <mergeCell ref="A1:C1"/>
    <mergeCell ref="D1:G1"/>
    <mergeCell ref="I5:J6"/>
    <mergeCell ref="I12:J13"/>
    <mergeCell ref="B15:F15"/>
  </mergeCells>
  <phoneticPr fontId="32" type="noConversion"/>
  <printOptions horizontalCentered="1"/>
  <pageMargins left="0.75" right="0.4" top="0.75" bottom="0.5" header="0" footer="0"/>
  <pageSetup paperSize="9" scale="78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1636D-ADB2-48B8-84CF-7394FFA32F8D}">
  <sheetPr>
    <tabColor rgb="FFFF9933"/>
    <pageSetUpPr fitToPage="1"/>
  </sheetPr>
  <dimension ref="A1:I33"/>
  <sheetViews>
    <sheetView view="pageBreakPreview" zoomScale="85" zoomScaleNormal="110" zoomScaleSheetLayoutView="85" workbookViewId="0">
      <pane ySplit="2" topLeftCell="A24" activePane="bottomLeft" state="frozen"/>
      <selection activeCell="F32" sqref="F32"/>
      <selection pane="bottomLeft" activeCell="H1" sqref="H1:M1048576"/>
    </sheetView>
  </sheetViews>
  <sheetFormatPr defaultColWidth="9.109375" defaultRowHeight="13.2"/>
  <cols>
    <col min="1" max="1" width="7.6640625" style="31" customWidth="1"/>
    <col min="2" max="2" width="9.6640625" style="31" customWidth="1"/>
    <col min="3" max="3" width="54" style="31" customWidth="1"/>
    <col min="4" max="4" width="7.6640625" style="31" customWidth="1"/>
    <col min="5" max="5" width="8.6640625" style="567" customWidth="1"/>
    <col min="6" max="6" width="10.6640625" style="31" customWidth="1"/>
    <col min="7" max="7" width="17.6640625" style="31" customWidth="1"/>
    <col min="8" max="8" width="11.44140625" style="59" hidden="1" customWidth="1"/>
    <col min="9" max="13" width="0" style="31" hidden="1" customWidth="1"/>
    <col min="14" max="16384" width="9.109375" style="31"/>
  </cols>
  <sheetData>
    <row r="1" spans="1:8" s="27" customFormat="1" ht="85.8" customHeight="1" thickBot="1">
      <c r="A1" s="778" t="s">
        <v>11</v>
      </c>
      <c r="B1" s="779"/>
      <c r="C1" s="779"/>
      <c r="D1" s="789" t="str">
        <f>+'Bill 3.1'!D1:G1</f>
        <v>BILL NO. 03 - 
REDUCTION OF LANDSLIDE VULNERABILITY BY MITIGATION MEASURES 
BETWEEN CULVERT NO. 25/3~25/4 ALONG PELAWATTA - NELUWA ROAD (B363) (SITE NO.84)</v>
      </c>
      <c r="E1" s="789"/>
      <c r="F1" s="789"/>
      <c r="G1" s="790"/>
    </row>
    <row r="2" spans="1:8" ht="26.4">
      <c r="A2" s="620" t="s">
        <v>13</v>
      </c>
      <c r="B2" s="28" t="s">
        <v>14</v>
      </c>
      <c r="C2" s="29" t="s">
        <v>8</v>
      </c>
      <c r="D2" s="28" t="s">
        <v>15</v>
      </c>
      <c r="E2" s="565" t="s">
        <v>16</v>
      </c>
      <c r="F2" s="30" t="s">
        <v>17</v>
      </c>
      <c r="G2" s="621" t="s">
        <v>18</v>
      </c>
    </row>
    <row r="3" spans="1:8" ht="24" customHeight="1">
      <c r="A3" s="633" t="s">
        <v>52</v>
      </c>
      <c r="B3" s="60"/>
      <c r="C3" s="42" t="s">
        <v>53</v>
      </c>
      <c r="D3" s="61"/>
      <c r="E3" s="235"/>
      <c r="F3" s="61"/>
      <c r="G3" s="634"/>
    </row>
    <row r="4" spans="1:8" ht="29.4" customHeight="1">
      <c r="A4" s="624" t="s">
        <v>54</v>
      </c>
      <c r="B4" s="62" t="s">
        <v>55</v>
      </c>
      <c r="C4" s="45" t="s">
        <v>56</v>
      </c>
      <c r="D4" s="33" t="s">
        <v>36</v>
      </c>
      <c r="E4" s="234">
        <v>4</v>
      </c>
      <c r="F4" s="35"/>
      <c r="G4" s="629"/>
      <c r="H4" s="59">
        <f>Drains84!I109</f>
        <v>3.1395</v>
      </c>
    </row>
    <row r="5" spans="1:8" ht="29.4" customHeight="1">
      <c r="A5" s="624" t="s">
        <v>57</v>
      </c>
      <c r="B5" s="62" t="s">
        <v>58</v>
      </c>
      <c r="C5" s="45" t="s">
        <v>59</v>
      </c>
      <c r="D5" s="33" t="s">
        <v>36</v>
      </c>
      <c r="E5" s="234">
        <v>16</v>
      </c>
      <c r="F5" s="35"/>
      <c r="G5" s="629"/>
      <c r="H5" s="59">
        <f>Drains84!J109+Drains84!J110</f>
        <v>15.042609375000003</v>
      </c>
    </row>
    <row r="6" spans="1:8" ht="29.4" customHeight="1">
      <c r="A6" s="624" t="s">
        <v>60</v>
      </c>
      <c r="B6" s="62" t="s">
        <v>61</v>
      </c>
      <c r="C6" s="45" t="s">
        <v>62</v>
      </c>
      <c r="D6" s="33" t="s">
        <v>63</v>
      </c>
      <c r="E6" s="234">
        <v>980</v>
      </c>
      <c r="F6" s="35"/>
      <c r="G6" s="629"/>
      <c r="H6" s="59">
        <f>Drains84!U110</f>
        <v>978.92592592592587</v>
      </c>
    </row>
    <row r="7" spans="1:8" ht="28.2" customHeight="1">
      <c r="A7" s="624" t="s">
        <v>64</v>
      </c>
      <c r="B7" s="62" t="s">
        <v>65</v>
      </c>
      <c r="C7" s="45" t="s">
        <v>66</v>
      </c>
      <c r="D7" s="33" t="s">
        <v>24</v>
      </c>
      <c r="E7" s="234">
        <v>196</v>
      </c>
      <c r="F7" s="35"/>
      <c r="G7" s="629"/>
      <c r="H7" s="59">
        <f>Drains84!K109+Drains84!K110</f>
        <v>195.50174999999999</v>
      </c>
    </row>
    <row r="8" spans="1:8" ht="22.2" customHeight="1">
      <c r="A8" s="633" t="s">
        <v>67</v>
      </c>
      <c r="B8" s="60"/>
      <c r="C8" s="42" t="s">
        <v>68</v>
      </c>
      <c r="D8" s="61"/>
      <c r="E8" s="235"/>
      <c r="F8" s="61"/>
      <c r="G8" s="634"/>
    </row>
    <row r="9" spans="1:8" ht="29.4" customHeight="1">
      <c r="A9" s="624" t="s">
        <v>69</v>
      </c>
      <c r="B9" s="62" t="s">
        <v>55</v>
      </c>
      <c r="C9" s="45" t="s">
        <v>56</v>
      </c>
      <c r="D9" s="33" t="s">
        <v>36</v>
      </c>
      <c r="E9" s="234">
        <v>6</v>
      </c>
      <c r="F9" s="35"/>
      <c r="G9" s="629"/>
      <c r="H9" s="59">
        <f>Drains84!I112</f>
        <v>5.136000000000001</v>
      </c>
    </row>
    <row r="10" spans="1:8" ht="29.4" customHeight="1">
      <c r="A10" s="624" t="s">
        <v>70</v>
      </c>
      <c r="B10" s="62" t="s">
        <v>58</v>
      </c>
      <c r="C10" s="45" t="s">
        <v>59</v>
      </c>
      <c r="D10" s="33" t="s">
        <v>36</v>
      </c>
      <c r="E10" s="234">
        <v>26</v>
      </c>
      <c r="F10" s="35"/>
      <c r="G10" s="629"/>
      <c r="H10" s="59">
        <f>Drains84!J112+Drains84!J113</f>
        <v>25.800937500000003</v>
      </c>
    </row>
    <row r="11" spans="1:8" ht="27.6" customHeight="1">
      <c r="A11" s="624" t="s">
        <v>71</v>
      </c>
      <c r="B11" s="62" t="s">
        <v>61</v>
      </c>
      <c r="C11" s="45" t="s">
        <v>62</v>
      </c>
      <c r="D11" s="33" t="s">
        <v>63</v>
      </c>
      <c r="E11" s="234">
        <v>1570</v>
      </c>
      <c r="F11" s="35"/>
      <c r="G11" s="629"/>
      <c r="H11" s="59">
        <f>Drains84!U113</f>
        <v>1569.043209876543</v>
      </c>
    </row>
    <row r="12" spans="1:8" ht="26.4" customHeight="1">
      <c r="A12" s="624" t="s">
        <v>72</v>
      </c>
      <c r="B12" s="62" t="s">
        <v>65</v>
      </c>
      <c r="C12" s="45" t="s">
        <v>66</v>
      </c>
      <c r="D12" s="33" t="s">
        <v>24</v>
      </c>
      <c r="E12" s="234">
        <v>338</v>
      </c>
      <c r="F12" s="35"/>
      <c r="G12" s="629"/>
      <c r="H12" s="59">
        <f>Drains84!K112+Drains84!K113</f>
        <v>337.839</v>
      </c>
    </row>
    <row r="13" spans="1:8" ht="21.6" customHeight="1">
      <c r="A13" s="633" t="s">
        <v>73</v>
      </c>
      <c r="B13" s="51"/>
      <c r="C13" s="55" t="s">
        <v>461</v>
      </c>
      <c r="D13" s="41"/>
      <c r="E13" s="236"/>
      <c r="F13" s="41"/>
      <c r="G13" s="630"/>
    </row>
    <row r="14" spans="1:8" ht="34.200000000000003" customHeight="1">
      <c r="A14" s="624" t="s">
        <v>74</v>
      </c>
      <c r="B14" s="62" t="s">
        <v>55</v>
      </c>
      <c r="C14" s="45" t="s">
        <v>56</v>
      </c>
      <c r="D14" s="33" t="s">
        <v>36</v>
      </c>
      <c r="E14" s="234">
        <v>3</v>
      </c>
      <c r="F14" s="35"/>
      <c r="G14" s="629"/>
      <c r="H14" s="59">
        <f>Drains84!I168</f>
        <v>2.6</v>
      </c>
    </row>
    <row r="15" spans="1:8" ht="38.4" customHeight="1">
      <c r="A15" s="624" t="s">
        <v>75</v>
      </c>
      <c r="B15" s="62" t="s">
        <v>58</v>
      </c>
      <c r="C15" s="45" t="s">
        <v>59</v>
      </c>
      <c r="D15" s="33" t="s">
        <v>36</v>
      </c>
      <c r="E15" s="234">
        <v>16</v>
      </c>
      <c r="F15" s="35"/>
      <c r="G15" s="629"/>
      <c r="H15" s="59">
        <f>Drains84!J168+Drains84!J169</f>
        <v>15.71453125</v>
      </c>
    </row>
    <row r="16" spans="1:8" ht="23.4" customHeight="1">
      <c r="A16" s="624" t="s">
        <v>76</v>
      </c>
      <c r="B16" s="62" t="s">
        <v>61</v>
      </c>
      <c r="C16" s="45" t="s">
        <v>62</v>
      </c>
      <c r="D16" s="33" t="s">
        <v>63</v>
      </c>
      <c r="E16" s="234">
        <v>841</v>
      </c>
      <c r="F16" s="35"/>
      <c r="G16" s="629"/>
      <c r="H16" s="59">
        <f>Drains84!U169</f>
        <v>840.12962962962956</v>
      </c>
    </row>
    <row r="17" spans="1:9" ht="24.6" customHeight="1">
      <c r="A17" s="624" t="s">
        <v>77</v>
      </c>
      <c r="B17" s="62" t="s">
        <v>65</v>
      </c>
      <c r="C17" s="45" t="s">
        <v>66</v>
      </c>
      <c r="D17" s="33" t="s">
        <v>24</v>
      </c>
      <c r="E17" s="234">
        <v>234</v>
      </c>
      <c r="F17" s="35"/>
      <c r="G17" s="629"/>
      <c r="H17" s="59">
        <f>Drains84!K168+Drains84!K169</f>
        <v>233.49249999999998</v>
      </c>
    </row>
    <row r="18" spans="1:9" ht="22.8" customHeight="1">
      <c r="A18" s="633" t="s">
        <v>78</v>
      </c>
      <c r="B18" s="60"/>
      <c r="C18" s="260" t="s">
        <v>467</v>
      </c>
      <c r="D18" s="41"/>
      <c r="E18" s="235"/>
      <c r="F18" s="61"/>
      <c r="G18" s="630"/>
    </row>
    <row r="19" spans="1:9" ht="31.2" customHeight="1">
      <c r="A19" s="624" t="s">
        <v>79</v>
      </c>
      <c r="B19" s="62" t="s">
        <v>55</v>
      </c>
      <c r="C19" s="45" t="s">
        <v>56</v>
      </c>
      <c r="D19" s="33" t="s">
        <v>36</v>
      </c>
      <c r="E19" s="234">
        <v>3</v>
      </c>
      <c r="F19" s="35"/>
      <c r="G19" s="629"/>
      <c r="H19" s="59">
        <f>Drains84!I135</f>
        <v>2.4225000000000003</v>
      </c>
    </row>
    <row r="20" spans="1:9" ht="38.4" customHeight="1">
      <c r="A20" s="624" t="s">
        <v>80</v>
      </c>
      <c r="B20" s="62" t="s">
        <v>58</v>
      </c>
      <c r="C20" s="45" t="s">
        <v>59</v>
      </c>
      <c r="D20" s="33" t="s">
        <v>36</v>
      </c>
      <c r="E20" s="234">
        <v>27</v>
      </c>
      <c r="F20" s="35"/>
      <c r="G20" s="629"/>
      <c r="H20" s="59">
        <f>Drains84!J135+Drains84!J136</f>
        <v>26.163000000000004</v>
      </c>
    </row>
    <row r="21" spans="1:9" ht="21.6" customHeight="1">
      <c r="A21" s="624" t="s">
        <v>81</v>
      </c>
      <c r="B21" s="62" t="s">
        <v>61</v>
      </c>
      <c r="C21" s="45" t="s">
        <v>62</v>
      </c>
      <c r="D21" s="33" t="s">
        <v>63</v>
      </c>
      <c r="E21" s="234">
        <v>1731</v>
      </c>
      <c r="F21" s="35"/>
      <c r="G21" s="629"/>
      <c r="H21" s="59">
        <f>Drains84!U136</f>
        <v>1730.7129629629626</v>
      </c>
    </row>
    <row r="22" spans="1:9" ht="25.8" customHeight="1">
      <c r="A22" s="624" t="s">
        <v>82</v>
      </c>
      <c r="B22" s="62" t="s">
        <v>65</v>
      </c>
      <c r="C22" s="45" t="s">
        <v>66</v>
      </c>
      <c r="D22" s="33" t="s">
        <v>24</v>
      </c>
      <c r="E22" s="234">
        <v>156</v>
      </c>
      <c r="F22" s="35"/>
      <c r="G22" s="629"/>
      <c r="H22" s="59">
        <f>Drains84!K135+Drains84!K136</f>
        <v>155.04000000000002</v>
      </c>
    </row>
    <row r="23" spans="1:9" s="65" customFormat="1" ht="21.6" customHeight="1">
      <c r="A23" s="633" t="s">
        <v>83</v>
      </c>
      <c r="B23" s="46"/>
      <c r="C23" s="66" t="s">
        <v>331</v>
      </c>
      <c r="D23" s="46"/>
      <c r="E23" s="231"/>
      <c r="F23" s="57"/>
      <c r="G23" s="277"/>
      <c r="H23" s="63"/>
      <c r="I23" s="64"/>
    </row>
    <row r="24" spans="1:9" s="65" customFormat="1" ht="34.799999999999997" customHeight="1">
      <c r="A24" s="635" t="s">
        <v>84</v>
      </c>
      <c r="B24" s="46" t="s">
        <v>85</v>
      </c>
      <c r="C24" s="58" t="s">
        <v>332</v>
      </c>
      <c r="D24" s="46" t="s">
        <v>5</v>
      </c>
      <c r="E24" s="231">
        <v>80</v>
      </c>
      <c r="F24" s="57"/>
      <c r="G24" s="277"/>
      <c r="H24" s="63">
        <f>Drains84!D170</f>
        <v>80</v>
      </c>
      <c r="I24" s="64"/>
    </row>
    <row r="25" spans="1:9" ht="19.2" customHeight="1">
      <c r="A25" s="633" t="s">
        <v>333</v>
      </c>
      <c r="B25" s="51"/>
      <c r="C25" s="55" t="s">
        <v>474</v>
      </c>
      <c r="D25" s="41"/>
      <c r="E25" s="236"/>
      <c r="F25" s="41"/>
      <c r="G25" s="630"/>
    </row>
    <row r="26" spans="1:9" ht="34.799999999999997" customHeight="1">
      <c r="A26" s="624" t="s">
        <v>335</v>
      </c>
      <c r="B26" s="62" t="s">
        <v>336</v>
      </c>
      <c r="C26" s="45" t="s">
        <v>337</v>
      </c>
      <c r="D26" s="33" t="s">
        <v>36</v>
      </c>
      <c r="E26" s="234">
        <v>286</v>
      </c>
      <c r="F26" s="35"/>
      <c r="G26" s="629"/>
      <c r="H26" s="59">
        <f>'QTY84'!J62</f>
        <v>285.86250000000001</v>
      </c>
    </row>
    <row r="27" spans="1:9" ht="23.4" customHeight="1">
      <c r="A27" s="624" t="s">
        <v>338</v>
      </c>
      <c r="B27" s="62" t="s">
        <v>86</v>
      </c>
      <c r="C27" s="45" t="s">
        <v>87</v>
      </c>
      <c r="D27" s="33" t="s">
        <v>24</v>
      </c>
      <c r="E27" s="234">
        <v>510</v>
      </c>
      <c r="F27" s="35"/>
      <c r="G27" s="629"/>
      <c r="H27" s="59">
        <f>'QTY84'!J64</f>
        <v>508.20000000000005</v>
      </c>
    </row>
    <row r="28" spans="1:9" ht="23.4" customHeight="1">
      <c r="A28" s="624" t="s">
        <v>339</v>
      </c>
      <c r="B28" s="62" t="s">
        <v>340</v>
      </c>
      <c r="C28" s="45" t="s">
        <v>341</v>
      </c>
      <c r="D28" s="33" t="s">
        <v>36</v>
      </c>
      <c r="E28" s="234">
        <v>64</v>
      </c>
      <c r="F28" s="35"/>
      <c r="G28" s="629"/>
      <c r="H28" s="59">
        <f>'QTY84'!J63</f>
        <v>63.525000000000006</v>
      </c>
    </row>
    <row r="29" spans="1:9" ht="19.8" customHeight="1">
      <c r="A29" s="633" t="s">
        <v>958</v>
      </c>
      <c r="B29" s="51"/>
      <c r="C29" s="55" t="s">
        <v>478</v>
      </c>
      <c r="D29" s="41"/>
      <c r="E29" s="236"/>
      <c r="F29" s="41"/>
      <c r="G29" s="630"/>
    </row>
    <row r="30" spans="1:9" ht="22.2" customHeight="1">
      <c r="A30" s="624" t="s">
        <v>959</v>
      </c>
      <c r="B30" s="62" t="s">
        <v>336</v>
      </c>
      <c r="C30" s="45" t="s">
        <v>337</v>
      </c>
      <c r="D30" s="33" t="s">
        <v>36</v>
      </c>
      <c r="E30" s="234">
        <v>360</v>
      </c>
      <c r="F30" s="35"/>
      <c r="G30" s="629"/>
      <c r="H30" s="59">
        <f>'QTY84'!J68</f>
        <v>359.97500000000002</v>
      </c>
    </row>
    <row r="31" spans="1:9" ht="22.2" customHeight="1">
      <c r="A31" s="624" t="s">
        <v>960</v>
      </c>
      <c r="B31" s="62" t="s">
        <v>86</v>
      </c>
      <c r="C31" s="45" t="s">
        <v>87</v>
      </c>
      <c r="D31" s="33" t="s">
        <v>24</v>
      </c>
      <c r="E31" s="234">
        <v>558</v>
      </c>
      <c r="F31" s="35"/>
      <c r="G31" s="629"/>
      <c r="H31" s="59">
        <f>'QTY84'!J70</f>
        <v>547.67624999999998</v>
      </c>
    </row>
    <row r="32" spans="1:9" ht="30" customHeight="1">
      <c r="A32" s="624" t="s">
        <v>961</v>
      </c>
      <c r="B32" s="62" t="s">
        <v>340</v>
      </c>
      <c r="C32" s="45" t="s">
        <v>341</v>
      </c>
      <c r="D32" s="33" t="s">
        <v>36</v>
      </c>
      <c r="E32" s="234">
        <v>69</v>
      </c>
      <c r="F32" s="35"/>
      <c r="G32" s="629"/>
      <c r="H32" s="59">
        <f>'QTY84'!J69</f>
        <v>68.909500000000008</v>
      </c>
    </row>
    <row r="33" spans="1:7" ht="30" customHeight="1" thickBot="1">
      <c r="A33" s="631"/>
      <c r="B33" s="783" t="s">
        <v>88</v>
      </c>
      <c r="C33" s="784"/>
      <c r="D33" s="784"/>
      <c r="E33" s="784"/>
      <c r="F33" s="785"/>
      <c r="G33" s="632"/>
    </row>
  </sheetData>
  <mergeCells count="3">
    <mergeCell ref="A1:C1"/>
    <mergeCell ref="D1:G1"/>
    <mergeCell ref="B33:F33"/>
  </mergeCells>
  <phoneticPr fontId="32" type="noConversion"/>
  <printOptions horizontalCentered="1"/>
  <pageMargins left="0.75" right="0.4" top="0.75" bottom="0.5" header="0" footer="0"/>
  <pageSetup paperSize="9" scale="78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3C820-39AA-4B3A-8B9A-16E611293367}">
  <sheetPr>
    <tabColor rgb="FFFF9933"/>
    <pageSetUpPr fitToPage="1"/>
  </sheetPr>
  <dimension ref="A1:P26"/>
  <sheetViews>
    <sheetView view="pageBreakPreview" topLeftCell="A22" zoomScaleNormal="110" zoomScaleSheetLayoutView="100" workbookViewId="0">
      <selection activeCell="H4" sqref="H1:J1048576"/>
    </sheetView>
  </sheetViews>
  <sheetFormatPr defaultColWidth="9.109375" defaultRowHeight="13.2"/>
  <cols>
    <col min="1" max="1" width="7.6640625" style="31" customWidth="1"/>
    <col min="2" max="2" width="9.6640625" style="279" customWidth="1"/>
    <col min="3" max="3" width="54" style="31" customWidth="1"/>
    <col min="4" max="4" width="7.6640625" style="280" customWidth="1"/>
    <col min="5" max="5" width="8.6640625" style="567" customWidth="1"/>
    <col min="6" max="6" width="13" style="31" customWidth="1"/>
    <col min="7" max="7" width="17.6640625" style="31" customWidth="1"/>
    <col min="8" max="8" width="8.109375" style="31" hidden="1" customWidth="1"/>
    <col min="9" max="9" width="0" style="31" hidden="1" customWidth="1"/>
    <col min="10" max="10" width="10.44140625" style="31" hidden="1" customWidth="1"/>
    <col min="11" max="16384" width="9.109375" style="31"/>
  </cols>
  <sheetData>
    <row r="1" spans="1:16" s="27" customFormat="1" ht="82.2" customHeight="1" thickBot="1">
      <c r="A1" s="778" t="s">
        <v>962</v>
      </c>
      <c r="B1" s="779"/>
      <c r="C1" s="779"/>
      <c r="D1" s="789" t="str">
        <f>+'Bill 3.1'!D1:G1</f>
        <v>BILL NO. 03 - 
REDUCTION OF LANDSLIDE VULNERABILITY BY MITIGATION MEASURES 
BETWEEN CULVERT NO. 25/3~25/4 ALONG PELAWATTA - NELUWA ROAD (B363) (SITE NO.84)</v>
      </c>
      <c r="E1" s="789"/>
      <c r="F1" s="789"/>
      <c r="G1" s="790"/>
    </row>
    <row r="2" spans="1:16" ht="26.4">
      <c r="A2" s="620" t="s">
        <v>13</v>
      </c>
      <c r="B2" s="28" t="s">
        <v>14</v>
      </c>
      <c r="C2" s="29" t="s">
        <v>8</v>
      </c>
      <c r="D2" s="28" t="s">
        <v>15</v>
      </c>
      <c r="E2" s="565" t="s">
        <v>16</v>
      </c>
      <c r="F2" s="30" t="s">
        <v>17</v>
      </c>
      <c r="G2" s="621" t="s">
        <v>18</v>
      </c>
    </row>
    <row r="3" spans="1:16" ht="33" customHeight="1">
      <c r="A3" s="638"/>
      <c r="B3" s="261"/>
      <c r="C3" s="262" t="s">
        <v>481</v>
      </c>
      <c r="D3" s="261"/>
      <c r="E3" s="571"/>
      <c r="F3" s="263"/>
      <c r="G3" s="639"/>
    </row>
    <row r="4" spans="1:16" ht="30" customHeight="1">
      <c r="A4" s="640" t="s">
        <v>342</v>
      </c>
      <c r="B4" s="264"/>
      <c r="C4" s="265" t="s">
        <v>343</v>
      </c>
      <c r="D4" s="266"/>
      <c r="E4" s="568"/>
      <c r="F4" s="32"/>
      <c r="G4" s="623"/>
    </row>
    <row r="5" spans="1:16" ht="30" customHeight="1">
      <c r="A5" s="624" t="s">
        <v>344</v>
      </c>
      <c r="B5" s="33" t="s">
        <v>345</v>
      </c>
      <c r="C5" s="267" t="s">
        <v>346</v>
      </c>
      <c r="D5" s="33" t="s">
        <v>347</v>
      </c>
      <c r="E5" s="234"/>
      <c r="F5" s="35"/>
      <c r="G5" s="641"/>
    </row>
    <row r="6" spans="1:16" s="271" customFormat="1" ht="30" customHeight="1">
      <c r="A6" s="624" t="s">
        <v>348</v>
      </c>
      <c r="B6" s="33" t="s">
        <v>349</v>
      </c>
      <c r="C6" s="47" t="s">
        <v>350</v>
      </c>
      <c r="D6" s="33" t="s">
        <v>5</v>
      </c>
      <c r="E6" s="233">
        <v>992</v>
      </c>
      <c r="F6" s="35"/>
      <c r="G6" s="642"/>
      <c r="H6" s="270">
        <f>'QTY84'!J112</f>
        <v>992</v>
      </c>
    </row>
    <row r="7" spans="1:16" ht="30" customHeight="1">
      <c r="A7" s="624" t="s">
        <v>351</v>
      </c>
      <c r="B7" s="33" t="s">
        <v>352</v>
      </c>
      <c r="C7" s="272" t="s">
        <v>353</v>
      </c>
      <c r="D7" s="33" t="s">
        <v>24</v>
      </c>
      <c r="E7" s="233">
        <v>660</v>
      </c>
      <c r="F7" s="35"/>
      <c r="G7" s="629"/>
      <c r="H7" s="247">
        <f>'QTY84'!J94</f>
        <v>656.33150000000001</v>
      </c>
    </row>
    <row r="8" spans="1:16" ht="30" customHeight="1">
      <c r="A8" s="624" t="s">
        <v>354</v>
      </c>
      <c r="B8" s="273" t="s">
        <v>355</v>
      </c>
      <c r="C8" s="274" t="s">
        <v>487</v>
      </c>
      <c r="D8" s="46" t="s">
        <v>5</v>
      </c>
      <c r="E8" s="231">
        <v>565</v>
      </c>
      <c r="F8" s="57"/>
      <c r="G8" s="629"/>
      <c r="H8" s="247">
        <f>'QTY84'!J117</f>
        <v>563.04930000000013</v>
      </c>
    </row>
    <row r="9" spans="1:16" ht="30" customHeight="1">
      <c r="A9" s="624" t="s">
        <v>357</v>
      </c>
      <c r="B9" s="62" t="s">
        <v>358</v>
      </c>
      <c r="C9" s="275" t="s">
        <v>489</v>
      </c>
      <c r="D9" s="33" t="s">
        <v>5</v>
      </c>
      <c r="E9" s="233">
        <v>170</v>
      </c>
      <c r="F9" s="35"/>
      <c r="G9" s="629"/>
      <c r="H9" s="247">
        <f>'QTY84'!J126</f>
        <v>169.56500000000003</v>
      </c>
    </row>
    <row r="10" spans="1:16" ht="30" customHeight="1">
      <c r="A10" s="624" t="s">
        <v>360</v>
      </c>
      <c r="B10" s="56" t="s">
        <v>85</v>
      </c>
      <c r="C10" s="58" t="s">
        <v>332</v>
      </c>
      <c r="D10" s="56" t="s">
        <v>5</v>
      </c>
      <c r="E10" s="233">
        <v>110</v>
      </c>
      <c r="F10" s="35"/>
      <c r="G10" s="629"/>
      <c r="H10" s="247"/>
    </row>
    <row r="11" spans="1:16" ht="38.4" customHeight="1">
      <c r="A11" s="624" t="s">
        <v>361</v>
      </c>
      <c r="B11" s="33" t="s">
        <v>362</v>
      </c>
      <c r="C11" s="267" t="s">
        <v>363</v>
      </c>
      <c r="D11" s="33" t="s">
        <v>92</v>
      </c>
      <c r="E11" s="233">
        <v>6</v>
      </c>
      <c r="F11" s="35"/>
      <c r="G11" s="629"/>
      <c r="H11" s="247">
        <f>('QTY84'!E110+'QTY84'!E111)*2%</f>
        <v>2.6</v>
      </c>
      <c r="P11" s="303"/>
    </row>
    <row r="12" spans="1:16" ht="38.4" customHeight="1">
      <c r="A12" s="626" t="s">
        <v>364</v>
      </c>
      <c r="B12" s="250"/>
      <c r="C12" s="251" t="s">
        <v>365</v>
      </c>
      <c r="D12" s="250"/>
      <c r="E12" s="572"/>
      <c r="F12" s="41"/>
      <c r="G12" s="630"/>
      <c r="H12" s="247"/>
    </row>
    <row r="13" spans="1:16" ht="38.4" customHeight="1">
      <c r="A13" s="624" t="s">
        <v>366</v>
      </c>
      <c r="B13" s="33" t="s">
        <v>367</v>
      </c>
      <c r="C13" s="272" t="s">
        <v>368</v>
      </c>
      <c r="D13" s="33" t="s">
        <v>5</v>
      </c>
      <c r="E13" s="233">
        <v>165</v>
      </c>
      <c r="F13" s="35"/>
      <c r="G13" s="629"/>
      <c r="H13" s="247">
        <f>'QTY84'!J122</f>
        <v>165</v>
      </c>
    </row>
    <row r="14" spans="1:16" ht="38.4" customHeight="1" thickBot="1">
      <c r="A14" s="631"/>
      <c r="B14" s="783" t="s">
        <v>376</v>
      </c>
      <c r="C14" s="784"/>
      <c r="D14" s="784"/>
      <c r="E14" s="784"/>
      <c r="F14" s="785"/>
      <c r="G14" s="632"/>
    </row>
    <row r="15" spans="1:16" ht="38.4" customHeight="1"/>
    <row r="16" spans="1:16" ht="38.4" customHeight="1"/>
    <row r="17" ht="38.4" customHeight="1"/>
    <row r="18" ht="38.4" customHeight="1"/>
    <row r="19" ht="38.4" customHeight="1"/>
    <row r="20" ht="38.4" customHeight="1"/>
    <row r="21" ht="34.799999999999997" customHeight="1"/>
    <row r="22" ht="34.799999999999997" customHeight="1"/>
    <row r="23" ht="34.799999999999997" customHeight="1"/>
    <row r="24" ht="34.799999999999997" customHeight="1"/>
    <row r="25" ht="34.799999999999997" customHeight="1"/>
    <row r="26" ht="34.799999999999997" customHeight="1"/>
  </sheetData>
  <mergeCells count="3">
    <mergeCell ref="A1:C1"/>
    <mergeCell ref="D1:G1"/>
    <mergeCell ref="B14:F14"/>
  </mergeCells>
  <phoneticPr fontId="32" type="noConversion"/>
  <printOptions horizontalCentered="1"/>
  <pageMargins left="0.75" right="0.4" top="0.75" bottom="0.5" header="0" footer="0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FDB4-790E-4A1F-8CEA-70002660DA33}">
  <sheetPr>
    <tabColor rgb="FF002060"/>
    <pageSetUpPr fitToPage="1"/>
  </sheetPr>
  <dimension ref="A1:M34"/>
  <sheetViews>
    <sheetView showGridLines="0" view="pageBreakPreview" zoomScaleSheetLayoutView="100" workbookViewId="0">
      <selection activeCell="F32" sqref="F32"/>
    </sheetView>
  </sheetViews>
  <sheetFormatPr defaultColWidth="9.109375" defaultRowHeight="13.2"/>
  <cols>
    <col min="1" max="1" width="5.6640625" style="21" customWidth="1"/>
    <col min="2" max="2" width="40.6640625" style="22" customWidth="1"/>
    <col min="3" max="3" width="6.6640625" style="21" customWidth="1"/>
    <col min="4" max="4" width="8.6640625" style="23" customWidth="1"/>
    <col min="5" max="5" width="13.33203125" style="24" customWidth="1"/>
    <col min="6" max="6" width="33" style="24" customWidth="1"/>
    <col min="7" max="7" width="1.6640625" style="22" customWidth="1"/>
    <col min="8" max="8" width="23.88671875" style="25" customWidth="1"/>
    <col min="9" max="9" width="13.44140625" style="26" bestFit="1" customWidth="1"/>
    <col min="10" max="10" width="11.6640625" style="25" bestFit="1" customWidth="1"/>
    <col min="11" max="11" width="12.44140625" style="22" bestFit="1" customWidth="1"/>
    <col min="12" max="12" width="13.5546875" style="22" customWidth="1"/>
    <col min="13" max="13" width="14.109375" style="22" customWidth="1"/>
    <col min="14" max="16384" width="9.109375" style="22"/>
  </cols>
  <sheetData>
    <row r="1" spans="1:13" customFormat="1" ht="15.6">
      <c r="A1" s="715"/>
      <c r="B1" s="716"/>
      <c r="C1" s="716"/>
      <c r="D1" s="716"/>
      <c r="E1" s="716"/>
      <c r="F1" s="717"/>
    </row>
    <row r="2" spans="1:13" customFormat="1" ht="24.6" customHeight="1">
      <c r="A2" s="718" t="s">
        <v>1174</v>
      </c>
      <c r="B2" s="719"/>
      <c r="C2" s="719"/>
      <c r="D2" s="719"/>
      <c r="E2" s="719"/>
      <c r="F2" s="720"/>
    </row>
    <row r="3" spans="1:13" customFormat="1" ht="15" thickBot="1">
      <c r="A3" s="644"/>
      <c r="B3" s="685"/>
      <c r="C3" s="685"/>
      <c r="D3" s="685"/>
      <c r="E3" s="646"/>
      <c r="F3" s="647"/>
    </row>
    <row r="4" spans="1:13" customFormat="1" ht="29.4" customHeight="1" thickBot="1">
      <c r="A4" s="636"/>
      <c r="B4" s="6" t="s">
        <v>8</v>
      </c>
      <c r="C4" s="6"/>
      <c r="D4" s="7"/>
      <c r="E4" s="8"/>
      <c r="F4" s="637" t="s">
        <v>9</v>
      </c>
    </row>
    <row r="5" spans="1:13" s="11" customFormat="1" ht="29.4" customHeight="1" thickBot="1">
      <c r="A5" s="9"/>
      <c r="B5" s="721" t="s">
        <v>1175</v>
      </c>
      <c r="C5" s="721"/>
      <c r="D5" s="721"/>
      <c r="E5" s="722"/>
      <c r="F5" s="10"/>
      <c r="H5" s="12"/>
      <c r="I5" s="13"/>
      <c r="J5" s="12"/>
      <c r="L5" s="14"/>
    </row>
    <row r="6" spans="1:13" s="11" customFormat="1" ht="29.4" customHeight="1" thickBot="1">
      <c r="A6" s="15"/>
      <c r="B6" s="723" t="s">
        <v>12</v>
      </c>
      <c r="C6" s="723"/>
      <c r="D6" s="723"/>
      <c r="E6" s="724"/>
      <c r="F6" s="16"/>
      <c r="H6" s="12"/>
      <c r="I6" s="17"/>
      <c r="J6" s="12"/>
      <c r="K6" s="14"/>
      <c r="M6" s="12"/>
    </row>
    <row r="7" spans="1:13" s="11" customFormat="1">
      <c r="A7" s="18"/>
      <c r="C7" s="18"/>
      <c r="D7" s="19"/>
      <c r="E7" s="20"/>
      <c r="F7" s="20"/>
      <c r="H7" s="12"/>
      <c r="I7" s="13"/>
      <c r="J7" s="12"/>
    </row>
    <row r="8" spans="1:13" s="11" customFormat="1">
      <c r="A8" s="18"/>
      <c r="C8" s="18"/>
      <c r="D8" s="19"/>
      <c r="E8" s="20"/>
      <c r="F8" s="20"/>
      <c r="H8" s="12"/>
      <c r="I8" s="13"/>
      <c r="J8" s="12"/>
    </row>
    <row r="9" spans="1:13" s="11" customFormat="1">
      <c r="A9" s="18"/>
      <c r="C9" s="18"/>
      <c r="D9" s="19"/>
      <c r="E9" s="20"/>
      <c r="F9" s="20"/>
      <c r="H9" s="12"/>
      <c r="I9" s="13"/>
      <c r="J9" s="12"/>
    </row>
    <row r="10" spans="1:13" s="11" customFormat="1">
      <c r="A10" s="18"/>
      <c r="C10" s="18"/>
      <c r="D10" s="19"/>
      <c r="E10" s="20"/>
      <c r="F10" s="20"/>
      <c r="H10" s="12"/>
      <c r="I10" s="13"/>
      <c r="J10" s="12"/>
    </row>
    <row r="11" spans="1:13" s="11" customFormat="1" ht="38.4" customHeight="1">
      <c r="A11" s="18"/>
      <c r="C11" s="18"/>
      <c r="D11" s="19"/>
      <c r="E11" s="20"/>
      <c r="F11" s="20"/>
      <c r="H11" s="12"/>
      <c r="I11" s="13"/>
      <c r="J11" s="12"/>
    </row>
    <row r="12" spans="1:13" s="11" customFormat="1" ht="38.4" customHeight="1">
      <c r="A12" s="18"/>
      <c r="C12" s="18"/>
      <c r="D12" s="19"/>
      <c r="E12" s="20"/>
      <c r="F12" s="20"/>
      <c r="H12" s="12"/>
      <c r="I12" s="13"/>
      <c r="J12" s="12"/>
    </row>
    <row r="13" spans="1:13" s="11" customFormat="1" ht="38.4" customHeight="1">
      <c r="A13" s="18"/>
      <c r="C13" s="18"/>
      <c r="D13" s="19"/>
      <c r="E13" s="20"/>
      <c r="F13" s="20"/>
      <c r="H13" s="12"/>
      <c r="I13" s="13"/>
      <c r="J13" s="12"/>
    </row>
    <row r="14" spans="1:13" s="11" customFormat="1" ht="38.4" customHeight="1">
      <c r="A14" s="18"/>
      <c r="C14" s="18"/>
      <c r="D14" s="19"/>
      <c r="E14" s="20"/>
      <c r="F14" s="20"/>
      <c r="H14" s="12"/>
      <c r="I14" s="13"/>
      <c r="J14" s="12"/>
    </row>
    <row r="15" spans="1:13" s="11" customFormat="1" ht="38.4" customHeight="1">
      <c r="A15" s="18"/>
      <c r="C15" s="18"/>
      <c r="D15" s="19"/>
      <c r="E15" s="20"/>
      <c r="F15" s="20"/>
      <c r="H15" s="12"/>
      <c r="I15" s="13"/>
      <c r="J15" s="12"/>
    </row>
    <row r="16" spans="1:13" s="11" customFormat="1" ht="38.4" customHeight="1">
      <c r="A16" s="18"/>
      <c r="C16" s="18"/>
      <c r="D16" s="19"/>
      <c r="E16" s="20"/>
      <c r="F16" s="20"/>
      <c r="H16" s="12"/>
      <c r="I16" s="13"/>
      <c r="J16" s="12"/>
    </row>
    <row r="17" spans="1:10" s="11" customFormat="1" ht="38.4" customHeight="1">
      <c r="A17" s="18"/>
      <c r="C17" s="18"/>
      <c r="D17" s="19"/>
      <c r="E17" s="20"/>
      <c r="F17" s="20"/>
      <c r="H17" s="12"/>
      <c r="I17" s="13"/>
      <c r="J17" s="12"/>
    </row>
    <row r="18" spans="1:10" s="11" customFormat="1" ht="38.4" customHeight="1">
      <c r="A18" s="18"/>
      <c r="C18" s="18"/>
      <c r="D18" s="19"/>
      <c r="E18" s="20"/>
      <c r="F18" s="20"/>
      <c r="H18" s="12"/>
      <c r="I18" s="13"/>
      <c r="J18" s="12"/>
    </row>
    <row r="19" spans="1:10" s="11" customFormat="1" ht="38.4" customHeight="1">
      <c r="A19" s="18"/>
      <c r="C19" s="18"/>
      <c r="D19" s="19"/>
      <c r="E19" s="20"/>
      <c r="F19" s="20"/>
      <c r="H19" s="12"/>
      <c r="I19" s="13"/>
      <c r="J19" s="12"/>
    </row>
    <row r="20" spans="1:10" s="11" customFormat="1" ht="38.4" customHeight="1">
      <c r="A20" s="18"/>
      <c r="C20" s="18"/>
      <c r="D20" s="19"/>
      <c r="E20" s="20"/>
      <c r="F20" s="20"/>
      <c r="H20" s="12"/>
      <c r="I20" s="13"/>
      <c r="J20" s="12"/>
    </row>
    <row r="21" spans="1:10" s="11" customFormat="1" ht="34.799999999999997" customHeight="1">
      <c r="A21" s="18"/>
      <c r="C21" s="18"/>
      <c r="D21" s="19"/>
      <c r="E21" s="20"/>
      <c r="F21" s="20"/>
      <c r="H21" s="12"/>
      <c r="I21" s="13"/>
      <c r="J21" s="12"/>
    </row>
    <row r="22" spans="1:10" s="11" customFormat="1" ht="34.799999999999997" customHeight="1">
      <c r="A22" s="18"/>
      <c r="C22" s="18"/>
      <c r="D22" s="19"/>
      <c r="E22" s="20"/>
      <c r="F22" s="20"/>
      <c r="H22" s="12"/>
      <c r="I22" s="13"/>
      <c r="J22" s="12"/>
    </row>
    <row r="23" spans="1:10" s="11" customFormat="1" ht="34.799999999999997" customHeight="1">
      <c r="A23" s="18"/>
      <c r="C23" s="18"/>
      <c r="D23" s="19"/>
      <c r="E23" s="20"/>
      <c r="F23" s="20"/>
      <c r="H23" s="12"/>
      <c r="I23" s="13"/>
      <c r="J23" s="12"/>
    </row>
    <row r="24" spans="1:10" s="11" customFormat="1" ht="34.799999999999997" customHeight="1">
      <c r="A24" s="18"/>
      <c r="C24" s="18"/>
      <c r="D24" s="19"/>
      <c r="E24" s="20"/>
      <c r="F24" s="20"/>
      <c r="H24" s="12"/>
      <c r="I24" s="13"/>
      <c r="J24" s="12"/>
    </row>
    <row r="25" spans="1:10" s="11" customFormat="1" ht="34.799999999999997" customHeight="1">
      <c r="A25" s="18"/>
      <c r="C25" s="18"/>
      <c r="D25" s="19"/>
      <c r="E25" s="20"/>
      <c r="F25" s="20"/>
      <c r="H25" s="12"/>
      <c r="I25" s="13"/>
      <c r="J25" s="12"/>
    </row>
    <row r="26" spans="1:10" s="11" customFormat="1" ht="34.799999999999997" customHeight="1">
      <c r="A26" s="18"/>
      <c r="C26" s="18"/>
      <c r="D26" s="19"/>
      <c r="E26" s="20"/>
      <c r="F26" s="20"/>
      <c r="H26" s="12"/>
      <c r="I26" s="13"/>
      <c r="J26" s="12"/>
    </row>
    <row r="27" spans="1:10" s="11" customFormat="1">
      <c r="A27" s="18"/>
      <c r="C27" s="18"/>
      <c r="D27" s="19"/>
      <c r="E27" s="20"/>
      <c r="F27" s="20"/>
      <c r="H27" s="12"/>
      <c r="I27" s="13"/>
      <c r="J27" s="12"/>
    </row>
    <row r="28" spans="1:10" s="11" customFormat="1">
      <c r="A28" s="18"/>
      <c r="C28" s="18"/>
      <c r="D28" s="19"/>
      <c r="E28" s="20"/>
      <c r="F28" s="20"/>
      <c r="H28" s="12"/>
      <c r="I28" s="13"/>
      <c r="J28" s="12"/>
    </row>
    <row r="29" spans="1:10" s="11" customFormat="1">
      <c r="A29" s="18"/>
      <c r="C29" s="18"/>
      <c r="D29" s="19"/>
      <c r="E29" s="20"/>
      <c r="F29" s="20"/>
      <c r="H29" s="12"/>
      <c r="I29" s="13"/>
      <c r="J29" s="12"/>
    </row>
    <row r="30" spans="1:10" s="11" customFormat="1">
      <c r="A30" s="18"/>
      <c r="C30" s="18"/>
      <c r="D30" s="19"/>
      <c r="E30" s="20"/>
      <c r="F30" s="20"/>
      <c r="H30" s="12"/>
      <c r="I30" s="13"/>
      <c r="J30" s="12"/>
    </row>
    <row r="31" spans="1:10" s="11" customFormat="1">
      <c r="A31" s="18"/>
      <c r="C31" s="18"/>
      <c r="D31" s="19"/>
      <c r="E31" s="20"/>
      <c r="F31" s="20"/>
      <c r="H31" s="12"/>
      <c r="I31" s="13"/>
      <c r="J31" s="12"/>
    </row>
    <row r="32" spans="1:10" s="11" customFormat="1">
      <c r="A32" s="18"/>
      <c r="C32" s="18"/>
      <c r="D32" s="19"/>
      <c r="E32" s="20"/>
      <c r="F32" s="20"/>
      <c r="H32" s="12"/>
      <c r="I32" s="13"/>
      <c r="J32" s="12"/>
    </row>
    <row r="33" spans="1:10" s="11" customFormat="1">
      <c r="A33" s="18"/>
      <c r="C33" s="18"/>
      <c r="D33" s="19"/>
      <c r="E33" s="20"/>
      <c r="F33" s="20"/>
      <c r="H33" s="12"/>
      <c r="I33" s="13"/>
      <c r="J33" s="12"/>
    </row>
    <row r="34" spans="1:10" s="11" customFormat="1">
      <c r="A34" s="18"/>
      <c r="C34" s="18"/>
      <c r="D34" s="19"/>
      <c r="E34" s="20"/>
      <c r="F34" s="20"/>
      <c r="H34" s="12"/>
      <c r="I34" s="13"/>
      <c r="J34" s="12"/>
    </row>
  </sheetData>
  <mergeCells count="4">
    <mergeCell ref="A1:F1"/>
    <mergeCell ref="A2:F2"/>
    <mergeCell ref="B5:E5"/>
    <mergeCell ref="B6:E6"/>
  </mergeCells>
  <printOptions horizontalCentered="1"/>
  <pageMargins left="0.75" right="0.4" top="0.75" bottom="0.5" header="0" footer="0"/>
  <pageSetup paperSize="9" scale="8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21521-C65D-4596-9E60-3B187EFDA125}">
  <sheetPr>
    <tabColor rgb="FFFF9933"/>
    <pageSetUpPr fitToPage="1"/>
  </sheetPr>
  <dimension ref="A1:I26"/>
  <sheetViews>
    <sheetView view="pageBreakPreview" zoomScaleNormal="100" zoomScaleSheetLayoutView="100" workbookViewId="0">
      <selection activeCell="H1" sqref="H1:I1048576"/>
    </sheetView>
  </sheetViews>
  <sheetFormatPr defaultColWidth="9.109375" defaultRowHeight="13.2"/>
  <cols>
    <col min="1" max="1" width="7.6640625" style="31" customWidth="1"/>
    <col min="2" max="2" width="7.88671875" style="31" customWidth="1"/>
    <col min="3" max="3" width="54" style="31" customWidth="1"/>
    <col min="4" max="4" width="7.6640625" style="31" customWidth="1"/>
    <col min="5" max="5" width="8.6640625" style="31" customWidth="1"/>
    <col min="6" max="6" width="10.6640625" style="31" customWidth="1"/>
    <col min="7" max="7" width="17.6640625" style="31" customWidth="1"/>
    <col min="8" max="8" width="9.6640625" style="31" hidden="1" customWidth="1"/>
    <col min="9" max="9" width="0" style="31" hidden="1" customWidth="1"/>
    <col min="10" max="16384" width="9.109375" style="31"/>
  </cols>
  <sheetData>
    <row r="1" spans="1:9" s="27" customFormat="1" ht="83.4" customHeight="1" thickBot="1">
      <c r="A1" s="778" t="s">
        <v>963</v>
      </c>
      <c r="B1" s="779"/>
      <c r="C1" s="779"/>
      <c r="D1" s="789" t="str">
        <f>+'Bill 3.1'!D1:G1</f>
        <v>BILL NO. 03 - 
REDUCTION OF LANDSLIDE VULNERABILITY BY MITIGATION MEASURES 
BETWEEN CULVERT NO. 25/3~25/4 ALONG PELAWATTA - NELUWA ROAD (B363) (SITE NO.84)</v>
      </c>
      <c r="E1" s="789"/>
      <c r="F1" s="789"/>
      <c r="G1" s="790"/>
    </row>
    <row r="2" spans="1:9" ht="26.4">
      <c r="A2" s="620" t="s">
        <v>13</v>
      </c>
      <c r="B2" s="28" t="s">
        <v>14</v>
      </c>
      <c r="C2" s="29" t="s">
        <v>8</v>
      </c>
      <c r="D2" s="28" t="s">
        <v>15</v>
      </c>
      <c r="E2" s="28" t="s">
        <v>16</v>
      </c>
      <c r="F2" s="30" t="s">
        <v>17</v>
      </c>
      <c r="G2" s="621" t="s">
        <v>18</v>
      </c>
    </row>
    <row r="3" spans="1:9" ht="30" customHeight="1">
      <c r="A3" s="640" t="s">
        <v>964</v>
      </c>
      <c r="B3" s="264"/>
      <c r="C3" s="265" t="s">
        <v>496</v>
      </c>
      <c r="D3" s="266"/>
      <c r="E3" s="32"/>
      <c r="F3" s="32"/>
      <c r="G3" s="623"/>
    </row>
    <row r="4" spans="1:9" customFormat="1" ht="30" customHeight="1">
      <c r="A4" s="624" t="s">
        <v>965</v>
      </c>
      <c r="B4" s="46" t="s">
        <v>370</v>
      </c>
      <c r="C4" s="47" t="s">
        <v>371</v>
      </c>
      <c r="D4" s="46" t="s">
        <v>372</v>
      </c>
      <c r="E4" s="234">
        <v>660</v>
      </c>
      <c r="F4" s="57"/>
      <c r="G4" s="277"/>
      <c r="H4" s="44">
        <f>'QTY84'!J94</f>
        <v>656.33150000000001</v>
      </c>
    </row>
    <row r="5" spans="1:9" ht="30" customHeight="1">
      <c r="A5" s="624" t="s">
        <v>966</v>
      </c>
      <c r="B5" s="33" t="s">
        <v>373</v>
      </c>
      <c r="C5" s="278" t="s">
        <v>499</v>
      </c>
      <c r="D5" s="33" t="s">
        <v>24</v>
      </c>
      <c r="E5" s="234">
        <v>660</v>
      </c>
      <c r="F5" s="35"/>
      <c r="G5" s="277"/>
      <c r="H5" s="44">
        <f>'QTY84'!J94</f>
        <v>656.33150000000001</v>
      </c>
    </row>
    <row r="6" spans="1:9" s="27" customFormat="1" ht="30" customHeight="1">
      <c r="A6" s="624" t="s">
        <v>967</v>
      </c>
      <c r="B6" s="643" t="s">
        <v>501</v>
      </c>
      <c r="C6" s="253" t="s">
        <v>502</v>
      </c>
      <c r="D6" s="46" t="s">
        <v>372</v>
      </c>
      <c r="E6" s="231">
        <v>885</v>
      </c>
      <c r="F6" s="57"/>
      <c r="G6" s="277"/>
      <c r="H6" s="44">
        <f>'QTY84'!J104</f>
        <v>884.26305000000002</v>
      </c>
      <c r="I6" s="304"/>
    </row>
    <row r="7" spans="1:9" ht="22.5" customHeight="1" thickBot="1">
      <c r="A7" s="631"/>
      <c r="B7" s="783" t="s">
        <v>968</v>
      </c>
      <c r="C7" s="784"/>
      <c r="D7" s="784"/>
      <c r="E7" s="784"/>
      <c r="F7" s="785"/>
      <c r="G7" s="632"/>
    </row>
    <row r="11" spans="1:9" ht="38.4" customHeight="1"/>
    <row r="12" spans="1:9" ht="38.4" customHeight="1"/>
    <row r="13" spans="1:9" ht="38.4" customHeight="1"/>
    <row r="14" spans="1:9" ht="38.4" customHeight="1"/>
    <row r="15" spans="1:9" ht="38.4" customHeight="1"/>
    <row r="16" spans="1:9" ht="38.4" customHeight="1"/>
    <row r="17" ht="38.4" customHeight="1"/>
    <row r="18" ht="38.4" customHeight="1"/>
    <row r="19" ht="38.4" customHeight="1"/>
    <row r="20" ht="38.4" customHeight="1"/>
    <row r="21" ht="34.799999999999997" customHeight="1"/>
    <row r="22" ht="34.799999999999997" customHeight="1"/>
    <row r="23" ht="34.799999999999997" customHeight="1"/>
    <row r="24" ht="34.799999999999997" customHeight="1"/>
    <row r="25" ht="34.799999999999997" customHeight="1"/>
    <row r="26" ht="34.799999999999997" customHeight="1"/>
  </sheetData>
  <mergeCells count="3">
    <mergeCell ref="A1:C1"/>
    <mergeCell ref="D1:G1"/>
    <mergeCell ref="B7:F7"/>
  </mergeCells>
  <phoneticPr fontId="32" type="noConversion"/>
  <printOptions horizontalCentered="1"/>
  <pageMargins left="0.75" right="0.4" top="0.75" bottom="0.5" header="0" footer="0"/>
  <pageSetup paperSize="9" scale="7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5C248-7474-409B-8A00-8679EFFDE347}">
  <sheetPr>
    <tabColor rgb="FF00B050"/>
  </sheetPr>
  <dimension ref="A1:O126"/>
  <sheetViews>
    <sheetView view="pageBreakPreview" zoomScale="90" zoomScaleNormal="100" zoomScaleSheetLayoutView="90" workbookViewId="0">
      <pane ySplit="2" topLeftCell="A9" activePane="bottomLeft" state="frozen"/>
      <selection activeCell="F10" sqref="F10"/>
      <selection pane="bottomLeft" activeCell="F10" sqref="F10"/>
    </sheetView>
  </sheetViews>
  <sheetFormatPr defaultColWidth="9.109375" defaultRowHeight="13.2"/>
  <cols>
    <col min="1" max="1" width="26.5546875" style="67" customWidth="1"/>
    <col min="2" max="5" width="10.6640625" style="67" customWidth="1"/>
    <col min="6" max="7" width="12.6640625" style="67" customWidth="1"/>
    <col min="8" max="8" width="5.5546875" style="67" customWidth="1"/>
    <col min="9" max="10" width="12.6640625" style="67" customWidth="1"/>
    <col min="11" max="11" width="10.33203125" style="67" bestFit="1" customWidth="1"/>
    <col min="12" max="12" width="10" style="67" bestFit="1" customWidth="1"/>
    <col min="13" max="15" width="9.109375" style="67"/>
    <col min="16" max="16" width="11.109375" style="67" bestFit="1" customWidth="1"/>
    <col min="17" max="16384" width="9.109375" style="67"/>
  </cols>
  <sheetData>
    <row r="1" spans="1:12" ht="20.100000000000001" customHeight="1">
      <c r="A1" s="739" t="s">
        <v>504</v>
      </c>
      <c r="B1" s="740"/>
      <c r="C1" s="740"/>
      <c r="D1" s="740"/>
      <c r="E1" s="740"/>
      <c r="F1" s="740"/>
      <c r="G1" s="740"/>
      <c r="H1" s="740"/>
      <c r="I1" s="740"/>
      <c r="J1" s="741"/>
    </row>
    <row r="2" spans="1:12" s="70" customFormat="1" ht="30" customHeight="1">
      <c r="A2" s="68"/>
      <c r="B2" s="69" t="s">
        <v>90</v>
      </c>
      <c r="C2" s="69" t="s">
        <v>91</v>
      </c>
      <c r="D2" s="69" t="s">
        <v>6</v>
      </c>
      <c r="E2" s="69" t="s">
        <v>92</v>
      </c>
      <c r="F2" s="69" t="s">
        <v>93</v>
      </c>
      <c r="G2" s="69" t="s">
        <v>94</v>
      </c>
      <c r="H2" s="69" t="s">
        <v>95</v>
      </c>
      <c r="I2" s="69" t="s">
        <v>96</v>
      </c>
      <c r="J2" s="69" t="s">
        <v>97</v>
      </c>
      <c r="L2" s="71"/>
    </row>
    <row r="3" spans="1:12" ht="24.9" customHeight="1">
      <c r="A3" s="742" t="s">
        <v>98</v>
      </c>
      <c r="B3" s="743"/>
      <c r="C3" s="743"/>
      <c r="D3" s="743"/>
      <c r="E3" s="743"/>
      <c r="F3" s="743"/>
      <c r="G3" s="743"/>
      <c r="H3" s="743"/>
      <c r="I3" s="743"/>
      <c r="J3" s="744"/>
    </row>
    <row r="4" spans="1:12" ht="15">
      <c r="A4" s="745" t="s">
        <v>99</v>
      </c>
      <c r="B4" s="746"/>
      <c r="C4" s="746"/>
      <c r="D4" s="746"/>
      <c r="E4" s="746"/>
      <c r="F4" s="747"/>
      <c r="G4" s="72"/>
      <c r="H4" s="73"/>
      <c r="I4" s="72"/>
      <c r="J4" s="72"/>
    </row>
    <row r="5" spans="1:12" ht="15">
      <c r="A5" s="74" t="s">
        <v>236</v>
      </c>
      <c r="B5" s="75"/>
      <c r="C5" s="76"/>
      <c r="D5" s="77"/>
      <c r="E5" s="76"/>
      <c r="F5" s="75"/>
      <c r="G5" s="76"/>
      <c r="H5" s="76"/>
      <c r="I5" s="76"/>
      <c r="J5" s="78"/>
      <c r="L5" s="79"/>
    </row>
    <row r="6" spans="1:12" ht="15">
      <c r="A6" s="86" t="s">
        <v>378</v>
      </c>
      <c r="B6" s="87">
        <v>17.47</v>
      </c>
      <c r="C6" s="81">
        <v>15.83</v>
      </c>
      <c r="D6" s="77"/>
      <c r="E6" s="76"/>
      <c r="F6" s="75">
        <f>B6*C6</f>
        <v>276.55009999999999</v>
      </c>
      <c r="G6" s="76"/>
      <c r="H6" s="76" t="s">
        <v>100</v>
      </c>
      <c r="I6" s="78">
        <f>F6*1.1</f>
        <v>304.20510999999999</v>
      </c>
      <c r="J6" s="127">
        <f>ROUNDUP(I6,2)</f>
        <v>304.20999999999998</v>
      </c>
      <c r="L6" s="79"/>
    </row>
    <row r="7" spans="1:12" ht="15">
      <c r="A7" s="86" t="s">
        <v>379</v>
      </c>
      <c r="B7" s="87">
        <v>18.100000000000001</v>
      </c>
      <c r="C7" s="75">
        <v>21.545000000000002</v>
      </c>
      <c r="D7" s="77"/>
      <c r="E7" s="76"/>
      <c r="F7" s="75">
        <f>B7*C7</f>
        <v>389.96450000000004</v>
      </c>
      <c r="G7" s="76"/>
      <c r="H7" s="76" t="s">
        <v>100</v>
      </c>
      <c r="I7" s="78">
        <f>F7*1.1</f>
        <v>428.96095000000008</v>
      </c>
      <c r="J7" s="127">
        <f>ROUNDUP(I7,2)</f>
        <v>428.96999999999997</v>
      </c>
      <c r="L7" s="79"/>
    </row>
    <row r="8" spans="1:12" ht="15">
      <c r="A8" s="86" t="s">
        <v>505</v>
      </c>
      <c r="B8" s="87">
        <v>45.59</v>
      </c>
      <c r="C8" s="75">
        <v>19.77</v>
      </c>
      <c r="D8" s="77"/>
      <c r="E8" s="76"/>
      <c r="F8" s="75">
        <f>B8*C8</f>
        <v>901.3143</v>
      </c>
      <c r="G8" s="76"/>
      <c r="H8" s="76" t="s">
        <v>100</v>
      </c>
      <c r="I8" s="78">
        <f>F8*1.1</f>
        <v>991.44573000000014</v>
      </c>
      <c r="J8" s="127">
        <f>ROUNDUP(I8,2)</f>
        <v>991.45</v>
      </c>
      <c r="L8" s="79"/>
    </row>
    <row r="9" spans="1:12" ht="15">
      <c r="A9" s="86" t="s">
        <v>506</v>
      </c>
      <c r="B9" s="87">
        <v>16.8</v>
      </c>
      <c r="C9" s="75">
        <v>12.28</v>
      </c>
      <c r="D9" s="77"/>
      <c r="E9" s="76"/>
      <c r="F9" s="75">
        <f t="shared" ref="F9" si="0">B9*C9</f>
        <v>206.304</v>
      </c>
      <c r="G9" s="76"/>
      <c r="H9" s="76" t="s">
        <v>100</v>
      </c>
      <c r="I9" s="78">
        <f t="shared" ref="I9" si="1">F9*1.1</f>
        <v>226.93440000000001</v>
      </c>
      <c r="J9" s="127">
        <f t="shared" ref="J9" si="2">ROUNDUP(I9,2)</f>
        <v>226.94</v>
      </c>
      <c r="L9" s="79"/>
    </row>
    <row r="10" spans="1:12" ht="15">
      <c r="A10" s="86"/>
      <c r="B10" s="87"/>
      <c r="C10" s="75"/>
      <c r="D10" s="77"/>
      <c r="E10" s="76"/>
      <c r="F10" s="75"/>
      <c r="G10" s="76"/>
      <c r="H10" s="76"/>
      <c r="I10" s="78"/>
      <c r="J10" s="127"/>
      <c r="L10" s="79"/>
    </row>
    <row r="11" spans="1:12" ht="15">
      <c r="A11" s="86"/>
      <c r="B11" s="87"/>
      <c r="C11" s="75"/>
      <c r="D11" s="77"/>
      <c r="E11" s="76"/>
      <c r="F11" s="75"/>
      <c r="G11" s="76"/>
      <c r="H11" s="76"/>
      <c r="I11" s="78"/>
      <c r="J11" s="127"/>
      <c r="L11" s="79"/>
    </row>
    <row r="12" spans="1:12" ht="15">
      <c r="A12" s="86"/>
      <c r="B12" s="87"/>
      <c r="C12" s="75"/>
      <c r="D12" s="77"/>
      <c r="E12" s="76"/>
      <c r="F12" s="75"/>
      <c r="G12" s="76"/>
      <c r="H12" s="76"/>
      <c r="I12" s="78"/>
      <c r="J12" s="127"/>
      <c r="L12" s="79"/>
    </row>
    <row r="13" spans="1:12" ht="15">
      <c r="A13" s="83"/>
      <c r="B13" s="75"/>
      <c r="C13" s="75"/>
      <c r="D13" s="77"/>
      <c r="E13" s="76"/>
      <c r="F13" s="75"/>
      <c r="G13" s="76"/>
      <c r="H13" s="76"/>
      <c r="I13" s="78"/>
      <c r="J13" s="102">
        <f>SUM(J6:J12)</f>
        <v>1951.5700000000002</v>
      </c>
      <c r="L13" s="79"/>
    </row>
    <row r="14" spans="1:12" ht="15">
      <c r="A14" s="86"/>
      <c r="B14" s="87"/>
      <c r="C14" s="88"/>
      <c r="D14" s="89"/>
      <c r="E14" s="90"/>
      <c r="F14" s="87"/>
      <c r="G14" s="90"/>
      <c r="H14" s="90"/>
      <c r="I14" s="91"/>
      <c r="J14" s="92"/>
    </row>
    <row r="15" spans="1:12" ht="15">
      <c r="A15" s="742" t="s">
        <v>101</v>
      </c>
      <c r="B15" s="743"/>
      <c r="C15" s="743"/>
      <c r="D15" s="743"/>
      <c r="E15" s="743"/>
      <c r="F15" s="743"/>
      <c r="G15" s="743"/>
      <c r="H15" s="743"/>
      <c r="I15" s="743"/>
      <c r="J15" s="744"/>
    </row>
    <row r="16" spans="1:12" ht="15">
      <c r="A16" s="748" t="s">
        <v>102</v>
      </c>
      <c r="B16" s="749"/>
      <c r="C16" s="749"/>
      <c r="D16" s="749"/>
      <c r="E16" s="749"/>
      <c r="F16" s="750"/>
      <c r="G16" s="72"/>
      <c r="H16" s="73"/>
      <c r="I16" s="73"/>
      <c r="J16" s="72"/>
      <c r="K16" s="93"/>
    </row>
    <row r="17" spans="1:12" ht="15">
      <c r="A17" s="748" t="s">
        <v>103</v>
      </c>
      <c r="B17" s="749"/>
      <c r="C17" s="749"/>
      <c r="D17" s="749"/>
      <c r="E17" s="749"/>
      <c r="F17" s="750"/>
      <c r="G17" s="72"/>
      <c r="H17" s="73"/>
      <c r="I17" s="72"/>
      <c r="J17" s="72"/>
      <c r="L17" s="79"/>
    </row>
    <row r="18" spans="1:12" ht="15">
      <c r="A18" s="748" t="s">
        <v>104</v>
      </c>
      <c r="B18" s="749"/>
      <c r="C18" s="749"/>
      <c r="D18" s="749"/>
      <c r="E18" s="749"/>
      <c r="F18" s="750"/>
      <c r="G18" s="94"/>
      <c r="H18" s="95"/>
      <c r="I18" s="94"/>
      <c r="J18" s="94"/>
      <c r="L18" s="79"/>
    </row>
    <row r="19" spans="1:12" ht="15">
      <c r="A19" s="83" t="s">
        <v>105</v>
      </c>
      <c r="B19" s="75"/>
      <c r="C19" s="75"/>
      <c r="D19" s="77"/>
      <c r="E19" s="76"/>
      <c r="F19" s="75"/>
      <c r="G19" s="76"/>
      <c r="H19" s="76"/>
      <c r="I19" s="78"/>
      <c r="J19" s="78"/>
      <c r="L19" s="79"/>
    </row>
    <row r="20" spans="1:12" ht="15">
      <c r="A20" s="86" t="str">
        <f>A6</f>
        <v>~CS02</v>
      </c>
      <c r="B20" s="87">
        <f>B6</f>
        <v>17.47</v>
      </c>
      <c r="C20" s="75">
        <v>13.5</v>
      </c>
      <c r="D20" s="77"/>
      <c r="E20" s="76"/>
      <c r="F20" s="75">
        <f t="shared" ref="F20:F23" si="3">B20*C20</f>
        <v>235.84499999999997</v>
      </c>
      <c r="G20" s="76"/>
      <c r="H20" s="76" t="s">
        <v>100</v>
      </c>
      <c r="I20" s="78">
        <f t="shared" ref="I20:I23" si="4">F20*1.1</f>
        <v>259.42949999999996</v>
      </c>
      <c r="J20" s="127">
        <f t="shared" ref="J20:J23" si="5">ROUNDUP(I20,2)</f>
        <v>259.43</v>
      </c>
      <c r="L20" s="79"/>
    </row>
    <row r="21" spans="1:12" ht="15">
      <c r="A21" s="86" t="str">
        <f t="shared" ref="A21:B23" si="6">A7</f>
        <v>CS02 - CS03</v>
      </c>
      <c r="B21" s="87">
        <f t="shared" si="6"/>
        <v>18.100000000000001</v>
      </c>
      <c r="C21" s="75">
        <v>16.649999999999999</v>
      </c>
      <c r="D21" s="77"/>
      <c r="E21" s="76"/>
      <c r="F21" s="75">
        <f t="shared" si="3"/>
        <v>301.36500000000001</v>
      </c>
      <c r="G21" s="76"/>
      <c r="H21" s="76" t="s">
        <v>100</v>
      </c>
      <c r="I21" s="78">
        <f t="shared" si="4"/>
        <v>331.50150000000002</v>
      </c>
      <c r="J21" s="127">
        <f t="shared" si="5"/>
        <v>331.51</v>
      </c>
      <c r="L21" s="79"/>
    </row>
    <row r="22" spans="1:12" ht="15">
      <c r="A22" s="86" t="str">
        <f t="shared" si="6"/>
        <v>CS03 - CS06</v>
      </c>
      <c r="B22" s="87">
        <f t="shared" si="6"/>
        <v>45.59</v>
      </c>
      <c r="C22" s="75">
        <v>17.024999999999999</v>
      </c>
      <c r="D22" s="77"/>
      <c r="E22" s="76"/>
      <c r="F22" s="75">
        <f t="shared" si="3"/>
        <v>776.16975000000002</v>
      </c>
      <c r="G22" s="76"/>
      <c r="H22" s="76" t="s">
        <v>100</v>
      </c>
      <c r="I22" s="78">
        <f t="shared" si="4"/>
        <v>853.78672500000005</v>
      </c>
      <c r="J22" s="127">
        <f t="shared" si="5"/>
        <v>853.79</v>
      </c>
      <c r="L22" s="79"/>
    </row>
    <row r="23" spans="1:12" ht="15">
      <c r="A23" s="86" t="str">
        <f t="shared" si="6"/>
        <v>CS06~</v>
      </c>
      <c r="B23" s="87">
        <f t="shared" si="6"/>
        <v>16.8</v>
      </c>
      <c r="C23" s="75">
        <v>14.25</v>
      </c>
      <c r="D23" s="77"/>
      <c r="E23" s="76"/>
      <c r="F23" s="75">
        <f t="shared" si="3"/>
        <v>239.4</v>
      </c>
      <c r="G23" s="76"/>
      <c r="H23" s="76" t="s">
        <v>100</v>
      </c>
      <c r="I23" s="78">
        <f t="shared" si="4"/>
        <v>263.34000000000003</v>
      </c>
      <c r="J23" s="127">
        <f t="shared" si="5"/>
        <v>263.33999999999997</v>
      </c>
      <c r="L23" s="79"/>
    </row>
    <row r="24" spans="1:12" ht="15">
      <c r="A24" s="86"/>
      <c r="B24" s="87"/>
      <c r="C24" s="75"/>
      <c r="D24" s="77"/>
      <c r="E24" s="76"/>
      <c r="F24" s="75"/>
      <c r="G24" s="76"/>
      <c r="H24" s="76"/>
      <c r="I24" s="78"/>
      <c r="J24" s="127"/>
      <c r="L24" s="79"/>
    </row>
    <row r="25" spans="1:12" ht="15">
      <c r="A25" s="86"/>
      <c r="B25" s="87"/>
      <c r="C25" s="75"/>
      <c r="D25" s="77"/>
      <c r="E25" s="76"/>
      <c r="F25" s="75"/>
      <c r="G25" s="76"/>
      <c r="H25" s="76"/>
      <c r="I25" s="78"/>
      <c r="J25" s="127"/>
      <c r="L25" s="79"/>
    </row>
    <row r="26" spans="1:12" ht="15">
      <c r="A26" s="86"/>
      <c r="B26" s="87"/>
      <c r="C26" s="75"/>
      <c r="D26" s="77"/>
      <c r="E26" s="76"/>
      <c r="F26" s="75"/>
      <c r="G26" s="76"/>
      <c r="H26" s="76"/>
      <c r="I26" s="78"/>
      <c r="J26" s="127"/>
      <c r="L26" s="79"/>
    </row>
    <row r="27" spans="1:12" ht="15">
      <c r="A27" s="83"/>
      <c r="B27" s="75"/>
      <c r="C27" s="75"/>
      <c r="D27" s="77"/>
      <c r="E27" s="76"/>
      <c r="F27" s="75"/>
      <c r="G27" s="76"/>
      <c r="H27" s="76"/>
      <c r="I27" s="78"/>
      <c r="J27" s="102">
        <f>SUM(J19:J26)</f>
        <v>1708.07</v>
      </c>
    </row>
    <row r="28" spans="1:12" ht="15">
      <c r="A28" s="83"/>
      <c r="B28" s="75"/>
      <c r="C28" s="75"/>
      <c r="D28" s="77"/>
      <c r="E28" s="76"/>
      <c r="F28" s="75"/>
      <c r="G28" s="76"/>
      <c r="H28" s="76"/>
      <c r="I28" s="78"/>
      <c r="J28" s="100"/>
    </row>
    <row r="29" spans="1:12" ht="15">
      <c r="A29" s="83"/>
      <c r="B29" s="75"/>
      <c r="C29" s="75"/>
      <c r="D29" s="77"/>
      <c r="E29" s="76"/>
      <c r="F29" s="75"/>
      <c r="G29" s="76"/>
      <c r="H29" s="76"/>
      <c r="I29" s="78"/>
      <c r="J29" s="78"/>
    </row>
    <row r="30" spans="1:12" ht="15">
      <c r="A30" s="748" t="s">
        <v>106</v>
      </c>
      <c r="B30" s="749"/>
      <c r="C30" s="749"/>
      <c r="D30" s="749"/>
      <c r="E30" s="749"/>
      <c r="F30" s="750"/>
      <c r="G30" s="96"/>
      <c r="H30" s="73"/>
      <c r="I30" s="72"/>
      <c r="J30" s="72"/>
      <c r="K30" s="79"/>
      <c r="L30" s="79"/>
    </row>
    <row r="31" spans="1:12" ht="15">
      <c r="A31" s="748" t="s">
        <v>107</v>
      </c>
      <c r="B31" s="749"/>
      <c r="C31" s="749"/>
      <c r="D31" s="749"/>
      <c r="E31" s="749"/>
      <c r="F31" s="750"/>
      <c r="G31" s="96"/>
      <c r="H31" s="73"/>
      <c r="I31" s="72"/>
      <c r="J31" s="72"/>
      <c r="K31" s="79"/>
      <c r="L31" s="79"/>
    </row>
    <row r="32" spans="1:12" ht="15">
      <c r="A32" s="748" t="s">
        <v>108</v>
      </c>
      <c r="B32" s="749"/>
      <c r="C32" s="749"/>
      <c r="D32" s="749"/>
      <c r="E32" s="749"/>
      <c r="F32" s="750"/>
      <c r="G32" s="94"/>
      <c r="H32" s="95"/>
      <c r="I32" s="94"/>
      <c r="J32" s="94"/>
      <c r="K32" s="79"/>
      <c r="L32" s="79"/>
    </row>
    <row r="33" spans="1:12" ht="15">
      <c r="A33" s="97" t="s">
        <v>383</v>
      </c>
      <c r="B33" s="81"/>
      <c r="C33" s="98"/>
      <c r="D33" s="98"/>
      <c r="E33" s="99"/>
      <c r="F33" s="81"/>
      <c r="G33" s="99"/>
      <c r="H33" s="99"/>
      <c r="I33" s="78"/>
      <c r="J33" s="100"/>
      <c r="K33" s="79"/>
      <c r="L33" s="79"/>
    </row>
    <row r="34" spans="1:12" ht="15">
      <c r="A34" s="86" t="str">
        <f>A6</f>
        <v>~CS02</v>
      </c>
      <c r="B34" s="87">
        <f>B6</f>
        <v>17.47</v>
      </c>
      <c r="C34" s="89">
        <v>11.1</v>
      </c>
      <c r="D34" s="89"/>
      <c r="E34" s="90"/>
      <c r="F34" s="87">
        <f>PRODUCT(B34:E34)</f>
        <v>193.91699999999997</v>
      </c>
      <c r="G34" s="101">
        <f>F34</f>
        <v>193.91699999999997</v>
      </c>
      <c r="H34" s="76" t="s">
        <v>100</v>
      </c>
      <c r="I34" s="78">
        <f>G34*1.1</f>
        <v>213.30869999999999</v>
      </c>
      <c r="J34" s="127">
        <f>I34</f>
        <v>213.30869999999999</v>
      </c>
      <c r="K34" s="79"/>
      <c r="L34" s="79"/>
    </row>
    <row r="35" spans="1:12" ht="15">
      <c r="A35" s="86" t="str">
        <f t="shared" ref="A35:B37" si="7">A7</f>
        <v>CS02 - CS03</v>
      </c>
      <c r="B35" s="87">
        <f t="shared" si="7"/>
        <v>18.100000000000001</v>
      </c>
      <c r="C35" s="89">
        <v>12.015000000000001</v>
      </c>
      <c r="D35" s="89"/>
      <c r="E35" s="90"/>
      <c r="F35" s="87">
        <f>PRODUCT(B35:E35)</f>
        <v>217.47150000000002</v>
      </c>
      <c r="G35" s="101">
        <f>F35</f>
        <v>217.47150000000002</v>
      </c>
      <c r="H35" s="76" t="s">
        <v>100</v>
      </c>
      <c r="I35" s="78">
        <f>G35*1.1</f>
        <v>239.21865000000005</v>
      </c>
      <c r="J35" s="127">
        <f>I35</f>
        <v>239.21865000000005</v>
      </c>
      <c r="K35" s="79"/>
      <c r="L35" s="79"/>
    </row>
    <row r="36" spans="1:12" ht="15">
      <c r="A36" s="86" t="str">
        <f t="shared" si="7"/>
        <v>CS03 - CS06</v>
      </c>
      <c r="B36" s="87">
        <f t="shared" si="7"/>
        <v>45.59</v>
      </c>
      <c r="C36" s="89">
        <v>11.805</v>
      </c>
      <c r="D36" s="89"/>
      <c r="E36" s="90"/>
      <c r="F36" s="87">
        <f>PRODUCT(B36:E36)</f>
        <v>538.18995000000007</v>
      </c>
      <c r="G36" s="101">
        <f>F36</f>
        <v>538.18995000000007</v>
      </c>
      <c r="H36" s="76" t="s">
        <v>100</v>
      </c>
      <c r="I36" s="78">
        <f>G36*1.1</f>
        <v>592.00894500000015</v>
      </c>
      <c r="J36" s="127">
        <f>I36</f>
        <v>592.00894500000015</v>
      </c>
      <c r="K36" s="79"/>
      <c r="L36" s="79"/>
    </row>
    <row r="37" spans="1:12" ht="15">
      <c r="A37" s="86" t="str">
        <f t="shared" si="7"/>
        <v>CS06~</v>
      </c>
      <c r="B37" s="87">
        <f t="shared" si="7"/>
        <v>16.8</v>
      </c>
      <c r="C37" s="89">
        <v>10.68</v>
      </c>
      <c r="D37" s="89"/>
      <c r="E37" s="90"/>
      <c r="F37" s="87">
        <f t="shared" ref="F37" si="8">PRODUCT(B37:E37)</f>
        <v>179.42400000000001</v>
      </c>
      <c r="G37" s="101">
        <f t="shared" ref="G37" si="9">F37</f>
        <v>179.42400000000001</v>
      </c>
      <c r="H37" s="76" t="s">
        <v>100</v>
      </c>
      <c r="I37" s="78">
        <f t="shared" ref="I37" si="10">G37*1.1</f>
        <v>197.36640000000003</v>
      </c>
      <c r="J37" s="127">
        <f t="shared" ref="J37" si="11">I37</f>
        <v>197.36640000000003</v>
      </c>
      <c r="K37" s="79"/>
      <c r="L37" s="79"/>
    </row>
    <row r="38" spans="1:12" ht="15">
      <c r="A38" s="86"/>
      <c r="B38" s="87"/>
      <c r="C38" s="89"/>
      <c r="D38" s="89"/>
      <c r="E38" s="90"/>
      <c r="F38" s="87"/>
      <c r="G38" s="101"/>
      <c r="H38" s="76"/>
      <c r="I38" s="78"/>
      <c r="J38" s="127"/>
      <c r="K38" s="79"/>
      <c r="L38" s="79"/>
    </row>
    <row r="39" spans="1:12" ht="15">
      <c r="A39" s="86"/>
      <c r="B39" s="87"/>
      <c r="C39" s="89"/>
      <c r="D39" s="89"/>
      <c r="E39" s="90"/>
      <c r="F39" s="87"/>
      <c r="G39" s="101"/>
      <c r="H39" s="76"/>
      <c r="I39" s="78"/>
      <c r="J39" s="127"/>
      <c r="K39" s="79"/>
      <c r="L39" s="79"/>
    </row>
    <row r="40" spans="1:12" ht="15">
      <c r="A40" s="86"/>
      <c r="B40" s="87"/>
      <c r="C40" s="89"/>
      <c r="D40" s="89"/>
      <c r="E40" s="90"/>
      <c r="F40" s="87"/>
      <c r="G40" s="101"/>
      <c r="H40" s="76"/>
      <c r="I40" s="78"/>
      <c r="J40" s="127"/>
      <c r="K40" s="79"/>
      <c r="L40" s="79"/>
    </row>
    <row r="41" spans="1:12" ht="15">
      <c r="A41" s="86"/>
      <c r="B41" s="87"/>
      <c r="C41" s="89"/>
      <c r="D41" s="89"/>
      <c r="E41" s="90"/>
      <c r="F41" s="87"/>
      <c r="G41" s="90"/>
      <c r="H41" s="90"/>
      <c r="I41" s="78"/>
      <c r="J41" s="102">
        <f>SUM(J34:J40)</f>
        <v>1241.9026950000004</v>
      </c>
      <c r="K41" s="79"/>
      <c r="L41" s="79"/>
    </row>
    <row r="42" spans="1:12" ht="15">
      <c r="A42" s="86"/>
      <c r="B42" s="87"/>
      <c r="C42" s="89"/>
      <c r="D42" s="89"/>
      <c r="E42" s="90"/>
      <c r="F42" s="87"/>
      <c r="G42" s="90"/>
      <c r="H42" s="90"/>
      <c r="I42" s="78"/>
      <c r="J42" s="100"/>
      <c r="K42" s="79"/>
      <c r="L42" s="79"/>
    </row>
    <row r="43" spans="1:12" ht="15">
      <c r="A43" s="751" t="s">
        <v>109</v>
      </c>
      <c r="B43" s="752"/>
      <c r="C43" s="752"/>
      <c r="D43" s="752"/>
      <c r="E43" s="752"/>
      <c r="F43" s="752"/>
      <c r="G43" s="752"/>
      <c r="H43" s="752"/>
      <c r="I43" s="752"/>
      <c r="J43" s="753"/>
      <c r="K43" s="79"/>
      <c r="L43" s="79"/>
    </row>
    <row r="44" spans="1:12" ht="15">
      <c r="A44" s="97" t="s">
        <v>383</v>
      </c>
      <c r="B44" s="75"/>
      <c r="C44" s="77"/>
      <c r="D44" s="77"/>
      <c r="E44" s="76"/>
      <c r="F44" s="75"/>
      <c r="G44" s="76"/>
      <c r="H44" s="76"/>
      <c r="I44" s="78"/>
      <c r="J44" s="78"/>
      <c r="K44" s="79"/>
      <c r="L44" s="79"/>
    </row>
    <row r="45" spans="1:12" ht="15">
      <c r="A45" s="86" t="str">
        <f>A34</f>
        <v>~CS02</v>
      </c>
      <c r="B45" s="87">
        <f>B34</f>
        <v>17.47</v>
      </c>
      <c r="C45" s="77">
        <v>5.58</v>
      </c>
      <c r="D45" s="77"/>
      <c r="E45" s="76"/>
      <c r="F45" s="87">
        <f>PRODUCT(B45:E45)</f>
        <v>97.482599999999991</v>
      </c>
      <c r="G45" s="101">
        <f>F45</f>
        <v>97.482599999999991</v>
      </c>
      <c r="H45" s="76" t="s">
        <v>100</v>
      </c>
      <c r="I45" s="78">
        <f>G45*1.1</f>
        <v>107.23085999999999</v>
      </c>
      <c r="J45" s="127">
        <f>I45</f>
        <v>107.23085999999999</v>
      </c>
      <c r="K45" s="79"/>
      <c r="L45" s="79"/>
    </row>
    <row r="46" spans="1:12" ht="15">
      <c r="A46" s="86" t="str">
        <f t="shared" ref="A46:B48" si="12">A35</f>
        <v>CS02 - CS03</v>
      </c>
      <c r="B46" s="87">
        <f t="shared" si="12"/>
        <v>18.100000000000001</v>
      </c>
      <c r="C46" s="77">
        <v>7.5</v>
      </c>
      <c r="D46" s="77"/>
      <c r="E46" s="76"/>
      <c r="F46" s="87">
        <f>PRODUCT(B46:E46)</f>
        <v>135.75</v>
      </c>
      <c r="G46" s="101">
        <f>F46</f>
        <v>135.75</v>
      </c>
      <c r="H46" s="76" t="s">
        <v>100</v>
      </c>
      <c r="I46" s="78">
        <f>G46*1.1</f>
        <v>149.32500000000002</v>
      </c>
      <c r="J46" s="127">
        <f>I46</f>
        <v>149.32500000000002</v>
      </c>
      <c r="K46" s="79"/>
      <c r="L46" s="79"/>
    </row>
    <row r="47" spans="1:12" ht="15">
      <c r="A47" s="86" t="str">
        <f t="shared" si="12"/>
        <v>CS03 - CS06</v>
      </c>
      <c r="B47" s="87">
        <f t="shared" si="12"/>
        <v>45.59</v>
      </c>
      <c r="C47" s="77">
        <v>7.5</v>
      </c>
      <c r="D47" s="77"/>
      <c r="E47" s="76"/>
      <c r="F47" s="87">
        <f>PRODUCT(B47:E47)</f>
        <v>341.92500000000001</v>
      </c>
      <c r="G47" s="101">
        <f>F47</f>
        <v>341.92500000000001</v>
      </c>
      <c r="H47" s="76" t="s">
        <v>100</v>
      </c>
      <c r="I47" s="78">
        <f>G47*1.1</f>
        <v>376.11750000000006</v>
      </c>
      <c r="J47" s="127">
        <f>I47</f>
        <v>376.11750000000006</v>
      </c>
      <c r="K47" s="79"/>
      <c r="L47" s="79"/>
    </row>
    <row r="48" spans="1:12" ht="15">
      <c r="A48" s="86" t="str">
        <f t="shared" si="12"/>
        <v>CS06~</v>
      </c>
      <c r="B48" s="87">
        <f t="shared" si="12"/>
        <v>16.8</v>
      </c>
      <c r="C48" s="77">
        <v>5.58</v>
      </c>
      <c r="D48" s="77"/>
      <c r="E48" s="76"/>
      <c r="F48" s="87">
        <f t="shared" ref="F48" si="13">PRODUCT(B48:E48)</f>
        <v>93.744</v>
      </c>
      <c r="G48" s="101">
        <f t="shared" ref="G48" si="14">F48</f>
        <v>93.744</v>
      </c>
      <c r="H48" s="76" t="s">
        <v>100</v>
      </c>
      <c r="I48" s="78">
        <f t="shared" ref="I48" si="15">G48*1.1</f>
        <v>103.11840000000001</v>
      </c>
      <c r="J48" s="127">
        <f t="shared" ref="J48" si="16">I48</f>
        <v>103.11840000000001</v>
      </c>
      <c r="K48" s="79"/>
      <c r="L48" s="79"/>
    </row>
    <row r="49" spans="1:15" ht="15">
      <c r="A49" s="86"/>
      <c r="B49" s="109"/>
      <c r="C49" s="77"/>
      <c r="D49" s="77"/>
      <c r="E49" s="76"/>
      <c r="F49" s="87"/>
      <c r="G49" s="101"/>
      <c r="H49" s="76"/>
      <c r="I49" s="78"/>
      <c r="J49" s="127"/>
      <c r="K49" s="79"/>
      <c r="L49" s="79"/>
    </row>
    <row r="50" spans="1:15" ht="15">
      <c r="A50" s="86"/>
      <c r="B50" s="109"/>
      <c r="C50" s="77"/>
      <c r="D50" s="77"/>
      <c r="E50" s="76"/>
      <c r="F50" s="87"/>
      <c r="G50" s="101"/>
      <c r="H50" s="76"/>
      <c r="I50" s="78"/>
      <c r="J50" s="127"/>
      <c r="K50" s="79"/>
      <c r="L50" s="79"/>
    </row>
    <row r="51" spans="1:15" ht="15">
      <c r="A51" s="86"/>
      <c r="B51" s="109"/>
      <c r="C51" s="77"/>
      <c r="D51" s="77"/>
      <c r="E51" s="76"/>
      <c r="F51" s="87"/>
      <c r="G51" s="101"/>
      <c r="H51" s="76"/>
      <c r="I51" s="78"/>
      <c r="J51" s="127"/>
      <c r="K51" s="79"/>
      <c r="L51" s="79"/>
    </row>
    <row r="52" spans="1:15" ht="15">
      <c r="A52" s="83"/>
      <c r="B52" s="75"/>
      <c r="C52" s="77"/>
      <c r="D52" s="77"/>
      <c r="E52" s="76"/>
      <c r="F52" s="87"/>
      <c r="G52" s="90"/>
      <c r="H52" s="90"/>
      <c r="I52" s="78"/>
      <c r="J52" s="102">
        <f>SUM(J45:J51)</f>
        <v>735.79176000000007</v>
      </c>
      <c r="K52" s="79"/>
      <c r="L52" s="79"/>
    </row>
    <row r="53" spans="1:15" ht="15">
      <c r="A53" s="83"/>
      <c r="B53" s="75"/>
      <c r="C53" s="77"/>
      <c r="D53" s="77"/>
      <c r="E53" s="76"/>
      <c r="F53" s="75"/>
      <c r="G53" s="76"/>
      <c r="H53" s="76"/>
      <c r="I53" s="78"/>
      <c r="J53" s="78"/>
      <c r="K53" s="79"/>
      <c r="L53" s="79"/>
    </row>
    <row r="54" spans="1:15" ht="15">
      <c r="A54" s="736"/>
      <c r="B54" s="737"/>
      <c r="C54" s="737"/>
      <c r="D54" s="737"/>
      <c r="E54" s="737"/>
      <c r="F54" s="737"/>
      <c r="G54" s="737"/>
      <c r="H54" s="737"/>
      <c r="I54" s="737"/>
      <c r="J54" s="738"/>
      <c r="L54" s="79"/>
    </row>
    <row r="55" spans="1:15" ht="15">
      <c r="A55" s="754" t="s">
        <v>110</v>
      </c>
      <c r="B55" s="755"/>
      <c r="C55" s="755"/>
      <c r="D55" s="755"/>
      <c r="E55" s="755"/>
      <c r="F55" s="755"/>
      <c r="G55" s="755"/>
      <c r="H55" s="755"/>
      <c r="I55" s="755"/>
      <c r="J55" s="756"/>
      <c r="L55" s="79"/>
    </row>
    <row r="56" spans="1:15" ht="15">
      <c r="A56" s="757" t="s">
        <v>111</v>
      </c>
      <c r="B56" s="758"/>
      <c r="C56" s="758"/>
      <c r="D56" s="758"/>
      <c r="E56" s="758"/>
      <c r="F56" s="759"/>
      <c r="G56" s="72"/>
      <c r="H56" s="73"/>
      <c r="I56" s="72"/>
      <c r="J56" s="72"/>
    </row>
    <row r="57" spans="1:15" ht="15">
      <c r="A57" s="74"/>
      <c r="B57" s="81"/>
      <c r="C57" s="98"/>
      <c r="D57" s="103"/>
      <c r="E57" s="104"/>
      <c r="F57" s="81"/>
      <c r="G57" s="105"/>
      <c r="H57" s="99"/>
      <c r="I57" s="78"/>
      <c r="J57" s="100"/>
      <c r="L57" s="106"/>
    </row>
    <row r="58" spans="1:15" s="70" customFormat="1" ht="30" customHeight="1">
      <c r="A58" s="86"/>
      <c r="B58" s="107"/>
      <c r="C58" s="108"/>
      <c r="D58" s="103"/>
      <c r="E58" s="104"/>
      <c r="F58" s="109"/>
      <c r="G58" s="110"/>
      <c r="H58" s="76"/>
      <c r="I58" s="111"/>
      <c r="J58" s="111"/>
    </row>
    <row r="59" spans="1:15" ht="15">
      <c r="A59" s="757" t="s">
        <v>112</v>
      </c>
      <c r="B59" s="758"/>
      <c r="C59" s="758"/>
      <c r="D59" s="758"/>
      <c r="E59" s="758"/>
      <c r="F59" s="759"/>
      <c r="G59" s="72"/>
      <c r="H59" s="73"/>
      <c r="I59" s="72"/>
      <c r="J59" s="72"/>
    </row>
    <row r="60" spans="1:15" ht="15">
      <c r="A60" s="754" t="s">
        <v>113</v>
      </c>
      <c r="B60" s="755"/>
      <c r="C60" s="755"/>
      <c r="D60" s="755"/>
      <c r="E60" s="755"/>
      <c r="F60" s="755"/>
      <c r="G60" s="755"/>
      <c r="H60" s="755"/>
      <c r="I60" s="755"/>
      <c r="J60" s="756"/>
      <c r="L60" s="79"/>
    </row>
    <row r="61" spans="1:15" ht="15">
      <c r="A61" s="97" t="s">
        <v>507</v>
      </c>
      <c r="B61" s="75"/>
      <c r="C61" s="77"/>
      <c r="D61" s="77"/>
      <c r="E61" s="76"/>
      <c r="F61" s="75"/>
      <c r="G61" s="76"/>
      <c r="H61" s="76"/>
      <c r="I61" s="78"/>
      <c r="J61" s="78"/>
      <c r="L61" s="79"/>
      <c r="M61" s="1"/>
      <c r="N61" s="1"/>
      <c r="O61" s="1"/>
    </row>
    <row r="62" spans="1:15" ht="15">
      <c r="A62" s="86" t="s">
        <v>384</v>
      </c>
      <c r="B62" s="87">
        <v>57.75</v>
      </c>
      <c r="C62" s="77">
        <v>4.5</v>
      </c>
      <c r="D62" s="77"/>
      <c r="E62" s="76"/>
      <c r="F62" s="87">
        <f>PRODUCT(B62:E62)</f>
        <v>259.875</v>
      </c>
      <c r="G62" s="101">
        <f>F62</f>
        <v>259.875</v>
      </c>
      <c r="H62" s="76" t="s">
        <v>100</v>
      </c>
      <c r="I62" s="78">
        <f>G62*1.1</f>
        <v>285.86250000000001</v>
      </c>
      <c r="J62" s="102">
        <f>I62</f>
        <v>285.86250000000001</v>
      </c>
      <c r="L62" s="79"/>
      <c r="M62" s="1"/>
      <c r="N62" s="1"/>
      <c r="O62" s="1"/>
    </row>
    <row r="63" spans="1:15" ht="15">
      <c r="A63" s="86" t="s">
        <v>385</v>
      </c>
      <c r="B63" s="87">
        <v>57.75</v>
      </c>
      <c r="C63" s="77">
        <v>1</v>
      </c>
      <c r="D63" s="77"/>
      <c r="E63" s="76"/>
      <c r="F63" s="87">
        <f>PRODUCT(B63:E63)</f>
        <v>57.75</v>
      </c>
      <c r="G63" s="101">
        <f>F63</f>
        <v>57.75</v>
      </c>
      <c r="H63" s="76" t="s">
        <v>100</v>
      </c>
      <c r="I63" s="78">
        <f>G63*1.1</f>
        <v>63.525000000000006</v>
      </c>
      <c r="J63" s="102">
        <f>I63</f>
        <v>63.525000000000006</v>
      </c>
      <c r="L63" s="79"/>
    </row>
    <row r="64" spans="1:15" ht="15">
      <c r="A64" s="86" t="s">
        <v>114</v>
      </c>
      <c r="B64" s="87">
        <v>57.75</v>
      </c>
      <c r="C64" s="77">
        <v>8</v>
      </c>
      <c r="D64" s="77"/>
      <c r="E64" s="76"/>
      <c r="F64" s="87">
        <f>PRODUCT(B64:E64)</f>
        <v>462</v>
      </c>
      <c r="G64" s="101">
        <f>F64</f>
        <v>462</v>
      </c>
      <c r="H64" s="76" t="s">
        <v>100</v>
      </c>
      <c r="I64" s="78">
        <f>G64*1.1</f>
        <v>508.20000000000005</v>
      </c>
      <c r="J64" s="102">
        <f>I64</f>
        <v>508.20000000000005</v>
      </c>
      <c r="L64" s="79"/>
    </row>
    <row r="65" spans="1:12" ht="15">
      <c r="A65" s="86"/>
      <c r="B65" s="87"/>
      <c r="C65" s="77"/>
      <c r="D65" s="77"/>
      <c r="E65" s="76"/>
      <c r="F65" s="87"/>
      <c r="G65" s="101"/>
      <c r="H65" s="76"/>
      <c r="I65" s="78"/>
      <c r="J65" s="78"/>
      <c r="L65" s="79"/>
    </row>
    <row r="66" spans="1:12" ht="15">
      <c r="A66" s="305" t="s">
        <v>508</v>
      </c>
      <c r="B66" s="87"/>
      <c r="C66" s="77"/>
      <c r="D66" s="77"/>
      <c r="E66" s="76"/>
      <c r="F66" s="87"/>
      <c r="G66" s="101"/>
      <c r="H66" s="76"/>
      <c r="I66" s="78"/>
      <c r="J66" s="78"/>
      <c r="L66" s="79"/>
    </row>
    <row r="67" spans="1:12" ht="15">
      <c r="A67" s="86"/>
      <c r="B67" s="87"/>
      <c r="C67" s="77"/>
      <c r="D67" s="77"/>
      <c r="E67" s="76"/>
      <c r="F67" s="87"/>
      <c r="G67" s="101"/>
      <c r="H67" s="76"/>
      <c r="I67" s="78"/>
      <c r="J67" s="78"/>
      <c r="L67" s="79"/>
    </row>
    <row r="68" spans="1:12" ht="15">
      <c r="A68" s="86" t="s">
        <v>384</v>
      </c>
      <c r="B68" s="87">
        <v>46.75</v>
      </c>
      <c r="C68" s="77">
        <v>7</v>
      </c>
      <c r="D68" s="77"/>
      <c r="E68" s="76"/>
      <c r="F68" s="87">
        <f>PRODUCT(B68:E68)</f>
        <v>327.25</v>
      </c>
      <c r="G68" s="101">
        <f>F68</f>
        <v>327.25</v>
      </c>
      <c r="H68" s="76" t="s">
        <v>100</v>
      </c>
      <c r="I68" s="78">
        <f>G68*1.1</f>
        <v>359.97500000000002</v>
      </c>
      <c r="J68" s="102">
        <f>I68</f>
        <v>359.97500000000002</v>
      </c>
      <c r="L68" s="79"/>
    </row>
    <row r="69" spans="1:12" ht="15">
      <c r="A69" s="86" t="s">
        <v>385</v>
      </c>
      <c r="B69" s="87">
        <v>46.75</v>
      </c>
      <c r="C69" s="77">
        <v>1.34</v>
      </c>
      <c r="D69" s="77"/>
      <c r="E69" s="76"/>
      <c r="F69" s="87">
        <f>PRODUCT(B69:E69)</f>
        <v>62.645000000000003</v>
      </c>
      <c r="G69" s="101">
        <f>F69</f>
        <v>62.645000000000003</v>
      </c>
      <c r="H69" s="76" t="s">
        <v>100</v>
      </c>
      <c r="I69" s="78">
        <f>G69*1.1</f>
        <v>68.909500000000008</v>
      </c>
      <c r="J69" s="102">
        <f>I69</f>
        <v>68.909500000000008</v>
      </c>
      <c r="L69" s="79"/>
    </row>
    <row r="70" spans="1:12" ht="15">
      <c r="A70" s="86" t="s">
        <v>114</v>
      </c>
      <c r="B70" s="87">
        <v>46.75</v>
      </c>
      <c r="C70" s="77">
        <v>10.65</v>
      </c>
      <c r="D70" s="77"/>
      <c r="E70" s="76"/>
      <c r="F70" s="87">
        <f>PRODUCT(B70:E70)</f>
        <v>497.88749999999999</v>
      </c>
      <c r="G70" s="101">
        <f>F70</f>
        <v>497.88749999999999</v>
      </c>
      <c r="H70" s="76" t="s">
        <v>100</v>
      </c>
      <c r="I70" s="78">
        <f>G70*1.1</f>
        <v>547.67624999999998</v>
      </c>
      <c r="J70" s="102">
        <f>I70</f>
        <v>547.67624999999998</v>
      </c>
      <c r="L70" s="79"/>
    </row>
    <row r="71" spans="1:12" ht="15">
      <c r="A71" s="86"/>
      <c r="B71" s="87"/>
      <c r="C71" s="77"/>
      <c r="D71" s="77"/>
      <c r="E71" s="76"/>
      <c r="F71" s="87"/>
      <c r="G71" s="101"/>
      <c r="H71" s="76"/>
      <c r="I71" s="78"/>
      <c r="J71" s="78"/>
      <c r="L71" s="79"/>
    </row>
    <row r="72" spans="1:12" ht="15">
      <c r="A72" s="86"/>
      <c r="B72" s="87"/>
      <c r="C72" s="77"/>
      <c r="D72" s="77"/>
      <c r="E72" s="76"/>
      <c r="F72" s="87"/>
      <c r="G72" s="101"/>
      <c r="H72" s="76"/>
      <c r="I72" s="78"/>
      <c r="J72" s="78"/>
      <c r="L72" s="79"/>
    </row>
    <row r="73" spans="1:12" ht="30">
      <c r="A73" s="113"/>
      <c r="B73" s="114" t="s">
        <v>115</v>
      </c>
      <c r="C73" s="114" t="s">
        <v>92</v>
      </c>
      <c r="D73" s="114" t="s">
        <v>1</v>
      </c>
      <c r="E73" s="115" t="s">
        <v>116</v>
      </c>
      <c r="F73" s="114" t="s">
        <v>117</v>
      </c>
      <c r="G73" s="114"/>
      <c r="H73" s="114"/>
      <c r="I73" s="114"/>
      <c r="J73" s="114"/>
      <c r="L73" s="106"/>
    </row>
    <row r="74" spans="1:12" ht="15">
      <c r="A74" s="757" t="s">
        <v>118</v>
      </c>
      <c r="B74" s="758"/>
      <c r="C74" s="758"/>
      <c r="D74" s="758"/>
      <c r="E74" s="758"/>
      <c r="F74" s="759"/>
      <c r="G74" s="72"/>
      <c r="H74" s="73"/>
      <c r="I74" s="72"/>
      <c r="J74" s="72"/>
    </row>
    <row r="75" spans="1:12" ht="15">
      <c r="A75" s="116"/>
      <c r="B75" s="98"/>
      <c r="C75" s="99"/>
      <c r="D75" s="98"/>
      <c r="E75" s="99"/>
      <c r="F75" s="81"/>
      <c r="G75" s="103"/>
      <c r="H75" s="99"/>
      <c r="I75" s="103"/>
      <c r="J75" s="92"/>
      <c r="L75" s="106"/>
    </row>
    <row r="76" spans="1:12" ht="15">
      <c r="A76" s="116"/>
      <c r="B76" s="98"/>
      <c r="C76" s="99"/>
      <c r="D76" s="98"/>
      <c r="E76" s="99"/>
      <c r="F76" s="81"/>
      <c r="G76" s="103"/>
      <c r="H76" s="99"/>
      <c r="I76" s="103"/>
      <c r="J76" s="92"/>
      <c r="L76" s="106"/>
    </row>
    <row r="77" spans="1:12" ht="15">
      <c r="A77" s="757" t="s">
        <v>119</v>
      </c>
      <c r="B77" s="758"/>
      <c r="C77" s="758"/>
      <c r="D77" s="758"/>
      <c r="E77" s="758"/>
      <c r="F77" s="759"/>
      <c r="G77" s="72"/>
      <c r="H77" s="73"/>
      <c r="I77" s="72"/>
      <c r="J77" s="72"/>
    </row>
    <row r="78" spans="1:12" ht="15">
      <c r="A78" s="74"/>
      <c r="B78" s="81"/>
      <c r="C78" s="99"/>
      <c r="D78" s="98"/>
      <c r="E78" s="99"/>
      <c r="F78" s="81"/>
      <c r="G78" s="91"/>
      <c r="H78" s="99"/>
      <c r="I78" s="91"/>
      <c r="J78" s="92"/>
      <c r="L78" s="79"/>
    </row>
    <row r="79" spans="1:12" ht="15">
      <c r="A79" s="74"/>
      <c r="B79" s="81"/>
      <c r="C79" s="99"/>
      <c r="D79" s="98"/>
      <c r="E79" s="99"/>
      <c r="F79" s="81"/>
      <c r="G79" s="91"/>
      <c r="H79" s="99"/>
      <c r="I79" s="91"/>
      <c r="J79" s="92"/>
      <c r="L79" s="79"/>
    </row>
    <row r="80" spans="1:12" ht="24.9" customHeight="1">
      <c r="A80" s="757" t="s">
        <v>120</v>
      </c>
      <c r="B80" s="758"/>
      <c r="C80" s="758"/>
      <c r="D80" s="758"/>
      <c r="E80" s="758"/>
      <c r="F80" s="759"/>
      <c r="G80" s="72"/>
      <c r="H80" s="73"/>
      <c r="I80" s="72"/>
      <c r="J80" s="72"/>
    </row>
    <row r="81" spans="1:12" ht="15">
      <c r="A81" s="74"/>
      <c r="B81" s="117"/>
      <c r="C81" s="103"/>
      <c r="D81" s="103"/>
      <c r="E81" s="117"/>
      <c r="F81" s="81"/>
      <c r="G81" s="99"/>
      <c r="H81" s="99"/>
      <c r="I81" s="91"/>
      <c r="J81" s="100"/>
    </row>
    <row r="82" spans="1:12" ht="15">
      <c r="A82" s="74"/>
      <c r="B82" s="117"/>
      <c r="C82" s="103"/>
      <c r="D82" s="103"/>
      <c r="E82" s="117"/>
      <c r="F82" s="81"/>
      <c r="G82" s="99"/>
      <c r="H82" s="99"/>
      <c r="I82" s="91"/>
      <c r="J82" s="100"/>
      <c r="L82" s="79"/>
    </row>
    <row r="83" spans="1:12" ht="15">
      <c r="A83" s="754" t="s">
        <v>121</v>
      </c>
      <c r="B83" s="755"/>
      <c r="C83" s="755"/>
      <c r="D83" s="755"/>
      <c r="E83" s="755"/>
      <c r="F83" s="755"/>
      <c r="G83" s="755"/>
      <c r="H83" s="755"/>
      <c r="I83" s="755"/>
      <c r="J83" s="756"/>
      <c r="L83" s="106"/>
    </row>
    <row r="84" spans="1:12" ht="24.9" customHeight="1">
      <c r="A84" s="757"/>
      <c r="B84" s="758"/>
      <c r="C84" s="758"/>
      <c r="D84" s="758"/>
      <c r="E84" s="758"/>
      <c r="F84" s="759"/>
      <c r="G84" s="72"/>
      <c r="H84" s="73"/>
      <c r="I84" s="72"/>
      <c r="J84" s="72"/>
    </row>
    <row r="85" spans="1:12" ht="15">
      <c r="A85" s="74"/>
      <c r="B85" s="117"/>
      <c r="C85" s="99"/>
      <c r="D85" s="98"/>
      <c r="E85" s="99"/>
      <c r="F85" s="81"/>
      <c r="G85" s="99"/>
      <c r="H85" s="99"/>
      <c r="I85" s="91"/>
      <c r="J85" s="78"/>
      <c r="L85" s="79"/>
    </row>
    <row r="86" spans="1:12" ht="15">
      <c r="A86" s="118"/>
      <c r="B86" s="119"/>
      <c r="C86" s="120"/>
      <c r="D86" s="121"/>
      <c r="E86" s="120"/>
      <c r="F86" s="122"/>
      <c r="G86" s="120"/>
      <c r="H86" s="120"/>
      <c r="I86" s="123"/>
      <c r="J86" s="123"/>
      <c r="L86" s="79"/>
    </row>
    <row r="87" spans="1:12" ht="15">
      <c r="A87" s="760" t="s">
        <v>122</v>
      </c>
      <c r="B87" s="761"/>
      <c r="C87" s="761"/>
      <c r="D87" s="761"/>
      <c r="E87" s="761"/>
      <c r="F87" s="761"/>
      <c r="G87" s="761"/>
      <c r="H87" s="761"/>
      <c r="I87" s="761"/>
      <c r="J87" s="762"/>
      <c r="L87" s="79"/>
    </row>
    <row r="88" spans="1:12" ht="15">
      <c r="A88" s="751" t="s">
        <v>123</v>
      </c>
      <c r="B88" s="752"/>
      <c r="C88" s="752"/>
      <c r="D88" s="752"/>
      <c r="E88" s="752"/>
      <c r="F88" s="752"/>
      <c r="G88" s="752"/>
      <c r="H88" s="752"/>
      <c r="I88" s="124"/>
      <c r="J88" s="243"/>
      <c r="L88" s="79"/>
    </row>
    <row r="89" spans="1:12" ht="15">
      <c r="A89" s="288" t="s">
        <v>124</v>
      </c>
      <c r="B89" s="81"/>
      <c r="C89" s="90"/>
      <c r="D89" s="77"/>
      <c r="E89" s="76"/>
      <c r="F89" s="75"/>
      <c r="G89" s="76"/>
      <c r="H89" s="76"/>
      <c r="I89" s="78"/>
      <c r="J89" s="100"/>
      <c r="L89" s="79"/>
    </row>
    <row r="90" spans="1:12" ht="15">
      <c r="A90" s="83" t="s">
        <v>509</v>
      </c>
      <c r="B90" s="81">
        <v>15.1</v>
      </c>
      <c r="C90" s="90">
        <v>9</v>
      </c>
      <c r="D90" s="77"/>
      <c r="E90" s="76"/>
      <c r="F90" s="75">
        <f>PRODUCT(B90:E90)</f>
        <v>135.9</v>
      </c>
      <c r="G90" s="76"/>
      <c r="H90" s="76" t="s">
        <v>5</v>
      </c>
      <c r="I90" s="78">
        <f>F90*1.1</f>
        <v>149.49</v>
      </c>
      <c r="J90" s="127">
        <f>I90</f>
        <v>149.49</v>
      </c>
      <c r="L90" s="79"/>
    </row>
    <row r="91" spans="1:12" ht="15">
      <c r="A91" s="83" t="s">
        <v>379</v>
      </c>
      <c r="B91" s="81">
        <v>19.61</v>
      </c>
      <c r="C91" s="90">
        <v>8.5</v>
      </c>
      <c r="D91" s="77"/>
      <c r="E91" s="76"/>
      <c r="F91" s="75">
        <f>PRODUCT(B91:E91)</f>
        <v>166.685</v>
      </c>
      <c r="G91" s="76"/>
      <c r="H91" s="76" t="s">
        <v>5</v>
      </c>
      <c r="I91" s="78">
        <f t="shared" ref="I91:I92" si="17">F91*1.1</f>
        <v>183.35350000000003</v>
      </c>
      <c r="J91" s="127">
        <f t="shared" ref="J91:J92" si="18">I91</f>
        <v>183.35350000000003</v>
      </c>
      <c r="L91" s="79"/>
    </row>
    <row r="92" spans="1:12" ht="15">
      <c r="A92" s="83" t="s">
        <v>510</v>
      </c>
      <c r="B92" s="81">
        <v>36.76</v>
      </c>
      <c r="C92" s="90">
        <v>8</v>
      </c>
      <c r="D92" s="77"/>
      <c r="E92" s="76"/>
      <c r="F92" s="75">
        <f>PRODUCT(B92:E92)</f>
        <v>294.08</v>
      </c>
      <c r="G92" s="76"/>
      <c r="H92" s="76" t="s">
        <v>5</v>
      </c>
      <c r="I92" s="78">
        <f t="shared" si="17"/>
        <v>323.488</v>
      </c>
      <c r="J92" s="127">
        <f t="shared" si="18"/>
        <v>323.488</v>
      </c>
      <c r="L92" s="79"/>
    </row>
    <row r="93" spans="1:12" ht="15">
      <c r="A93" s="83"/>
      <c r="B93" s="81"/>
      <c r="C93" s="90"/>
      <c r="D93" s="77"/>
      <c r="E93" s="76"/>
      <c r="F93" s="75"/>
      <c r="G93" s="76"/>
      <c r="H93" s="76"/>
      <c r="I93" s="78"/>
      <c r="J93" s="127"/>
      <c r="L93" s="79"/>
    </row>
    <row r="94" spans="1:12" ht="15">
      <c r="A94" s="288"/>
      <c r="B94" s="81"/>
      <c r="C94" s="90"/>
      <c r="D94" s="77"/>
      <c r="E94" s="76"/>
      <c r="F94" s="75"/>
      <c r="G94" s="76"/>
      <c r="H94" s="76"/>
      <c r="I94" s="78"/>
      <c r="J94" s="102">
        <f>SUM(J90:J92)</f>
        <v>656.33150000000001</v>
      </c>
      <c r="L94" s="79"/>
    </row>
    <row r="95" spans="1:12" ht="15">
      <c r="A95" s="83"/>
      <c r="B95" s="81"/>
      <c r="C95" s="90"/>
      <c r="D95" s="98"/>
      <c r="E95" s="99"/>
      <c r="F95" s="81"/>
      <c r="G95" s="99"/>
      <c r="H95" s="99"/>
      <c r="I95" s="78"/>
      <c r="J95" s="78"/>
      <c r="L95" s="79"/>
    </row>
    <row r="96" spans="1:12" ht="15">
      <c r="A96" s="288" t="s">
        <v>125</v>
      </c>
      <c r="B96" s="87"/>
      <c r="C96" s="90"/>
      <c r="D96" s="89"/>
      <c r="E96" s="90"/>
      <c r="F96" s="81"/>
      <c r="G96" s="90"/>
      <c r="H96" s="90"/>
      <c r="I96" s="78"/>
      <c r="J96" s="78"/>
      <c r="L96" s="79"/>
    </row>
    <row r="97" spans="1:12" ht="15">
      <c r="A97" s="83"/>
      <c r="B97" s="87"/>
      <c r="C97" s="90"/>
      <c r="D97" s="89"/>
      <c r="E97" s="90"/>
      <c r="F97" s="87"/>
      <c r="G97" s="90"/>
      <c r="H97" s="128"/>
      <c r="I97" s="78"/>
      <c r="J97" s="78"/>
      <c r="L97" s="79"/>
    </row>
    <row r="98" spans="1:12" ht="15">
      <c r="A98" s="83" t="s">
        <v>126</v>
      </c>
      <c r="B98" s="87"/>
      <c r="C98" s="90"/>
      <c r="D98" s="89"/>
      <c r="E98" s="90"/>
      <c r="F98" s="87"/>
      <c r="G98" s="90"/>
      <c r="H98" s="128"/>
      <c r="I98" s="78"/>
      <c r="J98" s="78"/>
      <c r="L98" s="79"/>
    </row>
    <row r="99" spans="1:12" ht="15">
      <c r="A99" s="83"/>
      <c r="B99" s="87"/>
      <c r="C99" s="90"/>
      <c r="D99" s="89"/>
      <c r="E99" s="90"/>
      <c r="F99" s="87"/>
      <c r="G99" s="90"/>
      <c r="H99" s="76"/>
      <c r="I99" s="78"/>
      <c r="J99" s="78"/>
      <c r="L99" s="79"/>
    </row>
    <row r="100" spans="1:12" ht="15">
      <c r="A100" s="86" t="str">
        <f>A45</f>
        <v>~CS02</v>
      </c>
      <c r="B100" s="87">
        <f>B45</f>
        <v>17.47</v>
      </c>
      <c r="C100" s="90">
        <v>3.1</v>
      </c>
      <c r="D100" s="89"/>
      <c r="E100" s="90"/>
      <c r="F100" s="75">
        <f>PRODUCT(B100:E100)</f>
        <v>54.156999999999996</v>
      </c>
      <c r="G100" s="76"/>
      <c r="H100" s="76" t="s">
        <v>5</v>
      </c>
      <c r="I100" s="78">
        <f>F100*1.1</f>
        <v>59.572699999999998</v>
      </c>
      <c r="J100" s="127">
        <f>I100</f>
        <v>59.572699999999998</v>
      </c>
      <c r="L100" s="79"/>
    </row>
    <row r="101" spans="1:12" ht="15">
      <c r="A101" s="86" t="str">
        <f t="shared" ref="A101:B103" si="19">A46</f>
        <v>CS02 - CS03</v>
      </c>
      <c r="B101" s="87">
        <f t="shared" si="19"/>
        <v>18.100000000000001</v>
      </c>
      <c r="C101" s="90">
        <v>8.125</v>
      </c>
      <c r="D101" s="89"/>
      <c r="E101" s="90"/>
      <c r="F101" s="75">
        <f>PRODUCT(B101:E101)</f>
        <v>147.0625</v>
      </c>
      <c r="G101" s="76"/>
      <c r="H101" s="76" t="s">
        <v>5</v>
      </c>
      <c r="I101" s="78">
        <f t="shared" ref="I101:I103" si="20">F101*1.1</f>
        <v>161.76875000000001</v>
      </c>
      <c r="J101" s="127">
        <f t="shared" ref="J101:J103" si="21">I101</f>
        <v>161.76875000000001</v>
      </c>
      <c r="L101" s="79"/>
    </row>
    <row r="102" spans="1:12" ht="15">
      <c r="A102" s="86" t="str">
        <f t="shared" si="19"/>
        <v>CS03 - CS06</v>
      </c>
      <c r="B102" s="87">
        <f t="shared" si="19"/>
        <v>45.59</v>
      </c>
      <c r="C102" s="90">
        <v>10.4</v>
      </c>
      <c r="D102" s="89"/>
      <c r="E102" s="90"/>
      <c r="F102" s="75">
        <f>PRODUCT(B102:E102)</f>
        <v>474.13600000000002</v>
      </c>
      <c r="G102" s="76"/>
      <c r="H102" s="76" t="s">
        <v>5</v>
      </c>
      <c r="I102" s="78">
        <f t="shared" si="20"/>
        <v>521.54960000000005</v>
      </c>
      <c r="J102" s="127">
        <f t="shared" si="21"/>
        <v>521.54960000000005</v>
      </c>
      <c r="L102" s="79"/>
    </row>
    <row r="103" spans="1:12" ht="15">
      <c r="A103" s="86" t="str">
        <f t="shared" si="19"/>
        <v>CS06~</v>
      </c>
      <c r="B103" s="87">
        <f t="shared" si="19"/>
        <v>16.8</v>
      </c>
      <c r="C103" s="90">
        <v>7.65</v>
      </c>
      <c r="D103" s="89"/>
      <c r="E103" s="90"/>
      <c r="F103" s="75">
        <f t="shared" ref="F103" si="22">PRODUCT(B103:E103)</f>
        <v>128.52000000000001</v>
      </c>
      <c r="G103" s="76"/>
      <c r="H103" s="76" t="s">
        <v>5</v>
      </c>
      <c r="I103" s="78">
        <f t="shared" si="20"/>
        <v>141.37200000000001</v>
      </c>
      <c r="J103" s="127">
        <f t="shared" si="21"/>
        <v>141.37200000000001</v>
      </c>
      <c r="L103" s="79"/>
    </row>
    <row r="104" spans="1:12" ht="15">
      <c r="A104" s="83"/>
      <c r="B104" s="87"/>
      <c r="C104" s="90"/>
      <c r="D104" s="89"/>
      <c r="E104" s="90"/>
      <c r="F104" s="75"/>
      <c r="G104" s="76"/>
      <c r="H104" s="76"/>
      <c r="I104" s="78"/>
      <c r="J104" s="102">
        <f>SUM(J100:J103)</f>
        <v>884.26305000000002</v>
      </c>
      <c r="L104" s="79"/>
    </row>
    <row r="105" spans="1:12" ht="15">
      <c r="A105" s="83"/>
      <c r="B105" s="87"/>
      <c r="C105" s="90"/>
      <c r="D105" s="89"/>
      <c r="E105" s="90"/>
      <c r="F105" s="87"/>
      <c r="G105" s="90"/>
      <c r="H105" s="76"/>
      <c r="I105" s="78"/>
      <c r="J105" s="78"/>
      <c r="L105" s="79"/>
    </row>
    <row r="106" spans="1:12" ht="15">
      <c r="A106" s="83"/>
      <c r="B106" s="87"/>
      <c r="C106" s="90"/>
      <c r="D106" s="89"/>
      <c r="E106" s="90"/>
      <c r="F106" s="87"/>
      <c r="G106" s="90"/>
      <c r="H106" s="76"/>
      <c r="I106" s="78"/>
      <c r="J106" s="78"/>
      <c r="L106" s="79"/>
    </row>
    <row r="107" spans="1:12" ht="15">
      <c r="A107" s="751" t="s">
        <v>127</v>
      </c>
      <c r="B107" s="752"/>
      <c r="C107" s="752"/>
      <c r="D107" s="752"/>
      <c r="E107" s="752"/>
      <c r="F107" s="752"/>
      <c r="G107" s="752"/>
      <c r="H107" s="752"/>
      <c r="I107" s="752"/>
      <c r="J107" s="753"/>
      <c r="L107" s="79"/>
    </row>
    <row r="108" spans="1:12" ht="15">
      <c r="A108" s="289" t="s">
        <v>511</v>
      </c>
      <c r="B108" s="130"/>
      <c r="C108" s="76"/>
      <c r="D108" s="77"/>
      <c r="E108" s="76"/>
      <c r="F108" s="75"/>
      <c r="G108" s="76"/>
      <c r="H108" s="76"/>
      <c r="I108" s="78"/>
      <c r="J108" s="78"/>
      <c r="L108" s="79"/>
    </row>
    <row r="109" spans="1:12" ht="15">
      <c r="A109" s="289"/>
      <c r="B109" s="130"/>
      <c r="C109" s="76"/>
      <c r="D109" s="77"/>
      <c r="E109" s="76"/>
      <c r="F109" s="75"/>
      <c r="G109" s="76"/>
      <c r="H109" s="76"/>
      <c r="I109" s="78"/>
      <c r="J109" s="78"/>
      <c r="L109" s="79"/>
    </row>
    <row r="110" spans="1:12" ht="15">
      <c r="A110" s="289" t="s">
        <v>512</v>
      </c>
      <c r="B110" s="88">
        <v>8</v>
      </c>
      <c r="C110" s="99"/>
      <c r="D110" s="98"/>
      <c r="E110" s="88">
        <v>106</v>
      </c>
      <c r="F110" s="75">
        <f>PRODUCT(B110:E110)</f>
        <v>848</v>
      </c>
      <c r="G110" s="99"/>
      <c r="H110" s="76" t="s">
        <v>5</v>
      </c>
      <c r="I110" s="91"/>
      <c r="J110" s="127">
        <f t="shared" ref="J110:J111" si="23">F110</f>
        <v>848</v>
      </c>
      <c r="L110" s="79"/>
    </row>
    <row r="111" spans="1:12" ht="15">
      <c r="A111" s="289" t="s">
        <v>513</v>
      </c>
      <c r="B111" s="88">
        <v>6</v>
      </c>
      <c r="C111" s="90"/>
      <c r="D111" s="89"/>
      <c r="E111" s="88">
        <v>24</v>
      </c>
      <c r="F111" s="75">
        <f t="shared" ref="F111" si="24">PRODUCT(B111:E111)</f>
        <v>144</v>
      </c>
      <c r="G111" s="90"/>
      <c r="H111" s="76" t="s">
        <v>5</v>
      </c>
      <c r="I111" s="101"/>
      <c r="J111" s="127">
        <f t="shared" si="23"/>
        <v>144</v>
      </c>
      <c r="L111" s="79"/>
    </row>
    <row r="112" spans="1:12" ht="15">
      <c r="A112" s="289"/>
      <c r="C112" s="90"/>
      <c r="D112" s="89"/>
      <c r="E112" s="90"/>
      <c r="F112" s="87"/>
      <c r="G112" s="90"/>
      <c r="H112" s="90"/>
      <c r="I112" s="101"/>
      <c r="J112" s="137">
        <f>SUM(J110:J111)</f>
        <v>992</v>
      </c>
      <c r="L112" s="79"/>
    </row>
    <row r="113" spans="1:12" ht="15">
      <c r="A113" s="289"/>
      <c r="B113" s="88"/>
      <c r="C113" s="90"/>
      <c r="D113" s="89"/>
      <c r="E113" s="90"/>
      <c r="F113" s="87"/>
      <c r="G113" s="90"/>
      <c r="H113" s="90"/>
      <c r="I113" s="101"/>
      <c r="J113" s="133"/>
      <c r="L113" s="79"/>
    </row>
    <row r="114" spans="1:12" ht="15">
      <c r="A114" s="751" t="s">
        <v>128</v>
      </c>
      <c r="B114" s="752"/>
      <c r="C114" s="752"/>
      <c r="D114" s="752"/>
      <c r="E114" s="752"/>
      <c r="F114" s="752"/>
      <c r="G114" s="752"/>
      <c r="H114" s="752"/>
      <c r="I114" s="752"/>
      <c r="J114" s="753"/>
      <c r="L114" s="79"/>
    </row>
    <row r="115" spans="1:12" ht="15">
      <c r="A115" s="129" t="s">
        <v>6</v>
      </c>
      <c r="B115" s="88">
        <v>269.55</v>
      </c>
      <c r="C115" s="76"/>
      <c r="D115" s="77"/>
      <c r="E115" s="76"/>
      <c r="F115" s="75">
        <f t="shared" ref="F115:F116" si="25">PRODUCT(B115:E115)</f>
        <v>269.55</v>
      </c>
      <c r="G115" s="78">
        <f>F115</f>
        <v>269.55</v>
      </c>
      <c r="H115" s="76" t="s">
        <v>5</v>
      </c>
      <c r="I115" s="78">
        <f>G115*1.1</f>
        <v>296.50500000000005</v>
      </c>
      <c r="J115" s="127">
        <f>I115*1.1</f>
        <v>326.15550000000007</v>
      </c>
      <c r="L115" s="79"/>
    </row>
    <row r="116" spans="1:12" ht="15">
      <c r="A116" s="129" t="s">
        <v>7</v>
      </c>
      <c r="B116" s="88">
        <v>195.78</v>
      </c>
      <c r="C116" s="76"/>
      <c r="D116" s="77"/>
      <c r="E116" s="76"/>
      <c r="F116" s="75">
        <f t="shared" si="25"/>
        <v>195.78</v>
      </c>
      <c r="G116" s="78">
        <f>F116</f>
        <v>195.78</v>
      </c>
      <c r="H116" s="76" t="s">
        <v>5</v>
      </c>
      <c r="I116" s="78">
        <f>G116*1.1</f>
        <v>215.35800000000003</v>
      </c>
      <c r="J116" s="127">
        <f>I116*1.1</f>
        <v>236.89380000000006</v>
      </c>
      <c r="L116" s="79"/>
    </row>
    <row r="117" spans="1:12" ht="15">
      <c r="A117" s="83"/>
      <c r="B117" s="117"/>
      <c r="C117" s="99"/>
      <c r="D117" s="98"/>
      <c r="E117" s="99"/>
      <c r="F117" s="81"/>
      <c r="G117" s="99"/>
      <c r="H117" s="99"/>
      <c r="I117" s="91"/>
      <c r="J117" s="132">
        <f>SUM(J115:J116)</f>
        <v>563.04930000000013</v>
      </c>
      <c r="L117" s="79"/>
    </row>
    <row r="118" spans="1:12" ht="15">
      <c r="A118" s="83"/>
      <c r="B118" s="117"/>
      <c r="C118" s="99"/>
      <c r="D118" s="98"/>
      <c r="E118" s="99"/>
      <c r="F118" s="81"/>
      <c r="G118" s="99"/>
      <c r="H118" s="99"/>
      <c r="I118" s="91"/>
      <c r="J118" s="92"/>
      <c r="L118" s="79"/>
    </row>
    <row r="119" spans="1:12" ht="15">
      <c r="A119" s="757" t="s">
        <v>388</v>
      </c>
      <c r="B119" s="758"/>
      <c r="C119" s="758"/>
      <c r="D119" s="758"/>
      <c r="E119" s="758"/>
      <c r="F119" s="759"/>
      <c r="G119" s="72"/>
      <c r="H119" s="73"/>
      <c r="I119" s="72"/>
      <c r="J119" s="72"/>
      <c r="L119" s="79"/>
    </row>
    <row r="120" spans="1:12" ht="15">
      <c r="A120" s="134" t="s">
        <v>389</v>
      </c>
      <c r="B120" s="88">
        <v>15</v>
      </c>
      <c r="C120" s="89"/>
      <c r="D120" s="135"/>
      <c r="E120" s="90">
        <v>11</v>
      </c>
      <c r="F120" s="81">
        <f>B120*E120</f>
        <v>165</v>
      </c>
      <c r="G120" s="91"/>
      <c r="H120" s="99" t="s">
        <v>5</v>
      </c>
      <c r="I120" s="91"/>
      <c r="J120" s="290">
        <f>F120</f>
        <v>165</v>
      </c>
      <c r="L120" s="79"/>
    </row>
    <row r="121" spans="1:12" ht="15">
      <c r="A121" s="134"/>
      <c r="B121" s="88"/>
      <c r="C121" s="89"/>
      <c r="D121" s="135"/>
      <c r="E121" s="90"/>
      <c r="F121" s="81"/>
      <c r="G121" s="91"/>
      <c r="H121" s="99"/>
      <c r="I121" s="91"/>
      <c r="J121" s="290"/>
    </row>
    <row r="122" spans="1:12" ht="15">
      <c r="A122" s="134"/>
      <c r="B122" s="88"/>
      <c r="C122" s="89"/>
      <c r="D122" s="135"/>
      <c r="E122" s="90"/>
      <c r="F122" s="87"/>
      <c r="G122" s="101"/>
      <c r="H122" s="90"/>
      <c r="I122" s="101"/>
      <c r="J122" s="137">
        <f>SUM(J120:J121)</f>
        <v>165</v>
      </c>
    </row>
    <row r="123" spans="1:12" ht="15">
      <c r="A123" s="86"/>
      <c r="B123" s="88"/>
      <c r="C123" s="89"/>
      <c r="D123" s="135"/>
      <c r="E123" s="90"/>
      <c r="F123" s="87"/>
      <c r="G123" s="101"/>
      <c r="H123" s="90"/>
      <c r="I123" s="101"/>
      <c r="J123" s="101"/>
    </row>
    <row r="124" spans="1:12" ht="15">
      <c r="A124" s="751" t="s">
        <v>390</v>
      </c>
      <c r="B124" s="752"/>
      <c r="C124" s="752"/>
      <c r="D124" s="752"/>
      <c r="E124" s="752"/>
      <c r="F124" s="752"/>
      <c r="G124" s="752"/>
      <c r="H124" s="752"/>
      <c r="I124" s="752"/>
      <c r="J124" s="753"/>
    </row>
    <row r="125" spans="1:12" ht="15">
      <c r="A125" s="238"/>
      <c r="B125" s="239"/>
      <c r="C125" s="239"/>
      <c r="D125" s="239"/>
      <c r="E125" s="239"/>
      <c r="F125" s="239"/>
      <c r="G125" s="239"/>
      <c r="H125" s="239"/>
      <c r="I125" s="239"/>
      <c r="J125" s="240"/>
    </row>
    <row r="126" spans="1:12" ht="15">
      <c r="A126" s="141"/>
      <c r="B126" s="142">
        <v>154.15</v>
      </c>
      <c r="C126" s="143"/>
      <c r="D126" s="144"/>
      <c r="E126" s="143"/>
      <c r="F126" s="145">
        <f>B126</f>
        <v>154.15</v>
      </c>
      <c r="G126" s="143"/>
      <c r="H126" s="143" t="s">
        <v>5</v>
      </c>
      <c r="I126" s="146">
        <f>F126*1.1</f>
        <v>169.56500000000003</v>
      </c>
      <c r="J126" s="147">
        <f>I126</f>
        <v>169.56500000000003</v>
      </c>
    </row>
  </sheetData>
  <mergeCells count="27">
    <mergeCell ref="A17:F17"/>
    <mergeCell ref="A1:J1"/>
    <mergeCell ref="A3:J3"/>
    <mergeCell ref="A4:F4"/>
    <mergeCell ref="A15:J15"/>
    <mergeCell ref="A16:F16"/>
    <mergeCell ref="A77:F77"/>
    <mergeCell ref="A18:F18"/>
    <mergeCell ref="A30:F30"/>
    <mergeCell ref="A31:F31"/>
    <mergeCell ref="A32:F32"/>
    <mergeCell ref="A43:J43"/>
    <mergeCell ref="A54:J54"/>
    <mergeCell ref="A55:J55"/>
    <mergeCell ref="A56:F56"/>
    <mergeCell ref="A59:F59"/>
    <mergeCell ref="A60:J60"/>
    <mergeCell ref="A74:F74"/>
    <mergeCell ref="A114:J114"/>
    <mergeCell ref="A119:F119"/>
    <mergeCell ref="A124:J124"/>
    <mergeCell ref="A80:F80"/>
    <mergeCell ref="A83:J83"/>
    <mergeCell ref="A84:F84"/>
    <mergeCell ref="A87:J87"/>
    <mergeCell ref="A88:H88"/>
    <mergeCell ref="A107:J107"/>
  </mergeCells>
  <pageMargins left="0.7" right="0.7" top="0.75" bottom="0.75" header="0.3" footer="0.3"/>
  <pageSetup paperSize="9" scale="63" orientation="portrait" r:id="rId1"/>
  <rowBreaks count="1" manualBreakCount="1">
    <brk id="57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1F60B-50EF-4AE2-BD1E-04E72F190003}">
  <dimension ref="B3:W368"/>
  <sheetViews>
    <sheetView zoomScale="70" zoomScaleNormal="70" workbookViewId="0">
      <pane ySplit="1" topLeftCell="A2" activePane="bottomLeft" state="frozen"/>
      <selection activeCell="F10" sqref="F10"/>
      <selection pane="bottomLeft" activeCell="F10" sqref="F10"/>
    </sheetView>
  </sheetViews>
  <sheetFormatPr defaultColWidth="9.109375" defaultRowHeight="14.4"/>
  <cols>
    <col min="1" max="1" width="3.88671875" style="153" customWidth="1"/>
    <col min="2" max="2" width="20.44140625" style="153" customWidth="1"/>
    <col min="3" max="3" width="17.109375" style="153" customWidth="1"/>
    <col min="4" max="4" width="14.44140625" style="153" customWidth="1"/>
    <col min="5" max="5" width="15.109375" style="153" customWidth="1"/>
    <col min="6" max="10" width="14.44140625" style="153" customWidth="1"/>
    <col min="11" max="11" width="19.88671875" style="153" customWidth="1"/>
    <col min="12" max="12" width="12.109375" style="153" customWidth="1"/>
    <col min="13" max="13" width="14" style="153" customWidth="1"/>
    <col min="14" max="17" width="9.109375" style="153"/>
    <col min="18" max="18" width="11.88671875" style="153" customWidth="1"/>
    <col min="19" max="19" width="12.88671875" style="153" customWidth="1"/>
    <col min="20" max="20" width="9.109375" style="153"/>
    <col min="21" max="21" width="11.109375" style="153" bestFit="1" customWidth="1"/>
    <col min="22" max="16384" width="9.109375" style="153"/>
  </cols>
  <sheetData>
    <row r="3" spans="2:23">
      <c r="B3" s="150" t="s">
        <v>132</v>
      </c>
      <c r="C3" s="150" t="s">
        <v>133</v>
      </c>
      <c r="D3" s="150" t="s">
        <v>134</v>
      </c>
      <c r="E3" s="150" t="s">
        <v>135</v>
      </c>
      <c r="F3" s="150" t="s">
        <v>136</v>
      </c>
      <c r="G3" s="150"/>
      <c r="H3" s="765" t="s">
        <v>137</v>
      </c>
      <c r="I3" s="765"/>
      <c r="J3" s="765"/>
      <c r="K3" s="150" t="s">
        <v>138</v>
      </c>
      <c r="L3" s="151" t="s">
        <v>139</v>
      </c>
      <c r="M3" s="152"/>
    </row>
    <row r="4" spans="2:23" ht="19.5" customHeight="1">
      <c r="B4" s="154"/>
      <c r="C4" s="154"/>
      <c r="D4" s="154"/>
      <c r="E4" s="154"/>
      <c r="F4" s="155" t="s">
        <v>135</v>
      </c>
      <c r="G4" s="155" t="s">
        <v>140</v>
      </c>
      <c r="H4" s="155" t="s">
        <v>141</v>
      </c>
      <c r="I4" s="155" t="s">
        <v>140</v>
      </c>
      <c r="J4" s="155" t="s">
        <v>142</v>
      </c>
      <c r="K4" s="155" t="s">
        <v>143</v>
      </c>
      <c r="L4" s="156" t="s">
        <v>144</v>
      </c>
      <c r="M4" s="156" t="s">
        <v>145</v>
      </c>
    </row>
    <row r="5" spans="2:23">
      <c r="B5" s="157"/>
      <c r="C5" s="157"/>
      <c r="D5" s="157"/>
      <c r="E5" s="157"/>
      <c r="F5" s="158"/>
      <c r="G5" s="158"/>
      <c r="H5" s="158"/>
      <c r="I5" s="158"/>
      <c r="J5" s="158"/>
      <c r="K5" s="159"/>
      <c r="L5" s="159"/>
      <c r="M5" s="159"/>
    </row>
    <row r="6" spans="2:23" ht="18">
      <c r="B6" s="159" t="s">
        <v>146</v>
      </c>
      <c r="C6" s="160">
        <v>0.3</v>
      </c>
      <c r="D6" s="160">
        <v>0.3</v>
      </c>
      <c r="E6" s="160">
        <v>0.1</v>
      </c>
      <c r="F6" s="160">
        <v>0.05</v>
      </c>
      <c r="G6" s="160">
        <v>10</v>
      </c>
      <c r="H6" s="160">
        <v>0.2</v>
      </c>
      <c r="I6" s="160">
        <v>10</v>
      </c>
      <c r="J6" s="160">
        <v>0.25</v>
      </c>
      <c r="K6" s="160">
        <v>3</v>
      </c>
      <c r="L6" s="159"/>
      <c r="M6" s="159"/>
      <c r="T6" s="766" t="s">
        <v>147</v>
      </c>
      <c r="U6" s="766"/>
    </row>
    <row r="7" spans="2:23">
      <c r="B7" s="159"/>
      <c r="C7" s="160"/>
      <c r="D7" s="160"/>
      <c r="E7" s="160"/>
      <c r="F7" s="160"/>
      <c r="G7" s="160"/>
      <c r="H7" s="159"/>
      <c r="I7" s="159"/>
      <c r="J7" s="159"/>
      <c r="K7" s="160"/>
      <c r="L7" s="159"/>
      <c r="M7" s="159"/>
      <c r="S7" s="161"/>
      <c r="V7" s="161"/>
      <c r="W7" s="767" t="s">
        <v>6</v>
      </c>
    </row>
    <row r="8" spans="2:23">
      <c r="B8" s="159"/>
      <c r="C8" s="160"/>
      <c r="D8" s="160"/>
      <c r="E8" s="160"/>
      <c r="F8" s="160"/>
      <c r="G8" s="160"/>
      <c r="H8" s="159"/>
      <c r="I8" s="159"/>
      <c r="J8" s="159"/>
      <c r="K8" s="160"/>
      <c r="L8" s="159"/>
      <c r="M8" s="159"/>
      <c r="S8" s="161"/>
      <c r="V8" s="161"/>
      <c r="W8" s="767"/>
    </row>
    <row r="9" spans="2:23">
      <c r="B9" s="159" t="s">
        <v>148</v>
      </c>
      <c r="C9" s="160">
        <v>0.45</v>
      </c>
      <c r="D9" s="160">
        <v>0.45</v>
      </c>
      <c r="E9" s="160">
        <v>0.1</v>
      </c>
      <c r="F9" s="160">
        <v>0.05</v>
      </c>
      <c r="G9" s="160">
        <v>10</v>
      </c>
      <c r="H9" s="160">
        <v>0.2</v>
      </c>
      <c r="I9" s="160">
        <v>10</v>
      </c>
      <c r="J9" s="160">
        <v>0.25</v>
      </c>
      <c r="K9" s="160">
        <v>3</v>
      </c>
      <c r="L9" s="159"/>
      <c r="M9" s="159"/>
      <c r="S9" s="161"/>
      <c r="V9" s="161"/>
      <c r="W9" s="767"/>
    </row>
    <row r="10" spans="2:23">
      <c r="B10" s="159"/>
      <c r="C10" s="160"/>
      <c r="D10" s="160"/>
      <c r="E10" s="160"/>
      <c r="F10" s="160"/>
      <c r="G10" s="160"/>
      <c r="H10" s="160"/>
      <c r="I10" s="160"/>
      <c r="J10" s="160"/>
      <c r="K10" s="160"/>
      <c r="L10" s="159"/>
      <c r="M10" s="159"/>
      <c r="S10" s="161"/>
      <c r="V10" s="161"/>
      <c r="W10" s="767"/>
    </row>
    <row r="11" spans="2:23">
      <c r="B11" s="159"/>
      <c r="C11" s="160"/>
      <c r="D11" s="160"/>
      <c r="E11" s="160"/>
      <c r="F11" s="160"/>
      <c r="G11" s="160"/>
      <c r="H11" s="159"/>
      <c r="I11" s="159"/>
      <c r="J11" s="159"/>
      <c r="K11" s="160"/>
      <c r="L11" s="159"/>
      <c r="M11" s="159"/>
      <c r="S11" s="161"/>
      <c r="V11" s="161"/>
      <c r="W11" s="767"/>
    </row>
    <row r="12" spans="2:23">
      <c r="B12" s="159" t="s">
        <v>149</v>
      </c>
      <c r="C12" s="160">
        <v>0.6</v>
      </c>
      <c r="D12" s="160">
        <v>0.6</v>
      </c>
      <c r="E12" s="160">
        <v>0.1</v>
      </c>
      <c r="F12" s="160">
        <v>0.05</v>
      </c>
      <c r="G12" s="160">
        <v>10</v>
      </c>
      <c r="H12" s="159">
        <v>0.2</v>
      </c>
      <c r="I12" s="159">
        <v>10</v>
      </c>
      <c r="J12" s="159">
        <v>0.25</v>
      </c>
      <c r="K12" s="160">
        <v>3</v>
      </c>
      <c r="L12" s="159"/>
      <c r="M12" s="159"/>
      <c r="S12" s="161"/>
      <c r="V12" s="161"/>
      <c r="W12" s="767"/>
    </row>
    <row r="13" spans="2:23">
      <c r="B13" s="159"/>
      <c r="C13" s="160"/>
      <c r="D13" s="160"/>
      <c r="E13" s="160"/>
      <c r="F13" s="160"/>
      <c r="G13" s="160"/>
      <c r="H13" s="159"/>
      <c r="I13" s="159"/>
      <c r="J13" s="159"/>
      <c r="K13" s="160"/>
      <c r="L13" s="159"/>
      <c r="M13" s="159"/>
      <c r="S13" s="161"/>
      <c r="V13" s="161"/>
      <c r="W13" s="767"/>
    </row>
    <row r="14" spans="2:23">
      <c r="B14" s="159"/>
      <c r="C14" s="160"/>
      <c r="D14" s="160"/>
      <c r="E14" s="160"/>
      <c r="F14" s="160"/>
      <c r="G14" s="160"/>
      <c r="H14" s="159"/>
      <c r="I14" s="159"/>
      <c r="J14" s="159"/>
      <c r="K14" s="160"/>
      <c r="L14" s="159"/>
      <c r="M14" s="159"/>
      <c r="S14" s="161"/>
      <c r="V14" s="161"/>
      <c r="W14" s="767"/>
    </row>
    <row r="15" spans="2:23">
      <c r="B15" s="159" t="s">
        <v>150</v>
      </c>
      <c r="C15" s="160">
        <v>0.75</v>
      </c>
      <c r="D15" s="160">
        <v>0.75</v>
      </c>
      <c r="E15" s="162">
        <v>0.125</v>
      </c>
      <c r="F15" s="160">
        <v>0.05</v>
      </c>
      <c r="G15" s="160">
        <v>10</v>
      </c>
      <c r="H15" s="159">
        <v>0.2</v>
      </c>
      <c r="I15" s="159">
        <v>10</v>
      </c>
      <c r="J15" s="159">
        <v>0.25</v>
      </c>
      <c r="K15" s="160">
        <v>3</v>
      </c>
      <c r="L15" s="159"/>
      <c r="M15" s="159"/>
      <c r="S15" s="161"/>
      <c r="V15" s="161"/>
      <c r="W15" s="767"/>
    </row>
    <row r="16" spans="2:23">
      <c r="B16" s="159"/>
      <c r="C16" s="160"/>
      <c r="D16" s="160"/>
      <c r="E16" s="160"/>
      <c r="F16" s="160"/>
      <c r="G16" s="160"/>
      <c r="H16" s="159"/>
      <c r="I16" s="159"/>
      <c r="J16" s="159"/>
      <c r="K16" s="160"/>
      <c r="L16" s="159"/>
      <c r="M16" s="159"/>
      <c r="S16" s="161"/>
      <c r="V16" s="161"/>
      <c r="W16" s="767"/>
    </row>
    <row r="17" spans="2:23">
      <c r="B17" s="159"/>
      <c r="C17" s="160"/>
      <c r="D17" s="160"/>
      <c r="E17" s="160"/>
      <c r="F17" s="160"/>
      <c r="G17" s="160"/>
      <c r="H17" s="159"/>
      <c r="I17" s="159"/>
      <c r="J17" s="159"/>
      <c r="K17" s="160"/>
      <c r="L17" s="159"/>
      <c r="M17" s="159"/>
      <c r="S17" s="161"/>
      <c r="V17" s="161"/>
      <c r="W17" s="767"/>
    </row>
    <row r="18" spans="2:23">
      <c r="B18" s="163" t="s">
        <v>151</v>
      </c>
      <c r="C18" s="160">
        <v>0.9</v>
      </c>
      <c r="D18" s="160">
        <v>0.9</v>
      </c>
      <c r="E18" s="162">
        <v>0.15</v>
      </c>
      <c r="F18" s="160">
        <v>0.05</v>
      </c>
      <c r="G18" s="160">
        <v>10</v>
      </c>
      <c r="H18" s="159">
        <v>0.17499999999999999</v>
      </c>
      <c r="I18" s="159">
        <v>10</v>
      </c>
      <c r="J18" s="159">
        <v>0.25</v>
      </c>
      <c r="K18" s="160">
        <v>3</v>
      </c>
      <c r="L18" s="159"/>
      <c r="M18" s="159"/>
      <c r="S18" s="161"/>
      <c r="T18" s="161"/>
      <c r="U18" s="161"/>
      <c r="V18" s="161"/>
      <c r="W18" s="767" t="s">
        <v>152</v>
      </c>
    </row>
    <row r="19" spans="2:23">
      <c r="B19" s="159"/>
      <c r="C19" s="160"/>
      <c r="D19" s="160"/>
      <c r="E19" s="160"/>
      <c r="F19" s="160"/>
      <c r="G19" s="160"/>
      <c r="H19" s="159"/>
      <c r="I19" s="159"/>
      <c r="J19" s="159"/>
      <c r="K19" s="160"/>
      <c r="L19" s="159"/>
      <c r="M19" s="159"/>
      <c r="S19" s="161"/>
      <c r="T19" s="161"/>
      <c r="U19" s="161"/>
      <c r="V19" s="161"/>
      <c r="W19" s="767"/>
    </row>
    <row r="20" spans="2:23">
      <c r="B20" s="159"/>
      <c r="C20" s="160"/>
      <c r="D20" s="160"/>
      <c r="E20" s="160"/>
      <c r="F20" s="160"/>
      <c r="G20" s="160"/>
      <c r="H20" s="159"/>
      <c r="I20" s="159"/>
      <c r="J20" s="159"/>
      <c r="K20" s="160"/>
      <c r="L20" s="159"/>
      <c r="M20" s="159"/>
      <c r="S20" s="161"/>
      <c r="T20" s="161"/>
      <c r="U20" s="161"/>
      <c r="V20" s="161"/>
      <c r="W20" s="767"/>
    </row>
    <row r="21" spans="2:23">
      <c r="B21" s="159" t="s">
        <v>153</v>
      </c>
      <c r="C21" s="160">
        <v>1</v>
      </c>
      <c r="D21" s="160">
        <v>1</v>
      </c>
      <c r="E21" s="160">
        <v>0.15</v>
      </c>
      <c r="F21" s="160">
        <v>0.05</v>
      </c>
      <c r="G21" s="160">
        <v>10</v>
      </c>
      <c r="H21" s="159">
        <v>0.17499999999999999</v>
      </c>
      <c r="I21" s="159">
        <v>10</v>
      </c>
      <c r="J21" s="159">
        <v>0.25</v>
      </c>
      <c r="K21" s="160">
        <v>3</v>
      </c>
      <c r="L21" s="159"/>
      <c r="M21" s="159"/>
      <c r="S21" s="164"/>
      <c r="T21" s="164"/>
      <c r="U21" s="164"/>
      <c r="V21" s="164"/>
      <c r="W21" s="153" t="s">
        <v>154</v>
      </c>
    </row>
    <row r="22" spans="2:23">
      <c r="B22" s="159"/>
      <c r="C22" s="160"/>
      <c r="D22" s="160"/>
      <c r="E22" s="160"/>
      <c r="F22" s="160"/>
      <c r="G22" s="160"/>
      <c r="H22" s="159"/>
      <c r="I22" s="159"/>
      <c r="J22" s="159"/>
      <c r="K22" s="160"/>
      <c r="L22" s="159"/>
      <c r="M22" s="159"/>
      <c r="S22" s="164"/>
      <c r="T22" s="164"/>
      <c r="U22" s="164"/>
      <c r="V22" s="164"/>
    </row>
    <row r="23" spans="2:23">
      <c r="B23" s="159"/>
      <c r="C23" s="160"/>
      <c r="D23" s="160"/>
      <c r="E23" s="160"/>
      <c r="F23" s="160"/>
      <c r="G23" s="160"/>
      <c r="H23" s="159"/>
      <c r="I23" s="159"/>
      <c r="J23" s="159"/>
      <c r="K23" s="160"/>
      <c r="L23" s="159"/>
      <c r="M23" s="159"/>
    </row>
    <row r="24" spans="2:23">
      <c r="B24" s="159" t="s">
        <v>155</v>
      </c>
      <c r="C24" s="160">
        <v>0.3</v>
      </c>
      <c r="D24" s="160">
        <v>0.3</v>
      </c>
      <c r="E24" s="160">
        <v>0.1</v>
      </c>
      <c r="F24" s="160">
        <v>0.05</v>
      </c>
      <c r="G24" s="160">
        <v>10</v>
      </c>
      <c r="H24" s="159">
        <v>0.2</v>
      </c>
      <c r="I24" s="159">
        <v>10</v>
      </c>
      <c r="J24" s="159">
        <v>0.25</v>
      </c>
      <c r="K24" s="160">
        <v>3</v>
      </c>
      <c r="L24" s="159"/>
      <c r="M24" s="159"/>
    </row>
    <row r="25" spans="2:23">
      <c r="B25" s="159"/>
      <c r="C25" s="160"/>
      <c r="D25" s="160"/>
      <c r="E25" s="160"/>
      <c r="F25" s="160"/>
      <c r="G25" s="160"/>
      <c r="H25" s="159"/>
      <c r="I25" s="159"/>
      <c r="J25" s="159"/>
      <c r="K25" s="160"/>
      <c r="L25" s="159"/>
      <c r="M25" s="159"/>
    </row>
    <row r="26" spans="2:23">
      <c r="B26" s="159"/>
      <c r="C26" s="160"/>
      <c r="D26" s="160"/>
      <c r="E26" s="160"/>
      <c r="F26" s="160"/>
      <c r="G26" s="160"/>
      <c r="H26" s="159"/>
      <c r="I26" s="159"/>
      <c r="J26" s="159"/>
      <c r="K26" s="160"/>
      <c r="L26" s="159"/>
      <c r="M26" s="159"/>
    </row>
    <row r="27" spans="2:23">
      <c r="B27" s="159" t="s">
        <v>156</v>
      </c>
      <c r="C27" s="160">
        <v>0.6</v>
      </c>
      <c r="D27" s="160">
        <v>0.6</v>
      </c>
      <c r="E27" s="160">
        <v>0.1</v>
      </c>
      <c r="F27" s="160">
        <v>0.05</v>
      </c>
      <c r="G27" s="160">
        <v>10</v>
      </c>
      <c r="H27" s="159">
        <v>0.2</v>
      </c>
      <c r="I27" s="159">
        <v>10</v>
      </c>
      <c r="J27" s="159">
        <v>0.25</v>
      </c>
      <c r="K27" s="160">
        <v>3</v>
      </c>
      <c r="L27" s="159"/>
      <c r="M27" s="159"/>
    </row>
    <row r="28" spans="2:23">
      <c r="B28" s="165"/>
      <c r="C28" s="166"/>
      <c r="D28" s="166"/>
      <c r="E28" s="166"/>
      <c r="F28" s="166"/>
      <c r="G28" s="166"/>
      <c r="H28" s="165"/>
      <c r="I28" s="165"/>
      <c r="J28" s="165"/>
      <c r="K28" s="160"/>
      <c r="L28" s="159"/>
      <c r="M28" s="159"/>
    </row>
    <row r="29" spans="2:23">
      <c r="B29" s="165"/>
      <c r="C29" s="166"/>
      <c r="D29" s="166"/>
      <c r="E29" s="166"/>
      <c r="F29" s="166"/>
      <c r="G29" s="166"/>
      <c r="H29" s="165"/>
      <c r="I29" s="165"/>
      <c r="J29" s="165"/>
      <c r="K29" s="166"/>
      <c r="L29" s="159"/>
      <c r="M29" s="159"/>
    </row>
    <row r="30" spans="2:23">
      <c r="B30" s="167" t="s">
        <v>157</v>
      </c>
      <c r="C30" s="160">
        <v>0.3</v>
      </c>
      <c r="D30" s="160">
        <v>0.3</v>
      </c>
      <c r="E30" s="160">
        <v>0.1</v>
      </c>
      <c r="F30" s="160">
        <v>0.05</v>
      </c>
      <c r="G30" s="160">
        <v>10</v>
      </c>
      <c r="H30" s="159">
        <v>0.25</v>
      </c>
      <c r="I30" s="159">
        <v>10</v>
      </c>
      <c r="J30" s="159">
        <v>0.25</v>
      </c>
      <c r="K30" s="160">
        <v>0</v>
      </c>
      <c r="L30" s="159"/>
      <c r="M30" s="159"/>
    </row>
    <row r="31" spans="2:23">
      <c r="B31" s="165" t="s">
        <v>158</v>
      </c>
      <c r="C31" s="166">
        <v>1.5</v>
      </c>
      <c r="D31" s="166"/>
      <c r="E31" s="166">
        <v>0.1</v>
      </c>
      <c r="F31" s="166"/>
      <c r="G31" s="166">
        <v>10</v>
      </c>
      <c r="H31" s="165">
        <v>0.25</v>
      </c>
      <c r="I31" s="165">
        <v>10</v>
      </c>
      <c r="J31" s="165">
        <v>0.15</v>
      </c>
      <c r="K31" s="160"/>
      <c r="L31" s="159"/>
      <c r="M31" s="159"/>
    </row>
    <row r="32" spans="2:23">
      <c r="B32" s="165"/>
      <c r="C32" s="166"/>
      <c r="D32" s="166"/>
      <c r="E32" s="166"/>
      <c r="F32" s="166"/>
      <c r="G32" s="166"/>
      <c r="H32" s="165"/>
      <c r="I32" s="165"/>
      <c r="J32" s="165"/>
      <c r="K32" s="166"/>
      <c r="L32" s="159"/>
      <c r="M32" s="159"/>
    </row>
    <row r="33" spans="2:13">
      <c r="B33" s="168" t="s">
        <v>159</v>
      </c>
      <c r="C33" s="160">
        <v>0.45</v>
      </c>
      <c r="D33" s="160">
        <v>0.45</v>
      </c>
      <c r="E33" s="160">
        <v>0.1</v>
      </c>
      <c r="F33" s="160">
        <v>0.05</v>
      </c>
      <c r="G33" s="160">
        <v>10</v>
      </c>
      <c r="H33" s="159">
        <v>0.25</v>
      </c>
      <c r="I33" s="159">
        <v>10</v>
      </c>
      <c r="J33" s="159">
        <v>0.25</v>
      </c>
      <c r="K33" s="160">
        <v>0</v>
      </c>
      <c r="L33" s="159"/>
      <c r="M33" s="159"/>
    </row>
    <row r="34" spans="2:13">
      <c r="B34" s="165" t="s">
        <v>158</v>
      </c>
      <c r="C34" s="166">
        <v>1.5</v>
      </c>
      <c r="D34" s="166"/>
      <c r="E34" s="166">
        <v>0.1</v>
      </c>
      <c r="F34" s="166"/>
      <c r="G34" s="166">
        <v>10</v>
      </c>
      <c r="H34" s="165">
        <v>0.25</v>
      </c>
      <c r="I34" s="165">
        <v>10</v>
      </c>
      <c r="J34" s="165">
        <v>0.15</v>
      </c>
      <c r="K34" s="160"/>
      <c r="L34" s="159"/>
      <c r="M34" s="159"/>
    </row>
    <row r="35" spans="2:13">
      <c r="B35" s="165"/>
      <c r="C35" s="166"/>
      <c r="D35" s="166"/>
      <c r="E35" s="166"/>
      <c r="F35" s="166"/>
      <c r="G35" s="166"/>
      <c r="H35" s="165"/>
      <c r="I35" s="165"/>
      <c r="J35" s="165"/>
      <c r="K35" s="166" t="s">
        <v>160</v>
      </c>
      <c r="L35" s="159"/>
      <c r="M35" s="159"/>
    </row>
    <row r="36" spans="2:13">
      <c r="B36" s="167" t="s">
        <v>161</v>
      </c>
      <c r="C36" s="160">
        <v>1</v>
      </c>
      <c r="D36" s="160">
        <v>0.15</v>
      </c>
      <c r="E36" s="160">
        <v>0.1</v>
      </c>
      <c r="F36" s="160">
        <v>0.05</v>
      </c>
      <c r="G36" s="160">
        <v>10</v>
      </c>
      <c r="H36" s="159">
        <v>0.25</v>
      </c>
      <c r="I36" s="159">
        <v>10</v>
      </c>
      <c r="J36" s="159">
        <v>0.25</v>
      </c>
      <c r="K36" s="160">
        <v>0</v>
      </c>
      <c r="L36" s="159"/>
      <c r="M36" s="159"/>
    </row>
    <row r="37" spans="2:13">
      <c r="B37" s="165" t="s">
        <v>158</v>
      </c>
      <c r="C37" s="166">
        <v>1.5</v>
      </c>
      <c r="D37" s="166"/>
      <c r="E37" s="166">
        <v>0.1</v>
      </c>
      <c r="F37" s="166"/>
      <c r="G37" s="166">
        <v>10</v>
      </c>
      <c r="H37" s="165">
        <v>0.25</v>
      </c>
      <c r="I37" s="165">
        <v>10</v>
      </c>
      <c r="J37" s="165">
        <v>0.15</v>
      </c>
      <c r="K37" s="160"/>
      <c r="L37" s="159"/>
      <c r="M37" s="159"/>
    </row>
    <row r="38" spans="2:13">
      <c r="B38" s="165"/>
      <c r="C38" s="166"/>
      <c r="D38" s="166"/>
      <c r="E38" s="166"/>
      <c r="F38" s="166"/>
      <c r="G38" s="166"/>
      <c r="H38" s="165"/>
      <c r="I38" s="165"/>
      <c r="J38" s="165"/>
      <c r="K38" s="166"/>
      <c r="L38" s="159"/>
      <c r="M38" s="159"/>
    </row>
    <row r="39" spans="2:13">
      <c r="B39" s="169" t="s">
        <v>162</v>
      </c>
      <c r="C39" s="160">
        <v>1</v>
      </c>
      <c r="D39" s="160">
        <v>0.2</v>
      </c>
      <c r="E39" s="160">
        <v>0.1</v>
      </c>
      <c r="F39" s="160">
        <v>0.05</v>
      </c>
      <c r="G39" s="160">
        <v>10</v>
      </c>
      <c r="H39" s="159">
        <v>0.25</v>
      </c>
      <c r="I39" s="159">
        <v>10</v>
      </c>
      <c r="J39" s="159">
        <v>0.25</v>
      </c>
      <c r="K39" s="160">
        <v>0</v>
      </c>
      <c r="L39" s="159"/>
      <c r="M39" s="159"/>
    </row>
    <row r="40" spans="2:13">
      <c r="B40" s="165"/>
      <c r="C40" s="166"/>
      <c r="D40" s="166"/>
      <c r="E40" s="166"/>
      <c r="F40" s="166"/>
      <c r="G40" s="166"/>
      <c r="H40" s="165"/>
      <c r="I40" s="165"/>
      <c r="J40" s="165"/>
      <c r="K40" s="166"/>
      <c r="L40" s="159"/>
      <c r="M40" s="159"/>
    </row>
    <row r="41" spans="2:13">
      <c r="B41" s="169" t="s">
        <v>163</v>
      </c>
      <c r="C41" s="160">
        <v>1</v>
      </c>
      <c r="D41" s="160">
        <v>0.3</v>
      </c>
      <c r="E41" s="160">
        <v>0.1</v>
      </c>
      <c r="F41" s="160">
        <v>0.05</v>
      </c>
      <c r="G41" s="160">
        <v>10</v>
      </c>
      <c r="H41" s="159">
        <v>0.25</v>
      </c>
      <c r="I41" s="159">
        <v>10</v>
      </c>
      <c r="J41" s="159">
        <v>0.25</v>
      </c>
      <c r="K41" s="160">
        <v>0</v>
      </c>
      <c r="L41" s="159"/>
      <c r="M41" s="159"/>
    </row>
    <row r="42" spans="2:13">
      <c r="B42" s="165"/>
      <c r="C42" s="166"/>
      <c r="D42" s="166"/>
      <c r="E42" s="166"/>
      <c r="F42" s="166"/>
      <c r="G42" s="166"/>
      <c r="H42" s="165"/>
      <c r="I42" s="165"/>
      <c r="J42" s="165"/>
      <c r="K42" s="166"/>
      <c r="L42" s="159"/>
      <c r="M42" s="159"/>
    </row>
    <row r="43" spans="2:13">
      <c r="B43" s="170" t="s">
        <v>164</v>
      </c>
      <c r="C43" s="160">
        <v>0.6</v>
      </c>
      <c r="D43" s="160">
        <v>0.6</v>
      </c>
      <c r="E43" s="160">
        <v>0.15</v>
      </c>
      <c r="F43" s="160">
        <v>0.05</v>
      </c>
      <c r="G43" s="160">
        <v>10</v>
      </c>
      <c r="H43" s="159">
        <v>0.25</v>
      </c>
      <c r="I43" s="159">
        <v>10</v>
      </c>
      <c r="J43" s="159">
        <v>0.25</v>
      </c>
      <c r="K43" s="160">
        <v>0</v>
      </c>
      <c r="L43" s="159"/>
      <c r="M43" s="159"/>
    </row>
    <row r="44" spans="2:13">
      <c r="B44" s="165"/>
      <c r="C44" s="166"/>
      <c r="D44" s="166"/>
      <c r="E44" s="166"/>
      <c r="F44" s="166"/>
      <c r="G44" s="166"/>
      <c r="H44" s="165"/>
      <c r="I44" s="165"/>
      <c r="J44" s="165"/>
      <c r="K44" s="166"/>
      <c r="L44" s="159"/>
      <c r="M44" s="159"/>
    </row>
    <row r="45" spans="2:13">
      <c r="B45" s="170" t="s">
        <v>165</v>
      </c>
      <c r="C45" s="160">
        <v>0.8</v>
      </c>
      <c r="D45" s="160">
        <v>0.8</v>
      </c>
      <c r="E45" s="160">
        <v>0.15</v>
      </c>
      <c r="F45" s="160">
        <v>0.05</v>
      </c>
      <c r="G45" s="160">
        <v>10</v>
      </c>
      <c r="H45" s="159">
        <v>0.25</v>
      </c>
      <c r="I45" s="159">
        <v>10</v>
      </c>
      <c r="J45" s="159">
        <v>0.25</v>
      </c>
      <c r="K45" s="160">
        <v>0</v>
      </c>
      <c r="L45" s="159"/>
      <c r="M45" s="159"/>
    </row>
    <row r="46" spans="2:13">
      <c r="B46" s="165"/>
      <c r="C46" s="166"/>
      <c r="D46" s="166"/>
      <c r="E46" s="166"/>
      <c r="F46" s="166"/>
      <c r="G46" s="166"/>
      <c r="H46" s="165"/>
      <c r="I46" s="165"/>
      <c r="J46" s="165"/>
      <c r="K46" s="166"/>
      <c r="L46" s="159"/>
      <c r="M46" s="159"/>
    </row>
    <row r="47" spans="2:13">
      <c r="B47" s="171" t="s">
        <v>166</v>
      </c>
      <c r="C47" s="160">
        <v>1</v>
      </c>
      <c r="D47" s="160">
        <v>0.6</v>
      </c>
      <c r="E47" s="160">
        <v>0.1</v>
      </c>
      <c r="F47" s="160">
        <v>0.05</v>
      </c>
      <c r="G47" s="160">
        <v>10</v>
      </c>
      <c r="H47" s="159">
        <v>0.25</v>
      </c>
      <c r="I47" s="159">
        <v>10</v>
      </c>
      <c r="J47" s="159">
        <v>0.25</v>
      </c>
      <c r="K47" s="160">
        <v>3</v>
      </c>
      <c r="L47" s="159"/>
      <c r="M47" s="159"/>
    </row>
    <row r="48" spans="2:13">
      <c r="B48" s="172"/>
      <c r="C48" s="166"/>
      <c r="D48" s="166"/>
      <c r="E48" s="166"/>
      <c r="F48" s="166"/>
      <c r="G48" s="166"/>
      <c r="H48" s="165"/>
      <c r="I48" s="165"/>
      <c r="J48" s="165"/>
      <c r="K48" s="166"/>
      <c r="L48" s="159"/>
      <c r="M48" s="159"/>
    </row>
    <row r="49" spans="2:13">
      <c r="B49" s="165"/>
      <c r="C49" s="166"/>
      <c r="D49" s="166"/>
      <c r="E49" s="166"/>
      <c r="F49" s="166"/>
      <c r="G49" s="166"/>
      <c r="H49" s="165"/>
      <c r="I49" s="165"/>
      <c r="J49" s="165"/>
      <c r="K49" s="166"/>
      <c r="L49" s="159"/>
      <c r="M49" s="159"/>
    </row>
    <row r="50" spans="2:13">
      <c r="B50" s="171" t="s">
        <v>167</v>
      </c>
      <c r="C50" s="160">
        <v>1</v>
      </c>
      <c r="D50" s="160">
        <v>0.8</v>
      </c>
      <c r="E50" s="160">
        <v>0.125</v>
      </c>
      <c r="F50" s="160">
        <v>0.05</v>
      </c>
      <c r="G50" s="160">
        <v>10</v>
      </c>
      <c r="H50" s="159">
        <v>0.25</v>
      </c>
      <c r="I50" s="159">
        <v>10</v>
      </c>
      <c r="J50" s="159">
        <v>0.25</v>
      </c>
      <c r="K50" s="160">
        <v>3</v>
      </c>
      <c r="L50" s="159"/>
      <c r="M50" s="159"/>
    </row>
    <row r="51" spans="2:13">
      <c r="B51" s="172"/>
      <c r="C51" s="166"/>
      <c r="D51" s="166"/>
      <c r="E51" s="166"/>
      <c r="F51" s="166"/>
      <c r="G51" s="166"/>
      <c r="H51" s="165"/>
      <c r="I51" s="165"/>
      <c r="J51" s="165"/>
      <c r="K51" s="166"/>
      <c r="L51" s="159"/>
      <c r="M51" s="159"/>
    </row>
    <row r="52" spans="2:13">
      <c r="B52" s="165"/>
      <c r="C52" s="166"/>
      <c r="D52" s="166"/>
      <c r="E52" s="166"/>
      <c r="F52" s="166"/>
      <c r="G52" s="166"/>
      <c r="H52" s="165"/>
      <c r="I52" s="165"/>
      <c r="J52" s="165"/>
      <c r="K52" s="166"/>
      <c r="L52" s="159"/>
      <c r="M52" s="159"/>
    </row>
    <row r="53" spans="2:13">
      <c r="B53" s="171" t="s">
        <v>168</v>
      </c>
      <c r="C53" s="160">
        <v>1</v>
      </c>
      <c r="D53" s="160">
        <v>1</v>
      </c>
      <c r="E53" s="160">
        <v>0.125</v>
      </c>
      <c r="F53" s="160">
        <v>0.05</v>
      </c>
      <c r="G53" s="160">
        <v>10</v>
      </c>
      <c r="H53" s="159">
        <v>0.25</v>
      </c>
      <c r="I53" s="159">
        <v>10</v>
      </c>
      <c r="J53" s="159">
        <v>0.25</v>
      </c>
      <c r="K53" s="160">
        <v>3</v>
      </c>
      <c r="L53" s="159"/>
      <c r="M53" s="159"/>
    </row>
    <row r="54" spans="2:13">
      <c r="B54" s="172"/>
      <c r="C54" s="166"/>
      <c r="D54" s="166"/>
      <c r="E54" s="166"/>
      <c r="F54" s="166"/>
      <c r="G54" s="166"/>
      <c r="H54" s="165"/>
      <c r="I54" s="165"/>
      <c r="J54" s="165"/>
      <c r="K54" s="166"/>
      <c r="L54" s="159"/>
      <c r="M54" s="159"/>
    </row>
    <row r="55" spans="2:13">
      <c r="B55" s="165"/>
      <c r="C55" s="166"/>
      <c r="D55" s="166"/>
      <c r="E55" s="166"/>
      <c r="F55" s="166"/>
      <c r="G55" s="166"/>
      <c r="H55" s="165"/>
      <c r="I55" s="165"/>
      <c r="J55" s="165"/>
      <c r="K55" s="166"/>
      <c r="L55" s="159"/>
      <c r="M55" s="159"/>
    </row>
    <row r="56" spans="2:13">
      <c r="B56" s="171" t="s">
        <v>169</v>
      </c>
      <c r="C56" s="160">
        <v>1</v>
      </c>
      <c r="D56" s="160">
        <v>1</v>
      </c>
      <c r="E56" s="160">
        <v>0.125</v>
      </c>
      <c r="F56" s="160">
        <v>0.05</v>
      </c>
      <c r="G56" s="160">
        <v>10</v>
      </c>
      <c r="H56" s="159">
        <v>0.25</v>
      </c>
      <c r="I56" s="159">
        <v>10</v>
      </c>
      <c r="J56" s="159">
        <v>0.25</v>
      </c>
      <c r="K56" s="160">
        <v>3</v>
      </c>
      <c r="L56" s="159"/>
      <c r="M56" s="159"/>
    </row>
    <row r="57" spans="2:13">
      <c r="B57" s="172"/>
      <c r="C57" s="166"/>
      <c r="D57" s="166"/>
      <c r="E57" s="166"/>
      <c r="F57" s="166"/>
      <c r="G57" s="166"/>
      <c r="H57" s="165"/>
      <c r="I57" s="165"/>
      <c r="J57" s="165"/>
      <c r="K57" s="166"/>
      <c r="L57" s="159"/>
      <c r="M57" s="159"/>
    </row>
    <row r="58" spans="2:13">
      <c r="B58" s="172"/>
      <c r="C58" s="166"/>
      <c r="D58" s="166"/>
      <c r="E58" s="166"/>
      <c r="F58" s="166"/>
      <c r="G58" s="166"/>
      <c r="H58" s="165"/>
      <c r="I58" s="165"/>
      <c r="J58" s="165"/>
      <c r="K58" s="166"/>
      <c r="L58" s="159"/>
      <c r="M58" s="159"/>
    </row>
    <row r="59" spans="2:13">
      <c r="B59" s="159" t="s">
        <v>170</v>
      </c>
      <c r="C59" s="160">
        <v>0.45</v>
      </c>
      <c r="D59" s="160">
        <v>0.45</v>
      </c>
      <c r="E59" s="160">
        <v>0.1</v>
      </c>
      <c r="F59" s="160">
        <v>0.05</v>
      </c>
      <c r="G59" s="160">
        <v>10</v>
      </c>
      <c r="H59" s="159">
        <v>0.25</v>
      </c>
      <c r="I59" s="159">
        <v>10</v>
      </c>
      <c r="J59" s="159">
        <v>0.25</v>
      </c>
      <c r="K59" s="160"/>
      <c r="L59" s="159">
        <v>0.27500000000000002</v>
      </c>
      <c r="M59" s="159">
        <v>0.27500000000000002</v>
      </c>
    </row>
    <row r="60" spans="2:13">
      <c r="B60" s="165"/>
      <c r="C60" s="166"/>
      <c r="D60" s="166"/>
      <c r="E60" s="166"/>
      <c r="F60" s="166"/>
      <c r="G60" s="166"/>
      <c r="H60" s="165"/>
      <c r="I60" s="165"/>
      <c r="J60" s="165"/>
      <c r="K60" s="166"/>
      <c r="L60" s="159"/>
      <c r="M60" s="159"/>
    </row>
    <row r="61" spans="2:13">
      <c r="B61" s="165"/>
      <c r="C61" s="166"/>
      <c r="D61" s="166"/>
      <c r="E61" s="166"/>
      <c r="F61" s="166"/>
      <c r="G61" s="166"/>
      <c r="H61" s="165"/>
      <c r="I61" s="165"/>
      <c r="J61" s="165"/>
      <c r="K61" s="166"/>
      <c r="L61" s="159"/>
      <c r="M61" s="159"/>
    </row>
    <row r="62" spans="2:13">
      <c r="B62" s="165"/>
      <c r="C62" s="166"/>
      <c r="D62" s="166"/>
      <c r="E62" s="166"/>
      <c r="F62" s="166"/>
      <c r="G62" s="166"/>
      <c r="H62" s="165"/>
      <c r="I62" s="165"/>
      <c r="J62" s="165"/>
      <c r="K62" s="166"/>
      <c r="L62" s="159"/>
      <c r="M62" s="159"/>
    </row>
    <row r="63" spans="2:13">
      <c r="B63" s="159" t="s">
        <v>171</v>
      </c>
      <c r="C63" s="160">
        <v>0.45</v>
      </c>
      <c r="D63" s="160">
        <v>0.6</v>
      </c>
      <c r="E63" s="160">
        <v>0.1</v>
      </c>
      <c r="F63" s="160">
        <v>0.05</v>
      </c>
      <c r="G63" s="160">
        <v>10</v>
      </c>
      <c r="H63" s="159">
        <v>0.25</v>
      </c>
      <c r="I63" s="159">
        <v>10</v>
      </c>
      <c r="J63" s="159">
        <v>0.25</v>
      </c>
      <c r="K63" s="160"/>
      <c r="L63" s="159">
        <v>0.27500000000000002</v>
      </c>
      <c r="M63" s="159">
        <v>0.27500000000000002</v>
      </c>
    </row>
    <row r="64" spans="2:13">
      <c r="B64" s="165"/>
      <c r="C64" s="166"/>
      <c r="D64" s="166"/>
      <c r="E64" s="166"/>
      <c r="F64" s="166"/>
      <c r="G64" s="166"/>
      <c r="H64" s="165"/>
      <c r="I64" s="165"/>
      <c r="J64" s="165"/>
      <c r="K64" s="166"/>
      <c r="L64" s="159"/>
      <c r="M64" s="159"/>
    </row>
    <row r="65" spans="2:13">
      <c r="B65" s="165"/>
      <c r="C65" s="166"/>
      <c r="D65" s="166"/>
      <c r="E65" s="166"/>
      <c r="F65" s="166"/>
      <c r="G65" s="166"/>
      <c r="H65" s="165"/>
      <c r="I65" s="165"/>
      <c r="J65" s="165"/>
      <c r="K65" s="166"/>
      <c r="L65" s="159"/>
      <c r="M65" s="159"/>
    </row>
    <row r="66" spans="2:13">
      <c r="B66" s="172"/>
      <c r="C66" s="166"/>
      <c r="D66" s="166"/>
      <c r="E66" s="166"/>
      <c r="F66" s="166"/>
      <c r="G66" s="166"/>
      <c r="H66" s="165"/>
      <c r="I66" s="165"/>
      <c r="J66" s="165"/>
      <c r="K66" s="166"/>
      <c r="L66" s="159"/>
      <c r="M66" s="159"/>
    </row>
    <row r="67" spans="2:13">
      <c r="B67" s="159" t="s">
        <v>172</v>
      </c>
      <c r="C67" s="160">
        <v>0.6</v>
      </c>
      <c r="D67" s="160">
        <v>0.6</v>
      </c>
      <c r="E67" s="160">
        <v>0.1</v>
      </c>
      <c r="F67" s="160">
        <v>0.05</v>
      </c>
      <c r="G67" s="160">
        <v>10</v>
      </c>
      <c r="H67" s="159">
        <v>0.25</v>
      </c>
      <c r="I67" s="159">
        <v>10</v>
      </c>
      <c r="J67" s="159">
        <v>0.25</v>
      </c>
      <c r="K67" s="160"/>
      <c r="L67" s="159">
        <v>0.27500000000000002</v>
      </c>
      <c r="M67" s="159">
        <v>0.27500000000000002</v>
      </c>
    </row>
    <row r="68" spans="2:13">
      <c r="B68" s="165"/>
      <c r="C68" s="166"/>
      <c r="D68" s="166"/>
      <c r="E68" s="166"/>
      <c r="F68" s="166"/>
      <c r="G68" s="166"/>
      <c r="H68" s="165"/>
      <c r="I68" s="165"/>
      <c r="J68" s="165"/>
      <c r="K68" s="166"/>
      <c r="L68" s="159"/>
      <c r="M68" s="159"/>
    </row>
    <row r="69" spans="2:13">
      <c r="B69" s="165"/>
      <c r="C69" s="166"/>
      <c r="D69" s="166"/>
      <c r="E69" s="166"/>
      <c r="F69" s="166"/>
      <c r="G69" s="166"/>
      <c r="H69" s="165"/>
      <c r="I69" s="165"/>
      <c r="J69" s="165"/>
      <c r="K69" s="166"/>
      <c r="L69" s="159"/>
      <c r="M69" s="159"/>
    </row>
    <row r="70" spans="2:13">
      <c r="B70" s="165"/>
      <c r="C70" s="166"/>
      <c r="D70" s="166"/>
      <c r="E70" s="166"/>
      <c r="F70" s="166"/>
      <c r="G70" s="166"/>
      <c r="H70" s="165"/>
      <c r="I70" s="165"/>
      <c r="J70" s="165"/>
      <c r="K70" s="166"/>
      <c r="L70" s="159"/>
      <c r="M70" s="159"/>
    </row>
    <row r="71" spans="2:13">
      <c r="B71" s="159" t="s">
        <v>173</v>
      </c>
      <c r="C71" s="160">
        <v>0.8</v>
      </c>
      <c r="D71" s="160">
        <v>0.8</v>
      </c>
      <c r="E71" s="160">
        <v>0.1</v>
      </c>
      <c r="F71" s="160">
        <v>0.05</v>
      </c>
      <c r="G71" s="160">
        <v>10</v>
      </c>
      <c r="H71" s="159">
        <v>0.25</v>
      </c>
      <c r="I71" s="159">
        <v>10</v>
      </c>
      <c r="J71" s="159">
        <v>0.25</v>
      </c>
      <c r="K71" s="160"/>
      <c r="L71" s="159">
        <v>0.27500000000000002</v>
      </c>
      <c r="M71" s="159">
        <v>0.27500000000000002</v>
      </c>
    </row>
    <row r="72" spans="2:13">
      <c r="B72" s="165"/>
      <c r="C72" s="166"/>
      <c r="D72" s="166"/>
      <c r="E72" s="166"/>
      <c r="F72" s="166"/>
      <c r="G72" s="166"/>
      <c r="H72" s="165"/>
      <c r="I72" s="165"/>
      <c r="J72" s="165"/>
      <c r="K72" s="166"/>
      <c r="L72" s="159"/>
      <c r="M72" s="159"/>
    </row>
    <row r="73" spans="2:13">
      <c r="B73" s="165"/>
      <c r="C73" s="166"/>
      <c r="D73" s="166"/>
      <c r="E73" s="166"/>
      <c r="F73" s="166"/>
      <c r="G73" s="166"/>
      <c r="H73" s="165"/>
      <c r="I73" s="165"/>
      <c r="J73" s="165"/>
      <c r="K73" s="166"/>
      <c r="L73" s="159"/>
      <c r="M73" s="159"/>
    </row>
    <row r="74" spans="2:13">
      <c r="B74" s="165"/>
      <c r="C74" s="166"/>
      <c r="D74" s="166"/>
      <c r="E74" s="166"/>
      <c r="F74" s="166"/>
      <c r="G74" s="166"/>
      <c r="H74" s="165"/>
      <c r="I74" s="165"/>
      <c r="J74" s="165"/>
      <c r="K74" s="166"/>
      <c r="L74" s="159"/>
      <c r="M74" s="159"/>
    </row>
    <row r="75" spans="2:13">
      <c r="B75" s="159" t="s">
        <v>174</v>
      </c>
      <c r="C75" s="160">
        <v>1</v>
      </c>
      <c r="D75" s="160">
        <v>1</v>
      </c>
      <c r="E75" s="160">
        <v>0.125</v>
      </c>
      <c r="F75" s="160">
        <v>0.05</v>
      </c>
      <c r="G75" s="160">
        <v>10</v>
      </c>
      <c r="H75" s="159">
        <v>0.25</v>
      </c>
      <c r="I75" s="159">
        <v>10</v>
      </c>
      <c r="J75" s="159">
        <v>0.25</v>
      </c>
      <c r="K75" s="160"/>
      <c r="L75" s="159">
        <v>0.27500000000000002</v>
      </c>
      <c r="M75" s="159">
        <v>0.27500000000000002</v>
      </c>
    </row>
    <row r="76" spans="2:13">
      <c r="B76" s="165"/>
      <c r="C76" s="166"/>
      <c r="D76" s="166"/>
      <c r="E76" s="166"/>
      <c r="F76" s="166"/>
      <c r="G76" s="166"/>
      <c r="H76" s="165"/>
      <c r="I76" s="165"/>
      <c r="J76" s="165"/>
      <c r="K76" s="166"/>
      <c r="L76" s="159"/>
      <c r="M76" s="159"/>
    </row>
    <row r="77" spans="2:13">
      <c r="B77" s="165"/>
      <c r="C77" s="166"/>
      <c r="D77" s="166"/>
      <c r="E77" s="166"/>
      <c r="F77" s="166"/>
      <c r="G77" s="166"/>
      <c r="H77" s="165"/>
      <c r="I77" s="165"/>
      <c r="J77" s="165"/>
      <c r="K77" s="166"/>
      <c r="L77" s="159"/>
      <c r="M77" s="159"/>
    </row>
    <row r="78" spans="2:13">
      <c r="B78" s="165"/>
      <c r="C78" s="166"/>
      <c r="D78" s="166"/>
      <c r="E78" s="166"/>
      <c r="F78" s="166"/>
      <c r="G78" s="166"/>
      <c r="H78" s="165"/>
      <c r="I78" s="165"/>
      <c r="J78" s="165"/>
      <c r="K78" s="166"/>
      <c r="L78" s="159"/>
      <c r="M78" s="159"/>
    </row>
    <row r="79" spans="2:13">
      <c r="B79" s="173" t="s">
        <v>175</v>
      </c>
      <c r="C79" s="160">
        <v>0.45</v>
      </c>
      <c r="D79" s="160">
        <v>0.45</v>
      </c>
      <c r="E79" s="160">
        <v>0.1</v>
      </c>
      <c r="F79" s="160">
        <v>0.05</v>
      </c>
      <c r="G79" s="160">
        <v>10</v>
      </c>
      <c r="H79" s="159">
        <v>0.25</v>
      </c>
      <c r="I79" s="159">
        <v>10</v>
      </c>
      <c r="J79" s="159">
        <v>0.25</v>
      </c>
      <c r="K79" s="160"/>
      <c r="L79" s="159">
        <v>0.9</v>
      </c>
      <c r="M79" s="159">
        <v>0.45</v>
      </c>
    </row>
    <row r="80" spans="2:13">
      <c r="B80" s="174"/>
      <c r="C80" s="166"/>
      <c r="D80" s="166"/>
      <c r="E80" s="166"/>
      <c r="F80" s="166"/>
      <c r="G80" s="166"/>
      <c r="H80" s="165"/>
      <c r="I80" s="165"/>
      <c r="J80" s="165"/>
      <c r="K80" s="166"/>
      <c r="L80" s="159"/>
      <c r="M80" s="159"/>
    </row>
    <row r="81" spans="2:13">
      <c r="B81" s="174"/>
      <c r="C81" s="166"/>
      <c r="D81" s="166"/>
      <c r="E81" s="166"/>
      <c r="F81" s="166"/>
      <c r="G81" s="166"/>
      <c r="H81" s="165"/>
      <c r="I81" s="165"/>
      <c r="J81" s="165"/>
      <c r="K81" s="166"/>
      <c r="L81" s="159"/>
      <c r="M81" s="159"/>
    </row>
    <row r="82" spans="2:13">
      <c r="B82" s="174"/>
      <c r="C82" s="166"/>
      <c r="D82" s="166"/>
      <c r="E82" s="166"/>
      <c r="F82" s="166"/>
      <c r="G82" s="166"/>
      <c r="H82" s="165"/>
      <c r="I82" s="165"/>
      <c r="J82" s="165"/>
      <c r="K82" s="166"/>
      <c r="L82" s="159"/>
      <c r="M82" s="159"/>
    </row>
    <row r="83" spans="2:13">
      <c r="B83" s="173" t="s">
        <v>176</v>
      </c>
      <c r="C83" s="160">
        <v>0.45</v>
      </c>
      <c r="D83" s="160">
        <v>0.6</v>
      </c>
      <c r="E83" s="160">
        <v>0.1</v>
      </c>
      <c r="F83" s="160">
        <v>0.05</v>
      </c>
      <c r="G83" s="160">
        <v>10</v>
      </c>
      <c r="H83" s="159">
        <v>0.25</v>
      </c>
      <c r="I83" s="159">
        <v>10</v>
      </c>
      <c r="J83" s="159">
        <v>0.25</v>
      </c>
      <c r="K83" s="160"/>
      <c r="L83" s="159">
        <v>0.9</v>
      </c>
      <c r="M83" s="159">
        <v>0.45</v>
      </c>
    </row>
    <row r="84" spans="2:13">
      <c r="B84" s="174"/>
      <c r="C84" s="166"/>
      <c r="D84" s="166"/>
      <c r="E84" s="166"/>
      <c r="F84" s="166"/>
      <c r="G84" s="166"/>
      <c r="H84" s="165"/>
      <c r="I84" s="165"/>
      <c r="J84" s="165"/>
      <c r="K84" s="166"/>
      <c r="L84" s="159"/>
      <c r="M84" s="159"/>
    </row>
    <row r="85" spans="2:13">
      <c r="B85" s="174"/>
      <c r="C85" s="166"/>
      <c r="D85" s="166"/>
      <c r="E85" s="166"/>
      <c r="F85" s="166"/>
      <c r="G85" s="166"/>
      <c r="H85" s="165"/>
      <c r="I85" s="165"/>
      <c r="J85" s="165"/>
      <c r="K85" s="166"/>
      <c r="L85" s="159"/>
      <c r="M85" s="159"/>
    </row>
    <row r="86" spans="2:13">
      <c r="B86" s="174"/>
      <c r="C86" s="166"/>
      <c r="D86" s="166"/>
      <c r="E86" s="166"/>
      <c r="F86" s="166"/>
      <c r="G86" s="166"/>
      <c r="H86" s="165"/>
      <c r="I86" s="165"/>
      <c r="J86" s="165"/>
      <c r="K86" s="166"/>
      <c r="L86" s="159"/>
      <c r="M86" s="159"/>
    </row>
    <row r="87" spans="2:13">
      <c r="B87" s="173" t="s">
        <v>177</v>
      </c>
      <c r="C87" s="160">
        <v>0.6</v>
      </c>
      <c r="D87" s="160">
        <v>0.6</v>
      </c>
      <c r="E87" s="160">
        <v>0.1</v>
      </c>
      <c r="F87" s="160">
        <v>0.05</v>
      </c>
      <c r="G87" s="160">
        <v>10</v>
      </c>
      <c r="H87" s="159">
        <v>0.25</v>
      </c>
      <c r="I87" s="159">
        <v>10</v>
      </c>
      <c r="J87" s="159">
        <v>0.25</v>
      </c>
      <c r="K87" s="160"/>
      <c r="L87" s="159">
        <v>0.9</v>
      </c>
      <c r="M87" s="159">
        <v>0.45</v>
      </c>
    </row>
    <row r="88" spans="2:13">
      <c r="B88" s="174"/>
      <c r="C88" s="166"/>
      <c r="D88" s="166"/>
      <c r="E88" s="166"/>
      <c r="F88" s="166"/>
      <c r="G88" s="166"/>
      <c r="H88" s="165"/>
      <c r="I88" s="165"/>
      <c r="J88" s="165"/>
      <c r="K88" s="166"/>
      <c r="L88" s="159"/>
      <c r="M88" s="159"/>
    </row>
    <row r="89" spans="2:13">
      <c r="B89" s="174"/>
      <c r="C89" s="166"/>
      <c r="D89" s="166"/>
      <c r="E89" s="166"/>
      <c r="F89" s="166"/>
      <c r="G89" s="166"/>
      <c r="H89" s="165"/>
      <c r="I89" s="165"/>
      <c r="J89" s="165"/>
      <c r="K89" s="166"/>
      <c r="L89" s="159"/>
      <c r="M89" s="159"/>
    </row>
    <row r="90" spans="2:13">
      <c r="B90" s="174"/>
      <c r="C90" s="166"/>
      <c r="D90" s="166"/>
      <c r="E90" s="166"/>
      <c r="F90" s="166"/>
      <c r="G90" s="166"/>
      <c r="H90" s="165"/>
      <c r="I90" s="165"/>
      <c r="J90" s="165"/>
      <c r="K90" s="166"/>
      <c r="L90" s="159"/>
      <c r="M90" s="159"/>
    </row>
    <row r="91" spans="2:13">
      <c r="B91" s="173" t="s">
        <v>178</v>
      </c>
      <c r="C91" s="160">
        <v>0.8</v>
      </c>
      <c r="D91" s="160">
        <v>0.8</v>
      </c>
      <c r="E91" s="160">
        <v>0.1</v>
      </c>
      <c r="F91" s="160">
        <v>0.05</v>
      </c>
      <c r="G91" s="160">
        <v>10</v>
      </c>
      <c r="H91" s="159">
        <v>0.25</v>
      </c>
      <c r="I91" s="159">
        <v>10</v>
      </c>
      <c r="J91" s="159">
        <v>0.25</v>
      </c>
      <c r="K91" s="160"/>
      <c r="L91" s="159">
        <v>0.9</v>
      </c>
      <c r="M91" s="159">
        <v>0.45</v>
      </c>
    </row>
    <row r="92" spans="2:13">
      <c r="B92" s="174"/>
      <c r="C92" s="166"/>
      <c r="D92" s="166"/>
      <c r="E92" s="166"/>
      <c r="F92" s="166"/>
      <c r="G92" s="166"/>
      <c r="H92" s="165"/>
      <c r="I92" s="165"/>
      <c r="J92" s="165"/>
      <c r="K92" s="166"/>
      <c r="L92" s="159"/>
      <c r="M92" s="159"/>
    </row>
    <row r="93" spans="2:13">
      <c r="B93" s="174"/>
      <c r="C93" s="166"/>
      <c r="D93" s="166"/>
      <c r="E93" s="166"/>
      <c r="F93" s="166"/>
      <c r="G93" s="166"/>
      <c r="H93" s="165"/>
      <c r="I93" s="165"/>
      <c r="J93" s="165"/>
      <c r="K93" s="166"/>
      <c r="L93" s="159"/>
      <c r="M93" s="159"/>
    </row>
    <row r="94" spans="2:13">
      <c r="B94" s="174"/>
      <c r="C94" s="166"/>
      <c r="D94" s="166"/>
      <c r="E94" s="166"/>
      <c r="F94" s="166"/>
      <c r="G94" s="166"/>
      <c r="H94" s="165"/>
      <c r="I94" s="165"/>
      <c r="J94" s="165"/>
      <c r="K94" s="166"/>
      <c r="L94" s="159"/>
      <c r="M94" s="159"/>
    </row>
    <row r="95" spans="2:13">
      <c r="B95" s="173" t="s">
        <v>179</v>
      </c>
      <c r="C95" s="160">
        <v>1</v>
      </c>
      <c r="D95" s="160">
        <v>0.75</v>
      </c>
      <c r="E95" s="160">
        <v>0.125</v>
      </c>
      <c r="F95" s="160">
        <v>0.05</v>
      </c>
      <c r="G95" s="160">
        <v>10</v>
      </c>
      <c r="H95" s="159">
        <v>0.25</v>
      </c>
      <c r="I95" s="159">
        <v>10</v>
      </c>
      <c r="J95" s="159">
        <v>0.25</v>
      </c>
      <c r="K95" s="160"/>
      <c r="L95" s="159">
        <v>0.9</v>
      </c>
      <c r="M95" s="159">
        <v>0.45</v>
      </c>
    </row>
    <row r="96" spans="2:13">
      <c r="B96" s="174"/>
      <c r="C96" s="166"/>
      <c r="D96" s="166"/>
      <c r="E96" s="166"/>
      <c r="F96" s="166"/>
      <c r="G96" s="166"/>
      <c r="H96" s="165"/>
      <c r="I96" s="165"/>
      <c r="J96" s="165"/>
      <c r="K96" s="166"/>
      <c r="L96" s="159"/>
      <c r="M96" s="159"/>
    </row>
    <row r="97" spans="2:21">
      <c r="B97" s="174"/>
      <c r="C97" s="166"/>
      <c r="D97" s="166"/>
      <c r="E97" s="166"/>
      <c r="F97" s="166"/>
      <c r="G97" s="166"/>
      <c r="H97" s="165"/>
      <c r="I97" s="165"/>
      <c r="J97" s="165"/>
      <c r="K97" s="166"/>
      <c r="L97" s="159"/>
      <c r="M97" s="159"/>
    </row>
    <row r="98" spans="2:21">
      <c r="B98" s="174"/>
      <c r="C98" s="166"/>
      <c r="D98" s="166"/>
      <c r="E98" s="166"/>
      <c r="F98" s="166"/>
      <c r="G98" s="166"/>
      <c r="H98" s="165"/>
      <c r="I98" s="165"/>
      <c r="J98" s="165"/>
      <c r="K98" s="166"/>
      <c r="L98" s="159"/>
      <c r="M98" s="159"/>
    </row>
    <row r="99" spans="2:21">
      <c r="B99" s="165"/>
      <c r="C99" s="166"/>
      <c r="D99" s="166"/>
      <c r="E99" s="166"/>
      <c r="F99" s="166"/>
      <c r="G99" s="166"/>
      <c r="H99" s="165"/>
      <c r="I99" s="165"/>
      <c r="J99" s="165"/>
      <c r="K99" s="166"/>
      <c r="L99" s="159"/>
      <c r="M99" s="159"/>
    </row>
    <row r="100" spans="2:21">
      <c r="B100" s="175"/>
      <c r="C100" s="175"/>
      <c r="D100" s="175"/>
      <c r="E100" s="175"/>
      <c r="F100" s="175"/>
      <c r="G100" s="175"/>
      <c r="H100" s="175"/>
      <c r="I100" s="175"/>
      <c r="J100" s="175"/>
      <c r="K100" s="176"/>
      <c r="L100" s="175"/>
      <c r="M100" s="175"/>
    </row>
    <row r="103" spans="2:21">
      <c r="K103" s="177" t="s">
        <v>180</v>
      </c>
      <c r="L103" s="768" t="s">
        <v>181</v>
      </c>
      <c r="M103" s="769"/>
      <c r="N103" s="769"/>
      <c r="O103" s="769"/>
      <c r="P103" s="769"/>
      <c r="Q103" s="769"/>
      <c r="R103" s="769"/>
      <c r="S103" s="770"/>
    </row>
    <row r="104" spans="2:21">
      <c r="B104" s="177" t="s">
        <v>182</v>
      </c>
      <c r="K104" s="178">
        <v>1</v>
      </c>
      <c r="L104" s="763" t="s">
        <v>7</v>
      </c>
      <c r="M104" s="771"/>
      <c r="N104" s="764"/>
      <c r="O104" s="763" t="s">
        <v>6</v>
      </c>
      <c r="P104" s="771"/>
      <c r="Q104" s="764"/>
      <c r="R104" s="763" t="s">
        <v>183</v>
      </c>
      <c r="S104" s="764"/>
    </row>
    <row r="105" spans="2:21">
      <c r="D105" s="179" t="s">
        <v>184</v>
      </c>
      <c r="E105" s="180" t="s">
        <v>1</v>
      </c>
      <c r="G105" s="181" t="s">
        <v>185</v>
      </c>
      <c r="H105" s="181" t="s">
        <v>186</v>
      </c>
      <c r="I105" s="181" t="s">
        <v>187</v>
      </c>
      <c r="J105" s="181" t="s">
        <v>188</v>
      </c>
      <c r="K105" s="181" t="s">
        <v>189</v>
      </c>
      <c r="L105" s="763" t="s">
        <v>190</v>
      </c>
      <c r="M105" s="764"/>
      <c r="N105" s="182" t="s">
        <v>1</v>
      </c>
      <c r="O105" s="763" t="s">
        <v>190</v>
      </c>
      <c r="P105" s="764"/>
      <c r="Q105" s="182" t="s">
        <v>1</v>
      </c>
      <c r="R105" s="182" t="s">
        <v>1</v>
      </c>
      <c r="S105" s="182" t="s">
        <v>117</v>
      </c>
    </row>
    <row r="106" spans="2:21" ht="16.5" hidden="1" customHeight="1">
      <c r="B106" s="153" t="s">
        <v>191</v>
      </c>
      <c r="C106" s="177" t="s">
        <v>192</v>
      </c>
      <c r="E106" s="183">
        <f>62.33+67.78</f>
        <v>130.11000000000001</v>
      </c>
      <c r="G106" s="184">
        <f>+E106*(C6+E6*2+1.5)</f>
        <v>260.22000000000003</v>
      </c>
      <c r="H106" s="184">
        <f>+E106*(C6+E6*2)*(D6+E6+F6)</f>
        <v>29.274750000000004</v>
      </c>
      <c r="I106" s="185">
        <f>+(C6+E6*2)*E106*F6</f>
        <v>3.2527500000000007</v>
      </c>
      <c r="J106" s="185">
        <f>+E106*((C6+E6*2)*E6+(D6*E6*2))</f>
        <v>14.312100000000001</v>
      </c>
      <c r="K106" s="185">
        <f>+(D6+$K$104*(D6+E6))*E106*2</f>
        <v>182.154</v>
      </c>
      <c r="L106" s="186">
        <f>+(E106)/H6+ IF(E106&gt;0,1,0)</f>
        <v>651.55000000000007</v>
      </c>
      <c r="M106" s="187">
        <f>+ROUNDUP(L106,0)</f>
        <v>652</v>
      </c>
      <c r="N106" s="188">
        <f>+(D6+E6-0.08)*2+(C6+E6*2-0.08)</f>
        <v>1.06</v>
      </c>
      <c r="O106" s="186">
        <f>+N106/J6+1</f>
        <v>5.24</v>
      </c>
      <c r="P106" s="187">
        <f>+ROUNDUP(O106,0)</f>
        <v>6</v>
      </c>
      <c r="Q106" s="187">
        <f>+E106+E106/6*50*(G6/1000)</f>
        <v>140.95250000000001</v>
      </c>
      <c r="R106" s="189">
        <f>+N106*M106+P106*Q106</f>
        <v>1536.835</v>
      </c>
      <c r="S106" s="185">
        <f>((I6*I6)/162)*R106</f>
        <v>948.66358024691351</v>
      </c>
      <c r="T106" s="153" t="s">
        <v>193</v>
      </c>
    </row>
    <row r="107" spans="2:21" ht="3" hidden="1" customHeight="1">
      <c r="C107" s="153" t="s">
        <v>138</v>
      </c>
      <c r="D107" s="190">
        <f>ROUNDUP(+E106/K6,0)</f>
        <v>44</v>
      </c>
      <c r="E107" s="183"/>
      <c r="G107" s="191"/>
      <c r="H107" s="191"/>
      <c r="I107" s="190"/>
      <c r="J107" s="190">
        <f>0.5*(0.075+0.05)*0.075*C6*D107</f>
        <v>6.1874999999999999E-2</v>
      </c>
      <c r="K107" s="190">
        <f>+(0.075+0.08)*C6*D107</f>
        <v>2.0459999999999998</v>
      </c>
      <c r="L107" s="192">
        <f>+D107</f>
        <v>44</v>
      </c>
      <c r="M107" s="187">
        <f>+ROUNDUP(L107,0)</f>
        <v>44</v>
      </c>
      <c r="N107" s="193">
        <f>+(C6-0.08)+((0.075+0.05-0.04)*2)</f>
        <v>0.38999999999999996</v>
      </c>
      <c r="O107" s="192"/>
      <c r="P107" s="194"/>
      <c r="Q107" s="194"/>
      <c r="R107" s="189">
        <f>+N107*M107+P107*Q107</f>
        <v>17.159999999999997</v>
      </c>
      <c r="S107" s="185">
        <f>((I6*I6)/162)*R107</f>
        <v>10.59259259259259</v>
      </c>
      <c r="T107" s="153" t="s">
        <v>193</v>
      </c>
      <c r="U107" s="190">
        <f>S106+S107</f>
        <v>959.25617283950612</v>
      </c>
    </row>
    <row r="108" spans="2:21">
      <c r="E108" s="183"/>
    </row>
    <row r="109" spans="2:21">
      <c r="B109" s="306" t="s">
        <v>191</v>
      </c>
      <c r="C109" s="307" t="s">
        <v>194</v>
      </c>
      <c r="E109" s="291">
        <v>96.6</v>
      </c>
      <c r="G109" s="292">
        <f>+E109*(C9+E9*2+3)</f>
        <v>352.59</v>
      </c>
      <c r="H109" s="292">
        <f>+E109*(C9+E9*2)*(D9+E9+F9)</f>
        <v>37.674000000000007</v>
      </c>
      <c r="I109" s="185">
        <f>+(C9+E9*2)*E109*F9</f>
        <v>3.1395</v>
      </c>
      <c r="J109" s="185">
        <f>+E109*((C9+E9*2)*E9+(D9*E9*2))</f>
        <v>14.973000000000003</v>
      </c>
      <c r="K109" s="185">
        <f>+(D9+$K$104*(D9+E9))*E109*2</f>
        <v>193.2</v>
      </c>
      <c r="L109" s="293">
        <f>+(E109)/H9+ IF(E109&gt;0,1,0)</f>
        <v>483.99999999999994</v>
      </c>
      <c r="M109" s="187">
        <f>+ROUNDUP(L109,0)</f>
        <v>484</v>
      </c>
      <c r="N109" s="188">
        <f>+(D9+E9-0.08)*2+(C9+E9*2-0.08)</f>
        <v>1.5100000000000002</v>
      </c>
      <c r="O109" s="293">
        <f>+N109/J9+1</f>
        <v>7.0400000000000009</v>
      </c>
      <c r="P109" s="187">
        <f>+ROUNDUP(O109,0)</f>
        <v>8</v>
      </c>
      <c r="Q109" s="187">
        <f>+E109+E109/6*50*(G9/1000)</f>
        <v>104.64999999999999</v>
      </c>
      <c r="R109" s="294">
        <f>+N109*M109+P109*Q109</f>
        <v>1568.04</v>
      </c>
      <c r="S109" s="185">
        <f>((I9*I9)/162)*R109</f>
        <v>967.92592592592587</v>
      </c>
      <c r="T109" s="153" t="s">
        <v>193</v>
      </c>
    </row>
    <row r="110" spans="2:21">
      <c r="C110" s="153" t="s">
        <v>138</v>
      </c>
      <c r="D110" s="190">
        <f>ROUNDUP(+E109/K9,0)</f>
        <v>33</v>
      </c>
      <c r="E110" s="291"/>
      <c r="G110" s="295"/>
      <c r="H110" s="295"/>
      <c r="I110" s="190"/>
      <c r="J110" s="190">
        <f>0.5*(0.075+0.05)*0.075*C9*D110</f>
        <v>6.9609375000000001E-2</v>
      </c>
      <c r="K110" s="190">
        <f>+(0.075+0.08)*C9*D110</f>
        <v>2.3017500000000002</v>
      </c>
      <c r="L110" s="296">
        <f>+D110</f>
        <v>33</v>
      </c>
      <c r="M110" s="187">
        <f>+ROUNDUP(L110,0)</f>
        <v>33</v>
      </c>
      <c r="N110" s="193">
        <f>+(C9-0.08)+((0.075+0.05-0.04)*2)</f>
        <v>0.54</v>
      </c>
      <c r="O110" s="296"/>
      <c r="P110" s="194"/>
      <c r="Q110" s="194"/>
      <c r="R110" s="294">
        <f>+N110*M110+P110*Q110</f>
        <v>17.82</v>
      </c>
      <c r="S110" s="185">
        <f>((I9*I9)/162)*R110</f>
        <v>11</v>
      </c>
      <c r="T110" s="153" t="s">
        <v>193</v>
      </c>
      <c r="U110" s="190">
        <f>S109+S110</f>
        <v>978.92592592592587</v>
      </c>
    </row>
    <row r="111" spans="2:21">
      <c r="E111" s="291"/>
    </row>
    <row r="112" spans="2:21">
      <c r="B112" s="306" t="s">
        <v>191</v>
      </c>
      <c r="C112" s="307" t="s">
        <v>195</v>
      </c>
      <c r="E112" s="291">
        <v>128.4</v>
      </c>
      <c r="G112" s="292">
        <f>+E112*(C12+E12*2+3)</f>
        <v>487.92</v>
      </c>
      <c r="H112" s="292">
        <f>+E112*(C12+E12*2)*(D12+E12+F12)</f>
        <v>77.040000000000006</v>
      </c>
      <c r="I112" s="185">
        <f>+(C12+E12*2)*E112*F12</f>
        <v>5.136000000000001</v>
      </c>
      <c r="J112" s="185">
        <f>+E112*((C12+E12*2)*E12+(D12*E12*2))</f>
        <v>25.680000000000003</v>
      </c>
      <c r="K112" s="185">
        <f>+(D12+$K$104*(D12+E12))*E112*2</f>
        <v>333.84</v>
      </c>
      <c r="L112" s="293">
        <f>+(E112)/H12+ IF(E112&gt;0,1,0)</f>
        <v>643</v>
      </c>
      <c r="M112" s="187">
        <f>+ROUNDUP(L112,0)</f>
        <v>643</v>
      </c>
      <c r="N112" s="188">
        <f>+(D12+E12-0.08)*2+(C12+E12*2-0.08)</f>
        <v>1.96</v>
      </c>
      <c r="O112" s="293">
        <f>+N112/J12+1</f>
        <v>8.84</v>
      </c>
      <c r="P112" s="187">
        <f>+ROUNDUP(O112,0)</f>
        <v>9</v>
      </c>
      <c r="Q112" s="187">
        <f>+E112+E112/6*50*(G12/1000)</f>
        <v>139.1</v>
      </c>
      <c r="R112" s="294">
        <f>+N112*M112+P112*Q112</f>
        <v>2512.1799999999998</v>
      </c>
      <c r="S112" s="185">
        <f>((I12*I12)/162)*R112</f>
        <v>1550.7283950617282</v>
      </c>
      <c r="T112" s="153" t="s">
        <v>193</v>
      </c>
    </row>
    <row r="113" spans="2:21">
      <c r="C113" s="153" t="s">
        <v>138</v>
      </c>
      <c r="D113" s="190">
        <f>ROUNDUP(+E112/K12,0)</f>
        <v>43</v>
      </c>
      <c r="E113" s="291"/>
      <c r="G113" s="295"/>
      <c r="H113" s="295"/>
      <c r="I113" s="190"/>
      <c r="J113" s="190">
        <f>0.5*(0.075+0.05)*0.075*C12*D113</f>
        <v>0.12093749999999999</v>
      </c>
      <c r="K113" s="190">
        <f>+(0.075+0.08)*C12*D113</f>
        <v>3.9990000000000001</v>
      </c>
      <c r="L113" s="296">
        <f>+D113</f>
        <v>43</v>
      </c>
      <c r="M113" s="187">
        <f>+ROUNDUP(L113,0)</f>
        <v>43</v>
      </c>
      <c r="N113" s="193">
        <f>+(C12-0.08)+((0.075+0.05-0.04)*2)</f>
        <v>0.69</v>
      </c>
      <c r="O113" s="296"/>
      <c r="P113" s="194"/>
      <c r="Q113" s="194"/>
      <c r="R113" s="294">
        <f>+N113*M113+P113*Q113</f>
        <v>29.669999999999998</v>
      </c>
      <c r="S113" s="185">
        <f>((I12*I12)/162)*R113</f>
        <v>18.314814814814813</v>
      </c>
      <c r="T113" s="153" t="s">
        <v>193</v>
      </c>
      <c r="U113" s="190">
        <f>S112+S113</f>
        <v>1569.043209876543</v>
      </c>
    </row>
    <row r="114" spans="2:21">
      <c r="E114" s="291"/>
    </row>
    <row r="115" spans="2:21" hidden="1">
      <c r="B115" s="153" t="s">
        <v>191</v>
      </c>
      <c r="C115" s="177" t="s">
        <v>196</v>
      </c>
      <c r="E115" s="291">
        <f>38.37+14.75+46.92</f>
        <v>100.03999999999999</v>
      </c>
      <c r="G115" s="292">
        <f>+E115*(C15+E15*2+1.5)</f>
        <v>250.09999999999997</v>
      </c>
      <c r="H115" s="292">
        <f>+E115*(C15+E15*2)*(D15+E15+F15)</f>
        <v>92.536999999999992</v>
      </c>
      <c r="I115" s="185">
        <f>+(C15+E15*2)*E115*F15</f>
        <v>5.0019999999999998</v>
      </c>
      <c r="J115" s="185">
        <f>+E115*((C15+E15*2)*E15+(D15*E15*2))</f>
        <v>31.262499999999996</v>
      </c>
      <c r="K115" s="185">
        <f>+(D15+$K$104*(D15+E15))*E115*2</f>
        <v>325.13</v>
      </c>
      <c r="L115" s="293">
        <f>+(E115)/H15+ IF(E115&gt;0,1,0)</f>
        <v>501.19999999999993</v>
      </c>
      <c r="M115" s="187">
        <f>+ROUNDUP(L115,0)</f>
        <v>502</v>
      </c>
      <c r="N115" s="188">
        <f>+(D15+E15-0.08)*2+(C15+E15*2-0.08)</f>
        <v>2.5100000000000002</v>
      </c>
      <c r="O115" s="293">
        <f>+N115/J15+1</f>
        <v>11.040000000000001</v>
      </c>
      <c r="P115" s="187">
        <f>+ROUNDUP(O115,0)</f>
        <v>12</v>
      </c>
      <c r="Q115" s="187">
        <f>+E115+E115/6*50*(G15/1000)</f>
        <v>108.37666666666667</v>
      </c>
      <c r="R115" s="294">
        <f>+N115*M115+P115*Q115</f>
        <v>2560.54</v>
      </c>
      <c r="S115" s="185">
        <f>((I15*I15)/162)*R115</f>
        <v>1580.5802469135801</v>
      </c>
      <c r="T115" s="153" t="s">
        <v>193</v>
      </c>
    </row>
    <row r="116" spans="2:21" hidden="1">
      <c r="C116" s="153" t="s">
        <v>138</v>
      </c>
      <c r="D116" s="190">
        <f>ROUNDUP(+E115/K15,0)</f>
        <v>34</v>
      </c>
      <c r="E116" s="291"/>
      <c r="G116" s="295"/>
      <c r="H116" s="295"/>
      <c r="I116" s="190"/>
      <c r="J116" s="190">
        <f>0.5*(0.075+0.05)*0.075*C15*D116</f>
        <v>0.11953124999999999</v>
      </c>
      <c r="K116" s="190">
        <f>+(0.075+0.08)*C15*D116</f>
        <v>3.9524999999999997</v>
      </c>
      <c r="L116" s="296">
        <f>+D116</f>
        <v>34</v>
      </c>
      <c r="M116" s="187">
        <f>+ROUNDUP(L116,0)</f>
        <v>34</v>
      </c>
      <c r="N116" s="193">
        <f>+(C15-0.08)+((0.075+0.05-0.04)*2)</f>
        <v>0.84000000000000008</v>
      </c>
      <c r="O116" s="296"/>
      <c r="P116" s="194"/>
      <c r="Q116" s="194"/>
      <c r="R116" s="294">
        <f>+N116*M116+P116*Q116</f>
        <v>28.560000000000002</v>
      </c>
      <c r="S116" s="185">
        <f>((I15*I15)/162)*R116</f>
        <v>17.62962962962963</v>
      </c>
      <c r="T116" s="153" t="s">
        <v>193</v>
      </c>
      <c r="U116" s="190">
        <f>S115+S116</f>
        <v>1598.2098765432097</v>
      </c>
    </row>
    <row r="117" spans="2:21" hidden="1">
      <c r="B117" s="153" t="s">
        <v>191</v>
      </c>
      <c r="C117" s="177" t="s">
        <v>197</v>
      </c>
      <c r="E117" s="291">
        <v>73.95</v>
      </c>
      <c r="G117" s="292">
        <f>+E117*(C15+E15*2+1.5)</f>
        <v>184.875</v>
      </c>
      <c r="H117" s="292">
        <f>+E117*(C15+E15*2)*(D15+E15+F15)</f>
        <v>68.403750000000002</v>
      </c>
      <c r="I117" s="185">
        <f>+(C15+E15*2)*E117*F15</f>
        <v>3.6975000000000002</v>
      </c>
      <c r="J117" s="185">
        <f>+E117*((C15+E15*2)*E15+(D15*E15*2))</f>
        <v>23.109375</v>
      </c>
      <c r="K117" s="185">
        <f>+(D15+$K$104*(D15+E15))*E117*2</f>
        <v>240.33750000000001</v>
      </c>
      <c r="L117" s="293">
        <f>+(E117)/H15+ IF(E117&gt;0,1,0)</f>
        <v>370.75</v>
      </c>
      <c r="M117" s="187">
        <f>+ROUNDUP(L117,0)</f>
        <v>371</v>
      </c>
      <c r="N117" s="188">
        <f>+(D15+E15-0.08)*2+(C15+E15*2-0.08)</f>
        <v>2.5100000000000002</v>
      </c>
      <c r="O117" s="293">
        <f>+N117/J15+1</f>
        <v>11.040000000000001</v>
      </c>
      <c r="P117" s="187">
        <f>+ROUNDUP(O117,0)</f>
        <v>12</v>
      </c>
      <c r="Q117" s="187">
        <f>+E117+E117/6*50*(G15/1000)</f>
        <v>80.112499999999997</v>
      </c>
      <c r="R117" s="294">
        <f>+N117*M117+P117*Q117</f>
        <v>1892.56</v>
      </c>
      <c r="S117" s="185">
        <f>((I15*I15)/162)*R117</f>
        <v>1168.2469135802469</v>
      </c>
      <c r="T117" s="153" t="s">
        <v>193</v>
      </c>
    </row>
    <row r="118" spans="2:21" hidden="1">
      <c r="C118" s="153" t="s">
        <v>138</v>
      </c>
      <c r="D118" s="190">
        <f>ROUNDUP(+E117/K15,0)</f>
        <v>25</v>
      </c>
      <c r="E118" s="291"/>
      <c r="G118" s="295"/>
      <c r="H118" s="295"/>
      <c r="I118" s="190"/>
      <c r="J118" s="190">
        <f>0.5*(0.075+0.05)*0.075*C15*D118</f>
        <v>8.7890624999999986E-2</v>
      </c>
      <c r="K118" s="190">
        <f>+(0.075+0.08)*C15*D118</f>
        <v>2.90625</v>
      </c>
      <c r="L118" s="296">
        <f>+D118</f>
        <v>25</v>
      </c>
      <c r="M118" s="187">
        <f>+ROUNDUP(L118,0)</f>
        <v>25</v>
      </c>
      <c r="N118" s="193">
        <f>+(C15-0.08)+((0.075+0.05-0.04)*2)</f>
        <v>0.84000000000000008</v>
      </c>
      <c r="O118" s="296"/>
      <c r="P118" s="194"/>
      <c r="Q118" s="194"/>
      <c r="R118" s="294">
        <f>+N118*M118+P118*Q118</f>
        <v>21.000000000000004</v>
      </c>
      <c r="S118" s="185">
        <f>((I15*I15)/162)*R118</f>
        <v>12.962962962962964</v>
      </c>
      <c r="T118" s="153" t="s">
        <v>193</v>
      </c>
    </row>
    <row r="119" spans="2:21" hidden="1">
      <c r="B119" s="201" t="s">
        <v>198</v>
      </c>
      <c r="D119" s="190"/>
      <c r="E119" s="291"/>
      <c r="G119" s="295"/>
      <c r="H119" s="295"/>
      <c r="I119" s="190"/>
      <c r="J119" s="190"/>
      <c r="K119" s="190"/>
      <c r="L119" s="296"/>
      <c r="M119" s="194"/>
      <c r="N119" s="193"/>
      <c r="O119" s="296"/>
      <c r="P119" s="194"/>
      <c r="Q119" s="194"/>
      <c r="R119" s="297"/>
      <c r="S119" s="190"/>
    </row>
    <row r="120" spans="2:21" hidden="1">
      <c r="C120" s="201" t="s">
        <v>199</v>
      </c>
      <c r="D120" s="190"/>
      <c r="E120" s="291">
        <f>E117*1.1</f>
        <v>81.345000000000013</v>
      </c>
      <c r="G120" s="295"/>
      <c r="H120" s="295"/>
      <c r="I120" s="190"/>
      <c r="J120" s="190"/>
      <c r="K120" s="190"/>
      <c r="L120" s="296"/>
      <c r="M120" s="194"/>
      <c r="N120" s="193"/>
      <c r="O120" s="296"/>
      <c r="P120" s="194"/>
      <c r="Q120" s="194"/>
      <c r="R120" s="297"/>
      <c r="S120" s="190"/>
    </row>
    <row r="121" spans="2:21" hidden="1">
      <c r="C121" s="201" t="s">
        <v>200</v>
      </c>
      <c r="D121" s="190"/>
      <c r="E121" s="291">
        <f>((E117*0.6*0.6)*1.1)-(3.142*0.55*0.055*E117)</f>
        <v>22.255585274999998</v>
      </c>
      <c r="G121" s="295"/>
      <c r="H121" s="295"/>
      <c r="I121" s="190"/>
      <c r="J121" s="190"/>
      <c r="K121" s="190"/>
      <c r="L121" s="296"/>
      <c r="M121" s="194"/>
      <c r="N121" s="193"/>
      <c r="O121" s="296"/>
      <c r="P121" s="194"/>
      <c r="Q121" s="194"/>
      <c r="R121" s="297"/>
      <c r="S121" s="190"/>
    </row>
    <row r="122" spans="2:21" hidden="1"/>
    <row r="123" spans="2:21" hidden="1">
      <c r="B123" s="153" t="s">
        <v>191</v>
      </c>
      <c r="C123" s="177" t="s">
        <v>201</v>
      </c>
      <c r="E123" s="291">
        <f>205*1.1</f>
        <v>225.50000000000003</v>
      </c>
      <c r="G123" s="292">
        <f>+E123*(C18+E18*2+1.5)</f>
        <v>608.85000000000014</v>
      </c>
      <c r="H123" s="292">
        <f>+E123*(C18+E18*2)*(D18+E18+F18)</f>
        <v>297.66000000000003</v>
      </c>
      <c r="I123" s="185">
        <f>+(C18+E18*2)*E123*F18</f>
        <v>13.530000000000001</v>
      </c>
      <c r="J123" s="185">
        <f>+E123*((C18+E18*2)*E18+(D18*E18*2))</f>
        <v>101.47500000000001</v>
      </c>
      <c r="K123" s="185">
        <f>+(D18+$K$104*(D18+E18))*E123*2</f>
        <v>879.45000000000016</v>
      </c>
      <c r="L123" s="293">
        <f>+(E123)/H18+ IF(E123&gt;0,1,0)</f>
        <v>1289.5714285714289</v>
      </c>
      <c r="M123" s="187">
        <f>+ROUNDUP(L123,0)</f>
        <v>1290</v>
      </c>
      <c r="N123" s="188">
        <f>+(D18+E18-0.08)*2+(C18+E18*2-0.08)</f>
        <v>3.06</v>
      </c>
      <c r="O123" s="293">
        <f>+N123/J18+1</f>
        <v>13.24</v>
      </c>
      <c r="P123" s="187">
        <f>+ROUNDUP(O123,0)</f>
        <v>14</v>
      </c>
      <c r="Q123" s="187">
        <f>+E123+E123/6*50*(G18/1000)</f>
        <v>244.29166666666669</v>
      </c>
      <c r="R123" s="294">
        <f>+N123*M123+P123*Q123</f>
        <v>7367.4833333333336</v>
      </c>
      <c r="S123" s="185">
        <f>((I18*I18)/162)*R123</f>
        <v>4547.8292181069955</v>
      </c>
      <c r="T123" s="153" t="s">
        <v>193</v>
      </c>
    </row>
    <row r="124" spans="2:21" hidden="1">
      <c r="C124" s="153" t="s">
        <v>138</v>
      </c>
      <c r="D124" s="190">
        <f>ROUNDUP(+E123/K18,0)</f>
        <v>76</v>
      </c>
      <c r="E124" s="291"/>
      <c r="G124" s="295"/>
      <c r="H124" s="295"/>
      <c r="I124" s="190"/>
      <c r="J124" s="190">
        <f>0.5*(0.075+0.05)*0.075*C18*D124</f>
        <v>0.32062500000000005</v>
      </c>
      <c r="K124" s="190">
        <f>+(0.075+0.08)*C18*D124</f>
        <v>10.602</v>
      </c>
      <c r="L124" s="296">
        <f>+D124</f>
        <v>76</v>
      </c>
      <c r="M124" s="187">
        <f>+ROUNDUP(L124,0)</f>
        <v>76</v>
      </c>
      <c r="N124" s="193">
        <f>+(C18-0.08)+((0.075+0.05-0.04)*2)</f>
        <v>0.99</v>
      </c>
      <c r="O124" s="296"/>
      <c r="P124" s="194"/>
      <c r="Q124" s="194"/>
      <c r="R124" s="294">
        <f>+N124*M124+P124*Q124</f>
        <v>75.239999999999995</v>
      </c>
      <c r="S124" s="185">
        <f>((I18*I18)/162)*R124</f>
        <v>46.444444444444436</v>
      </c>
      <c r="T124" s="153" t="s">
        <v>193</v>
      </c>
    </row>
    <row r="125" spans="2:21" hidden="1"/>
    <row r="126" spans="2:21" hidden="1">
      <c r="B126" s="153" t="s">
        <v>191</v>
      </c>
      <c r="C126" s="177" t="s">
        <v>202</v>
      </c>
      <c r="E126" s="291">
        <f>32.19+61.79</f>
        <v>93.97999999999999</v>
      </c>
      <c r="G126" s="292">
        <f>+E126*(C21+E21*2+3)</f>
        <v>404.11399999999992</v>
      </c>
      <c r="H126" s="292">
        <f>+E126*(C21+E21*2)*(D21+E21+F21)</f>
        <v>146.60879999999997</v>
      </c>
      <c r="I126" s="185">
        <f>+(C21+E21*2)*E126*F21</f>
        <v>6.1086999999999998</v>
      </c>
      <c r="J126" s="185">
        <f>+E126*((C21+E21*2)*E21+(D21*E21*2))</f>
        <v>46.520099999999992</v>
      </c>
      <c r="K126" s="185">
        <f>+(D21+$K$104*(D21+E21))*E126*2</f>
        <v>404.11399999999992</v>
      </c>
      <c r="L126" s="293">
        <f>+(E126)/H21+ IF(E126&gt;0,1,0)</f>
        <v>538.02857142857135</v>
      </c>
      <c r="M126" s="187">
        <f>+ROUNDUP(L126,0)</f>
        <v>539</v>
      </c>
      <c r="N126" s="188">
        <f>+(D21+E21-0.08)*2+(C21+E21*2-0.08)</f>
        <v>3.3599999999999994</v>
      </c>
      <c r="O126" s="293">
        <f>+N126/J21+1</f>
        <v>14.439999999999998</v>
      </c>
      <c r="P126" s="187">
        <f>+ROUNDUP(O126,0)</f>
        <v>15</v>
      </c>
      <c r="Q126" s="187">
        <f>+E126+E126/6*50*(G21/1000)</f>
        <v>101.81166666666665</v>
      </c>
      <c r="R126" s="294">
        <f>+N126*M126+P126*Q126</f>
        <v>3338.2149999999992</v>
      </c>
      <c r="S126" s="185">
        <f>((I21*I21)/162)*R126</f>
        <v>2060.6265432098758</v>
      </c>
      <c r="T126" s="153" t="s">
        <v>193</v>
      </c>
    </row>
    <row r="127" spans="2:21" hidden="1">
      <c r="C127" s="153" t="s">
        <v>138</v>
      </c>
      <c r="D127" s="190">
        <f>ROUNDUP(+E126/K21,0)</f>
        <v>32</v>
      </c>
      <c r="E127" s="291"/>
      <c r="G127" s="295"/>
      <c r="H127" s="295"/>
      <c r="I127" s="190"/>
      <c r="J127" s="190">
        <f>0.5*(0.075+0.05)*0.075*C21*D127</f>
        <v>0.15</v>
      </c>
      <c r="K127" s="190">
        <f>+(0.075+0.08)*C21*D127</f>
        <v>4.96</v>
      </c>
      <c r="L127" s="296">
        <f>+D127</f>
        <v>32</v>
      </c>
      <c r="M127" s="187">
        <f>+ROUNDUP(L127,0)</f>
        <v>32</v>
      </c>
      <c r="N127" s="193">
        <f>+(C21-0.08)+((0.075+0.05-0.04)*2)</f>
        <v>1.0900000000000001</v>
      </c>
      <c r="O127" s="296"/>
      <c r="P127" s="194"/>
      <c r="Q127" s="194"/>
      <c r="R127" s="294">
        <f>+N127*M127+P127*Q127</f>
        <v>34.880000000000003</v>
      </c>
      <c r="S127" s="185">
        <f>((I21*I21)/162)*R127</f>
        <v>21.530864197530864</v>
      </c>
      <c r="T127" s="153" t="s">
        <v>193</v>
      </c>
    </row>
    <row r="128" spans="2:21" hidden="1"/>
    <row r="129" spans="2:21" hidden="1">
      <c r="B129" s="153" t="s">
        <v>191</v>
      </c>
      <c r="C129" s="177" t="s">
        <v>203</v>
      </c>
      <c r="E129" s="291">
        <f>205*1.1</f>
        <v>225.50000000000003</v>
      </c>
      <c r="G129" s="292">
        <f>+E129*(C24+E24*2+1.5)</f>
        <v>451.00000000000006</v>
      </c>
      <c r="H129" s="292">
        <f>+E129*(C24+E24*2)*(((D24+E24+F24)*2+0.1)/2)</f>
        <v>56.375000000000007</v>
      </c>
      <c r="I129" s="185">
        <f>+(C24+E24*2)*E129*F24</f>
        <v>5.6375000000000011</v>
      </c>
      <c r="J129" s="185">
        <f>+E129*((C24+E24*2)*E24+(D24*E24)+((D24+0.1)*E24))</f>
        <v>27.060000000000006</v>
      </c>
      <c r="K129" s="185">
        <f>+((D24*2)+$K$104*((D24+E24)+(D24+E24+0.1)))*E129</f>
        <v>338.25000000000006</v>
      </c>
      <c r="L129" s="293">
        <f>+(E129)/H24+ IF(E129&gt;0,1,0)</f>
        <v>1128.5</v>
      </c>
      <c r="M129" s="187">
        <f>+ROUNDUP(L129,0)</f>
        <v>1129</v>
      </c>
      <c r="N129" s="188">
        <f>+(D24+E24-0.08)+(D24+E24+0.1-0.08)+(C24+E24*2-0.08)</f>
        <v>1.1599999999999999</v>
      </c>
      <c r="O129" s="293">
        <f>+N129/J24+1</f>
        <v>5.64</v>
      </c>
      <c r="P129" s="187">
        <f>+ROUNDUP(O129,0)</f>
        <v>6</v>
      </c>
      <c r="Q129" s="187">
        <f>+E129+E129/6*50*(G24/1000)</f>
        <v>244.29166666666669</v>
      </c>
      <c r="R129" s="294">
        <f>+N129*M129+P129*Q129</f>
        <v>2775.39</v>
      </c>
      <c r="S129" s="185">
        <f>((I24*I24)/162)*R129</f>
        <v>1713.2037037037035</v>
      </c>
      <c r="T129" s="153" t="s">
        <v>193</v>
      </c>
    </row>
    <row r="130" spans="2:21" hidden="1">
      <c r="C130" s="153" t="s">
        <v>138</v>
      </c>
      <c r="D130" s="190">
        <f>ROUNDUP(+E129/K24,0)</f>
        <v>76</v>
      </c>
      <c r="E130" s="291"/>
      <c r="G130" s="295"/>
      <c r="H130" s="295"/>
      <c r="I130" s="190"/>
      <c r="J130" s="190">
        <f>0.5*(0.075+0.05)*0.075*C24*D130</f>
        <v>0.106875</v>
      </c>
      <c r="K130" s="190">
        <f>+(0.075+0.08)*C24*D130</f>
        <v>3.5339999999999998</v>
      </c>
      <c r="L130" s="296">
        <f>+D130</f>
        <v>76</v>
      </c>
      <c r="M130" s="187">
        <f>+ROUNDUP(L130,0)</f>
        <v>76</v>
      </c>
      <c r="N130" s="193">
        <f>+(C24-0.08)+((0.075+0.05-0.04)*2)</f>
        <v>0.38999999999999996</v>
      </c>
      <c r="O130" s="296"/>
      <c r="P130" s="194"/>
      <c r="Q130" s="194"/>
      <c r="R130" s="294">
        <f>+N130*M130+P130*Q130</f>
        <v>29.639999999999997</v>
      </c>
      <c r="S130" s="185">
        <f>((I24*I24)/162)*R130</f>
        <v>18.296296296296294</v>
      </c>
      <c r="T130" s="153" t="s">
        <v>193</v>
      </c>
    </row>
    <row r="131" spans="2:21" hidden="1"/>
    <row r="132" spans="2:21" hidden="1">
      <c r="B132" s="153" t="s">
        <v>191</v>
      </c>
      <c r="C132" s="177" t="s">
        <v>204</v>
      </c>
      <c r="E132" s="291">
        <f>41.61*1.1</f>
        <v>45.771000000000001</v>
      </c>
      <c r="G132" s="292">
        <f>+E132*(C27+E27*2+1.5)</f>
        <v>105.27329999999999</v>
      </c>
      <c r="H132" s="292">
        <f>+E132*(C27+E27*2)*(((D27+E27+F27)*2+0.1)/2)</f>
        <v>29.293440000000004</v>
      </c>
      <c r="I132" s="185">
        <f>+(C27+E27*2)*E132*F27</f>
        <v>1.8308400000000002</v>
      </c>
      <c r="J132" s="185">
        <f>+E132*((C27+E27*2)*E27+(D27*E27)+((D27+0.1)*E27))</f>
        <v>9.6119100000000017</v>
      </c>
      <c r="K132" s="185">
        <f>+((D27*2)+$K$104*((D27+E27)+(D27+E27+0.1)))*E132</f>
        <v>123.58170000000001</v>
      </c>
      <c r="L132" s="293">
        <f>+(E132)/H27+ IF(E132&gt;0,1,0)</f>
        <v>229.85499999999999</v>
      </c>
      <c r="M132" s="187">
        <f>+ROUNDUP(L132,0)</f>
        <v>230</v>
      </c>
      <c r="N132" s="188">
        <f>+(D27+E27-0.08)+(D27+E27+0.1-0.08)+(C27+E27*2-0.08)</f>
        <v>2.06</v>
      </c>
      <c r="O132" s="293">
        <f>+N132/J27+1</f>
        <v>9.24</v>
      </c>
      <c r="P132" s="187">
        <f>+ROUNDUP(O132,0)</f>
        <v>10</v>
      </c>
      <c r="Q132" s="187">
        <f>+E132+E132/6*50*(G27/1000)</f>
        <v>49.585250000000002</v>
      </c>
      <c r="R132" s="294">
        <f>+N132*M132+P132*Q132</f>
        <v>969.65250000000003</v>
      </c>
      <c r="S132" s="185">
        <f>((I27*I27)/162)*R132</f>
        <v>598.55092592592587</v>
      </c>
      <c r="T132" s="153" t="s">
        <v>193</v>
      </c>
    </row>
    <row r="133" spans="2:21" hidden="1">
      <c r="C133" s="153" t="s">
        <v>138</v>
      </c>
      <c r="D133" s="190">
        <f>ROUNDUP(+E132/K27,0)</f>
        <v>16</v>
      </c>
      <c r="E133" s="291"/>
      <c r="G133" s="295"/>
      <c r="H133" s="295"/>
      <c r="I133" s="190"/>
      <c r="J133" s="190">
        <f>0.5*(0.075+0.05)*0.075*C27*D133</f>
        <v>4.4999999999999998E-2</v>
      </c>
      <c r="K133" s="190">
        <f>+(0.075+0.08)*C27*D133</f>
        <v>1.488</v>
      </c>
      <c r="L133" s="296">
        <f>+D133</f>
        <v>16</v>
      </c>
      <c r="M133" s="187">
        <f>+ROUNDUP(L133,0)</f>
        <v>16</v>
      </c>
      <c r="N133" s="193">
        <f>+(C27-0.08)+((0.075+0.05-0.04)*2)</f>
        <v>0.69</v>
      </c>
      <c r="O133" s="296"/>
      <c r="P133" s="194"/>
      <c r="Q133" s="194"/>
      <c r="R133" s="294">
        <f>+N133*M133+P133*Q133</f>
        <v>11.04</v>
      </c>
      <c r="S133" s="185">
        <f>((I27*I27)/162)*R133</f>
        <v>6.814814814814814</v>
      </c>
      <c r="T133" s="153" t="s">
        <v>193</v>
      </c>
    </row>
    <row r="134" spans="2:21" hidden="1"/>
    <row r="135" spans="2:21">
      <c r="B135" s="306" t="s">
        <v>191</v>
      </c>
      <c r="C135" s="307" t="s">
        <v>205</v>
      </c>
      <c r="E135" s="291">
        <v>96.9</v>
      </c>
      <c r="G135" s="292">
        <f>+E135*(C30+E30*2+3)</f>
        <v>339.15000000000003</v>
      </c>
      <c r="H135" s="292">
        <f>+E135*(C30+E30*2)*(((D30+E30+F30)*2+0.1)/2)</f>
        <v>24.225000000000001</v>
      </c>
      <c r="I135" s="185">
        <f>+(C30+E30*2)*E135*F30</f>
        <v>2.4225000000000003</v>
      </c>
      <c r="J135" s="185">
        <f>+E135*((C30+E30*2)*E30+(D30*E30)+((D30+0.1)*E30))</f>
        <v>11.628000000000002</v>
      </c>
      <c r="K135" s="185">
        <f>+((D30*2)+$K$104*((D30+E30)+(D30+E30+0.1)))*E135</f>
        <v>145.35000000000002</v>
      </c>
      <c r="L135" s="293">
        <f>+(E135)/H30+ IF(E135&gt;0,1,0)</f>
        <v>388.6</v>
      </c>
      <c r="M135" s="187">
        <f>+ROUNDUP(L135,0)</f>
        <v>389</v>
      </c>
      <c r="N135" s="188">
        <f>+(D30+E30-0.08)+(D30+E30+0.1-0.08)+(C30+E30*2-0.08)</f>
        <v>1.1599999999999999</v>
      </c>
      <c r="O135" s="293">
        <f>+N135/J30+1</f>
        <v>5.64</v>
      </c>
      <c r="P135" s="187">
        <f>+ROUNDUP(O135,0)</f>
        <v>6</v>
      </c>
      <c r="Q135" s="187">
        <f>+E135+E135/6*50*(G30/1000)</f>
        <v>104.97500000000001</v>
      </c>
      <c r="R135" s="294">
        <f>+N135*M135+P135*Q135</f>
        <v>1081.0899999999999</v>
      </c>
      <c r="S135" s="185">
        <f>((I30*I30)/162)*R135</f>
        <v>667.33950617283938</v>
      </c>
      <c r="T135" s="153" t="s">
        <v>193</v>
      </c>
    </row>
    <row r="136" spans="2:21">
      <c r="C136" s="153" t="s">
        <v>158</v>
      </c>
      <c r="D136" s="190"/>
      <c r="E136" s="291">
        <f>+E135</f>
        <v>96.9</v>
      </c>
      <c r="G136" s="292">
        <f>+E136*(C30+E30*2+3)</f>
        <v>339.15000000000003</v>
      </c>
      <c r="H136" s="295">
        <f>+E136*C31*E31</f>
        <v>14.535000000000004</v>
      </c>
      <c r="I136" s="190"/>
      <c r="J136" s="190">
        <f>+E136*C31*E31</f>
        <v>14.535000000000004</v>
      </c>
      <c r="K136" s="190">
        <f>+E136*E31</f>
        <v>9.6900000000000013</v>
      </c>
      <c r="L136" s="293">
        <f>+(E136)/H31+ IF(E136&gt;0,1,0)</f>
        <v>388.6</v>
      </c>
      <c r="M136" s="187">
        <f>+ROUNDUP(L136,0)</f>
        <v>389</v>
      </c>
      <c r="N136" s="188">
        <f>+C31-0.04</f>
        <v>1.46</v>
      </c>
      <c r="O136" s="293">
        <f>+N136/J31+1</f>
        <v>10.733333333333334</v>
      </c>
      <c r="P136" s="187">
        <f>+ROUNDUP(O136,0)</f>
        <v>11</v>
      </c>
      <c r="Q136" s="187">
        <f>+E136+E136/6*50*(G31/1000)</f>
        <v>104.97500000000001</v>
      </c>
      <c r="R136" s="294">
        <f>+N136*M136+P136*Q136</f>
        <v>1722.665</v>
      </c>
      <c r="S136" s="185">
        <f>((I31*I31)/162)*R136</f>
        <v>1063.3734567901233</v>
      </c>
      <c r="T136" s="153" t="s">
        <v>193</v>
      </c>
      <c r="U136" s="190">
        <f>S135+S136</f>
        <v>1730.7129629629626</v>
      </c>
    </row>
    <row r="137" spans="2:21" hidden="1">
      <c r="N137" s="188"/>
    </row>
    <row r="138" spans="2:21" hidden="1">
      <c r="B138" s="153" t="s">
        <v>191</v>
      </c>
      <c r="C138" s="177" t="s">
        <v>206</v>
      </c>
      <c r="E138" s="291">
        <f>205*1.1</f>
        <v>225.50000000000003</v>
      </c>
      <c r="G138" s="292">
        <f>+E138*(C33+E33*2+0.5)</f>
        <v>259.32499999999999</v>
      </c>
      <c r="H138" s="292">
        <f>+E138*(C33+E33*2)*(((D33+E33+F33)*2+0.1)/2)</f>
        <v>95.273750000000035</v>
      </c>
      <c r="I138" s="185">
        <f>+(C33+E33*2)*E138*F33</f>
        <v>7.3287500000000012</v>
      </c>
      <c r="J138" s="185">
        <f>+E138*((C33+E33*2)*E33+(D33*E33)+((D33+0.1)*E33))</f>
        <v>37.20750000000001</v>
      </c>
      <c r="K138" s="185">
        <f>+((D33*2)+$K$104*((D33+E33)+(D33+E33+0.1)))*E138</f>
        <v>473.55000000000007</v>
      </c>
      <c r="L138" s="293">
        <f>+(E138)/H33+ IF(E138&gt;0,1,0)</f>
        <v>903.00000000000011</v>
      </c>
      <c r="M138" s="187">
        <f>+ROUNDUP(L138,0)</f>
        <v>903</v>
      </c>
      <c r="N138" s="188">
        <f>+(D33+E33-0.08)+(D33+E33+0.1-0.08)+(C33+E33*2-0.08)</f>
        <v>1.61</v>
      </c>
      <c r="O138" s="293">
        <f>+N138/J33+1</f>
        <v>7.44</v>
      </c>
      <c r="P138" s="187">
        <f>+ROUNDUP(O138,0)</f>
        <v>8</v>
      </c>
      <c r="Q138" s="187">
        <f>+E138+E138/6*50*(G33/1000)</f>
        <v>244.29166666666669</v>
      </c>
      <c r="R138" s="294">
        <f>+N138*M138+P138*Q138</f>
        <v>3408.1633333333339</v>
      </c>
      <c r="S138" s="185">
        <f>((I33*I33)/162)*R138</f>
        <v>2103.8045267489715</v>
      </c>
      <c r="T138" s="153" t="s">
        <v>193</v>
      </c>
    </row>
    <row r="139" spans="2:21" hidden="1">
      <c r="C139" s="153" t="s">
        <v>158</v>
      </c>
      <c r="D139" s="190"/>
      <c r="E139" s="291">
        <f>+E138</f>
        <v>225.50000000000003</v>
      </c>
      <c r="G139" s="292">
        <f>+E139*(C34+0.5)</f>
        <v>451.00000000000006</v>
      </c>
      <c r="H139" s="295">
        <f>+E139*C34*E34</f>
        <v>33.82500000000001</v>
      </c>
      <c r="I139" s="190"/>
      <c r="J139" s="190">
        <f>+E139*C34*E34</f>
        <v>33.82500000000001</v>
      </c>
      <c r="K139" s="190">
        <f>+E139*E34</f>
        <v>22.550000000000004</v>
      </c>
      <c r="L139" s="293">
        <f>+(E139)/H34+ IF(E139&gt;0,1,0)</f>
        <v>903.00000000000011</v>
      </c>
      <c r="M139" s="187">
        <f>+ROUNDUP(L139,0)</f>
        <v>903</v>
      </c>
      <c r="N139" s="188">
        <f>+C34-0.04</f>
        <v>1.46</v>
      </c>
      <c r="O139" s="293">
        <f>+N139/J34+1</f>
        <v>10.733333333333334</v>
      </c>
      <c r="P139" s="187">
        <f>+ROUNDUP(O139,0)</f>
        <v>11</v>
      </c>
      <c r="Q139" s="187">
        <f>+E139+E139/6*50*(G34/1000)</f>
        <v>244.29166666666669</v>
      </c>
      <c r="R139" s="294">
        <f>+N139*M139+P139*Q139</f>
        <v>4005.5883333333331</v>
      </c>
      <c r="S139" s="185">
        <f>((I34*I34)/162)*R139</f>
        <v>2472.5853909465018</v>
      </c>
      <c r="T139" s="153" t="s">
        <v>193</v>
      </c>
    </row>
    <row r="140" spans="2:21" hidden="1">
      <c r="N140" s="188"/>
    </row>
    <row r="141" spans="2:21" hidden="1">
      <c r="B141" s="153" t="s">
        <v>191</v>
      </c>
      <c r="C141" s="177" t="s">
        <v>207</v>
      </c>
      <c r="E141" s="291">
        <f>205*1.1</f>
        <v>225.50000000000003</v>
      </c>
      <c r="G141" s="292">
        <f>+E141*(C36+E36*2+0.5)</f>
        <v>383.35</v>
      </c>
      <c r="H141" s="292">
        <f>+E141*(C36+E36*2)*(((D36+E36+F36)*2+0.1)/2)</f>
        <v>94.710000000000008</v>
      </c>
      <c r="I141" s="185">
        <f>+(C36+E36*2)*E141*F36</f>
        <v>13.530000000000001</v>
      </c>
      <c r="J141" s="185">
        <f>+E141*((C36+E36*2)*E36+(D36*E36)+((D36+0.1)*E36))</f>
        <v>36.080000000000005</v>
      </c>
      <c r="K141" s="185">
        <f>+((D36*2)+$K$104*((D36+E36)+(D36+E36+0.1)))*E141</f>
        <v>202.95000000000002</v>
      </c>
      <c r="L141" s="293">
        <f>+(E141)/H36+ IF(E141&gt;0,1,0)</f>
        <v>903.00000000000011</v>
      </c>
      <c r="M141" s="187">
        <f>+ROUNDUP(L141,0)</f>
        <v>903</v>
      </c>
      <c r="N141" s="188">
        <f>+(D36+E36-0.08)+(D36+E36+0.1-0.08)+(C36+E36*2-0.08)</f>
        <v>1.5599999999999998</v>
      </c>
      <c r="O141" s="293">
        <f>+N141/J36+1</f>
        <v>7.2399999999999993</v>
      </c>
      <c r="P141" s="187">
        <f>+ROUNDUP(O141,0)</f>
        <v>8</v>
      </c>
      <c r="Q141" s="187">
        <f>+E141+E141/6*50*(G36/1000)</f>
        <v>244.29166666666669</v>
      </c>
      <c r="R141" s="294">
        <f>+N141*M141+P141*Q141</f>
        <v>3363.0133333333333</v>
      </c>
      <c r="S141" s="185">
        <f>((I36*I36)/162)*R141</f>
        <v>2075.9341563786006</v>
      </c>
      <c r="T141" s="153" t="s">
        <v>193</v>
      </c>
    </row>
    <row r="142" spans="2:21" hidden="1">
      <c r="C142" s="153" t="s">
        <v>158</v>
      </c>
      <c r="D142" s="190"/>
      <c r="E142" s="291">
        <f>+E141</f>
        <v>225.50000000000003</v>
      </c>
      <c r="G142" s="292">
        <f>+E142*(C37+0.5)</f>
        <v>451.00000000000006</v>
      </c>
      <c r="H142" s="295">
        <f>+E142*C37*E37</f>
        <v>33.82500000000001</v>
      </c>
      <c r="I142" s="190"/>
      <c r="J142" s="190">
        <f>+E142*C37*E37</f>
        <v>33.82500000000001</v>
      </c>
      <c r="K142" s="190">
        <f>+E142*E37</f>
        <v>22.550000000000004</v>
      </c>
      <c r="L142" s="293">
        <f>+(E142)/H37+ IF(E142&gt;0,1,0)</f>
        <v>903.00000000000011</v>
      </c>
      <c r="M142" s="187">
        <f>+ROUNDUP(L142,0)</f>
        <v>903</v>
      </c>
      <c r="N142" s="188">
        <f>+C37-0.04</f>
        <v>1.46</v>
      </c>
      <c r="O142" s="293">
        <f>+N142/J37+1</f>
        <v>10.733333333333334</v>
      </c>
      <c r="P142" s="187">
        <f>+ROUNDUP(O142,0)</f>
        <v>11</v>
      </c>
      <c r="Q142" s="187">
        <f>+E142+E142/6*50*(G37/1000)</f>
        <v>244.29166666666669</v>
      </c>
      <c r="R142" s="294">
        <f>+N142*M142+P142*Q142</f>
        <v>4005.5883333333331</v>
      </c>
      <c r="S142" s="185">
        <f>((I37*I37)/162)*R142</f>
        <v>2472.5853909465018</v>
      </c>
      <c r="T142" s="153" t="s">
        <v>193</v>
      </c>
    </row>
    <row r="143" spans="2:21" hidden="1">
      <c r="N143" s="188"/>
    </row>
    <row r="144" spans="2:21" hidden="1">
      <c r="B144" s="298" t="s">
        <v>191</v>
      </c>
      <c r="C144" s="299" t="s">
        <v>208</v>
      </c>
      <c r="E144" s="291">
        <v>312.66000000000003</v>
      </c>
      <c r="G144" s="292">
        <f>+E144*(C39+E39)</f>
        <v>343.92600000000004</v>
      </c>
      <c r="H144" s="292">
        <f>+E144*(C39+E39)*E39</f>
        <v>34.392600000000009</v>
      </c>
      <c r="I144" s="185">
        <f>+E144*(C39+E39)*F39</f>
        <v>17.196300000000004</v>
      </c>
      <c r="J144" s="185">
        <f>+E144*((C39+E39)*E39+(E39*D39))</f>
        <v>40.645800000000001</v>
      </c>
      <c r="K144" s="185">
        <f>+E144*(E39*2+D39*2)</f>
        <v>187.59600000000003</v>
      </c>
      <c r="L144" s="293">
        <f>+(E144)/H39+ IF(E144&gt;0,1,0)</f>
        <v>1251.6400000000001</v>
      </c>
      <c r="M144" s="187">
        <f>+ROUNDUP(L144,0)</f>
        <v>1252</v>
      </c>
      <c r="N144" s="188">
        <f>+(C39+E39-0.08)+(D39+E39-0.08)</f>
        <v>1.24</v>
      </c>
      <c r="O144" s="293">
        <f>+N144/J39+1</f>
        <v>5.96</v>
      </c>
      <c r="P144" s="187">
        <f>+ROUNDUP(O144,0)</f>
        <v>6</v>
      </c>
      <c r="Q144" s="187">
        <f>+E144+E144/6*50*(G39/1000)</f>
        <v>338.71500000000003</v>
      </c>
      <c r="R144" s="294">
        <f>+N144*M144+P144*Q144</f>
        <v>3584.7700000000004</v>
      </c>
      <c r="S144" s="185">
        <f>((I39*I39)/162)*R144</f>
        <v>2212.820987654321</v>
      </c>
      <c r="T144" s="153" t="s">
        <v>193</v>
      </c>
    </row>
    <row r="145" spans="2:20" hidden="1">
      <c r="N145" s="188"/>
    </row>
    <row r="146" spans="2:20" hidden="1">
      <c r="B146" s="153" t="s">
        <v>191</v>
      </c>
      <c r="C146" s="177" t="s">
        <v>209</v>
      </c>
      <c r="E146" s="291">
        <f>205*1.1</f>
        <v>225.50000000000003</v>
      </c>
      <c r="G146" s="292">
        <f>+E146*(C41+E41)</f>
        <v>248.05000000000004</v>
      </c>
      <c r="H146" s="292">
        <f>+E146*(C41+E41)*E41</f>
        <v>24.805000000000007</v>
      </c>
      <c r="I146" s="185">
        <f>+E146*(C41+E41)*F41</f>
        <v>12.402500000000003</v>
      </c>
      <c r="J146" s="185">
        <f>+E146*((C41+E41)*E41+(E41*D41))</f>
        <v>31.570000000000007</v>
      </c>
      <c r="K146" s="185">
        <f>+E146*(E41*2+D41*2)</f>
        <v>180.40000000000003</v>
      </c>
      <c r="L146" s="293">
        <f>+(E146)/H41+ IF(E146&gt;0,1,0)</f>
        <v>903.00000000000011</v>
      </c>
      <c r="M146" s="187">
        <f>+ROUNDUP(L146,0)</f>
        <v>903</v>
      </c>
      <c r="N146" s="188">
        <f>+(C41+E41-0.08)+(D41+E41-0.08)</f>
        <v>1.34</v>
      </c>
      <c r="O146" s="293">
        <f>+N146/J41+1</f>
        <v>6.36</v>
      </c>
      <c r="P146" s="187">
        <f>+ROUNDUP(O146,0)</f>
        <v>7</v>
      </c>
      <c r="Q146" s="187">
        <f>+E146+E146/6*50*(G41/1000)</f>
        <v>244.29166666666669</v>
      </c>
      <c r="R146" s="294">
        <f>+N146*M146+P146*Q146</f>
        <v>2920.0616666666665</v>
      </c>
      <c r="S146" s="185">
        <f>((I41*I41)/162)*R146</f>
        <v>1802.5072016460904</v>
      </c>
      <c r="T146" s="153" t="s">
        <v>193</v>
      </c>
    </row>
    <row r="147" spans="2:20" hidden="1">
      <c r="N147" s="188"/>
    </row>
    <row r="148" spans="2:20" hidden="1">
      <c r="B148" s="153" t="s">
        <v>191</v>
      </c>
      <c r="C148" s="177" t="s">
        <v>210</v>
      </c>
      <c r="E148" s="291">
        <v>81.819999999999993</v>
      </c>
      <c r="G148" s="292">
        <f>+E148*(C43+E43*2+1.5)</f>
        <v>196.36799999999997</v>
      </c>
      <c r="H148" s="292">
        <f>+E148*(C43+E43*2)*(((D43+E43+F43)*2+0.6)/2)</f>
        <v>81.001800000000003</v>
      </c>
      <c r="I148" s="185">
        <f>+(C43+E43*2)*E148*F43</f>
        <v>3.6818999999999997</v>
      </c>
      <c r="J148" s="185">
        <f>+E148*((C43+E43*2)*E43+(D43*E43)+((D43+0.6)*E43))</f>
        <v>33.137099999999997</v>
      </c>
      <c r="K148" s="185">
        <f>+((D43*2)+$K$104*((D43+E43)+(D43+E43+0.6)))*E148</f>
        <v>270.00599999999997</v>
      </c>
      <c r="L148" s="293">
        <f>+(E148)/H43+ IF(E148&gt;0,1,0)</f>
        <v>328.28</v>
      </c>
      <c r="M148" s="187">
        <f>+ROUNDUP(L148,0)</f>
        <v>329</v>
      </c>
      <c r="N148" s="188">
        <f>+(E43+D43+E43+C43+2*E43+E43+D43+0.6+E43-9*0.04)+(E43+D43+2*E43-5*0.04)+(E43+0.6+D43+2*E43-5*0.04)+(C43+4*E43-6*0.04)</f>
        <v>6.2</v>
      </c>
      <c r="O148" s="293">
        <f>2*(D43/J43+1)+2*((D43+0.6)/J43+1)+((C43+2*E43)/J43+1)</f>
        <v>23</v>
      </c>
      <c r="P148" s="187">
        <f>+ROUNDUP(O148,0)</f>
        <v>23</v>
      </c>
      <c r="Q148" s="187">
        <f>+E148+E148/6*50*(G43/1000)</f>
        <v>88.638333333333321</v>
      </c>
      <c r="R148" s="294">
        <f>+N148*M148+P148*Q148</f>
        <v>4078.4816666666666</v>
      </c>
      <c r="S148" s="185">
        <f>((I43*I43)/162)*R148</f>
        <v>2517.5812757201643</v>
      </c>
      <c r="T148" s="153" t="s">
        <v>193</v>
      </c>
    </row>
    <row r="149" spans="2:20" hidden="1"/>
    <row r="150" spans="2:20" hidden="1">
      <c r="B150" s="153" t="s">
        <v>191</v>
      </c>
      <c r="C150" s="177" t="s">
        <v>211</v>
      </c>
      <c r="E150" s="291">
        <f>205*1.1</f>
        <v>225.50000000000003</v>
      </c>
      <c r="G150" s="292">
        <f>+E150*(C45+E45*2+1.5)</f>
        <v>586.30000000000007</v>
      </c>
      <c r="H150" s="292">
        <f>+E150*(C45+E45*2)*(((D45+E45+F45)*2+0.6)/2)</f>
        <v>322.46500000000009</v>
      </c>
      <c r="I150" s="185">
        <f>+(C45+E45*2)*E150*F45</f>
        <v>12.402500000000003</v>
      </c>
      <c r="J150" s="185">
        <f>+E150*((C45+E45*2)*E45+(D45*E45)+((D45+0.6)*E45))</f>
        <v>111.62250000000002</v>
      </c>
      <c r="K150" s="185">
        <f>+((D45*2)+$K$104*((D45+E45)+(D45+E45+0.6)))*E150</f>
        <v>924.55000000000007</v>
      </c>
      <c r="L150" s="293">
        <f>+(E150)/H45+ IF(E150&gt;0,1,0)</f>
        <v>903.00000000000011</v>
      </c>
      <c r="M150" s="187">
        <f>+ROUNDUP(L150,0)</f>
        <v>903</v>
      </c>
      <c r="N150" s="188">
        <f>+(E45+D45+E45+C45+2*E45+E45+D45+0.6+E45-9*0.04)+(E45+D45+2*E45-5*0.04)+(E45+0.6+D45+2*E45-5*0.04)+(C45+4*E45-6*0.04)</f>
        <v>7.4000000000000012</v>
      </c>
      <c r="O150" s="293">
        <f>2*(D45/J45+1)+2*((D45+0.6)/J45+1)+((C45+2*E45)/J45+1)</f>
        <v>27</v>
      </c>
      <c r="P150" s="187">
        <f>+ROUNDUP(O150,0)</f>
        <v>27</v>
      </c>
      <c r="Q150" s="187">
        <f>+E150+E150/6*50*(G45/1000)</f>
        <v>244.29166666666669</v>
      </c>
      <c r="R150" s="294">
        <f>+N150*M150+P150*Q150</f>
        <v>13278.075000000001</v>
      </c>
      <c r="S150" s="185">
        <f>((I45*I45)/162)*R150</f>
        <v>8196.3425925925931</v>
      </c>
      <c r="T150" s="153" t="s">
        <v>193</v>
      </c>
    </row>
    <row r="151" spans="2:20" hidden="1"/>
    <row r="152" spans="2:20" hidden="1">
      <c r="B152" s="153" t="s">
        <v>191</v>
      </c>
      <c r="C152" s="177" t="s">
        <v>212</v>
      </c>
      <c r="E152" s="291">
        <v>100</v>
      </c>
      <c r="G152" s="292">
        <f>+E152*(C47+E47*2+1.5)</f>
        <v>270</v>
      </c>
      <c r="H152" s="292">
        <f>+E152*(C47+E47*2)*(D47+F47+F47)</f>
        <v>84.000000000000014</v>
      </c>
      <c r="I152" s="185">
        <f>+(C47+E47*2)*E152*F47</f>
        <v>6</v>
      </c>
      <c r="J152" s="185">
        <f>+E152*((C47+E47*2)*E47+(D47*E47*2))</f>
        <v>24</v>
      </c>
      <c r="K152" s="185">
        <f>+(D47+$K$104*(D47+E47))*E152*2</f>
        <v>259.99999999999994</v>
      </c>
      <c r="L152" s="293">
        <f>+(E152)/H47+ IF(E152&gt;0,1,0)</f>
        <v>401</v>
      </c>
      <c r="M152" s="187">
        <f>+ROUNDUP(L152,0)</f>
        <v>401</v>
      </c>
      <c r="N152" s="188">
        <f>+(D47+E47-0.08)*2+(C47+E47*2-0.08)</f>
        <v>2.36</v>
      </c>
      <c r="O152" s="293">
        <f>+N152/J47+1</f>
        <v>10.44</v>
      </c>
      <c r="P152" s="187">
        <f>+ROUNDUP(O152,0)</f>
        <v>11</v>
      </c>
      <c r="Q152" s="187">
        <f>+E152+E152/6*50*(G47/1000)</f>
        <v>108.33333333333333</v>
      </c>
      <c r="R152" s="294">
        <f>+N152*M152+P152*Q152</f>
        <v>2138.0266666666666</v>
      </c>
      <c r="S152" s="185">
        <f>((I47*I47)/162)*R152</f>
        <v>1319.7695473251028</v>
      </c>
      <c r="T152" s="153" t="s">
        <v>193</v>
      </c>
    </row>
    <row r="153" spans="2:20" hidden="1">
      <c r="C153" s="153" t="s">
        <v>138</v>
      </c>
      <c r="D153" s="190">
        <f>ROUNDUP(+E152/K47,0)</f>
        <v>34</v>
      </c>
      <c r="E153" s="291"/>
      <c r="G153" s="295"/>
      <c r="H153" s="295"/>
      <c r="I153" s="190"/>
      <c r="J153" s="190">
        <f>0.5*(0.075+0.05)*0.075*C47*D153</f>
        <v>0.15937499999999999</v>
      </c>
      <c r="K153" s="190">
        <f>+(0.075+0.08)*C47*D153</f>
        <v>5.27</v>
      </c>
      <c r="L153" s="296">
        <f>+D153</f>
        <v>34</v>
      </c>
      <c r="M153" s="187">
        <f>+ROUNDUP(L153,0)</f>
        <v>34</v>
      </c>
      <c r="N153" s="193">
        <f>+(C47-0.08)+((0.075+0.05-2*0.04)*2)</f>
        <v>1.01</v>
      </c>
      <c r="O153" s="296"/>
      <c r="P153" s="194"/>
      <c r="Q153" s="194"/>
      <c r="R153" s="294">
        <f>+N153*M153+P153*Q153</f>
        <v>34.340000000000003</v>
      </c>
      <c r="S153" s="185">
        <f>((I47*I47)/162)*R153</f>
        <v>21.197530864197532</v>
      </c>
      <c r="T153" s="153" t="s">
        <v>193</v>
      </c>
    </row>
    <row r="154" spans="2:20" hidden="1">
      <c r="E154" s="291"/>
    </row>
    <row r="155" spans="2:20" hidden="1">
      <c r="B155" s="153" t="s">
        <v>191</v>
      </c>
      <c r="C155" s="177" t="s">
        <v>213</v>
      </c>
      <c r="E155" s="291">
        <f>70.25*1.06418</f>
        <v>74.758644999999987</v>
      </c>
      <c r="G155" s="292">
        <f>+E155*(C50+E50*2+1.5)</f>
        <v>205.58627374999998</v>
      </c>
      <c r="H155" s="292">
        <f>+E155*(C50+E50*2)*(D50+F50+F50)</f>
        <v>84.103475625000002</v>
      </c>
      <c r="I155" s="185">
        <f>+(C50+E50*2)*E155*F50</f>
        <v>4.6724153124999992</v>
      </c>
      <c r="J155" s="185">
        <f>+E155*((C50+E50*2)*E50+(D50*E50*2))</f>
        <v>26.632767281249997</v>
      </c>
      <c r="K155" s="185">
        <f>+(D50+$K$104*(D50+E50))*E155*2</f>
        <v>257.91732524999998</v>
      </c>
      <c r="L155" s="293">
        <f>+(E155)/H50+ IF(E155&gt;0,1,0)</f>
        <v>300.03457999999995</v>
      </c>
      <c r="M155" s="187">
        <f>+ROUNDUP(L155,0)</f>
        <v>301</v>
      </c>
      <c r="N155" s="188">
        <f>+(D50+E50-0.08)*2+(C50+E50*2-0.08)</f>
        <v>2.8600000000000003</v>
      </c>
      <c r="O155" s="293">
        <f>+N155/J50+1</f>
        <v>12.440000000000001</v>
      </c>
      <c r="P155" s="187">
        <f>+ROUNDUP(O155,0)</f>
        <v>13</v>
      </c>
      <c r="Q155" s="187">
        <f>+E155+E155/6*50*(G50/1000)</f>
        <v>80.988532083333325</v>
      </c>
      <c r="R155" s="294">
        <f>+N155*M155+P155*Q155</f>
        <v>1913.7109170833332</v>
      </c>
      <c r="S155" s="185">
        <f>((I50*I50)/162)*R155</f>
        <v>1181.3030352366254</v>
      </c>
      <c r="T155" s="153" t="s">
        <v>193</v>
      </c>
    </row>
    <row r="156" spans="2:20" hidden="1">
      <c r="C156" s="153" t="s">
        <v>138</v>
      </c>
      <c r="D156" s="190">
        <f>ROUNDUP(+E155/K50,0)</f>
        <v>25</v>
      </c>
      <c r="E156" s="291"/>
      <c r="G156" s="295"/>
      <c r="H156" s="295"/>
      <c r="I156" s="190"/>
      <c r="J156" s="190">
        <f>0.5*(0.075+0.05)*0.075*C50*D156</f>
        <v>0.1171875</v>
      </c>
      <c r="K156" s="190">
        <f>+(0.075+0.08)*C50*D156</f>
        <v>3.875</v>
      </c>
      <c r="L156" s="296">
        <f>+D156</f>
        <v>25</v>
      </c>
      <c r="M156" s="187">
        <f>+ROUNDUP(L156,0)</f>
        <v>25</v>
      </c>
      <c r="N156" s="193">
        <f>+(C50-0.08)+((0.075+0.05-2*0.04)*2)</f>
        <v>1.01</v>
      </c>
      <c r="O156" s="296"/>
      <c r="P156" s="194"/>
      <c r="Q156" s="194"/>
      <c r="R156" s="294">
        <f>+N156*M156+P156*Q156</f>
        <v>25.25</v>
      </c>
      <c r="S156" s="185">
        <f>((I50*I50)/162)*R156</f>
        <v>15.586419753086419</v>
      </c>
      <c r="T156" s="153" t="s">
        <v>193</v>
      </c>
    </row>
    <row r="157" spans="2:20" hidden="1"/>
    <row r="158" spans="2:20" hidden="1">
      <c r="B158" s="153" t="s">
        <v>191</v>
      </c>
      <c r="C158" s="177" t="s">
        <v>214</v>
      </c>
      <c r="E158" s="291">
        <v>100</v>
      </c>
      <c r="G158" s="292">
        <f>+E158*(C53+E53*2+1.5)</f>
        <v>275</v>
      </c>
      <c r="H158" s="292">
        <f>+E158*(C53+E53*2)*(D53+F53+F53)</f>
        <v>137.5</v>
      </c>
      <c r="I158" s="185">
        <f>+(C53+E53*2)*E158*F53</f>
        <v>6.25</v>
      </c>
      <c r="J158" s="185">
        <f>+E158*((C53+E53*2)*E53+(D53*E53*2))</f>
        <v>40.625</v>
      </c>
      <c r="K158" s="185">
        <f>+(D53+$K$104*(D53+E53))*E158*2</f>
        <v>425</v>
      </c>
      <c r="L158" s="293">
        <f>+(E158)/H53+ IF(E158&gt;0,1,0)</f>
        <v>401</v>
      </c>
      <c r="M158" s="187">
        <f>+ROUNDUP(L158,0)</f>
        <v>401</v>
      </c>
      <c r="N158" s="188">
        <f>+(E53+D53+E53+C53+2*E53+D53+2*E53-0.04*10)+(E53+D53+2*E53-5*0.04)*2+(C53+4*E53-6*0.04)</f>
        <v>6.96</v>
      </c>
      <c r="O158" s="293">
        <f>(2*(D53+E53)+(C53+2*E53)-6*0.04)/J53*2</f>
        <v>26.08</v>
      </c>
      <c r="P158" s="187">
        <f>+ROUNDUP(O158,0)</f>
        <v>27</v>
      </c>
      <c r="Q158" s="187">
        <f>+E158+E158/6*50*(G53/1000)</f>
        <v>108.33333333333333</v>
      </c>
      <c r="R158" s="294">
        <f>+N158*M158+P158*Q158</f>
        <v>5715.96</v>
      </c>
      <c r="S158" s="185">
        <f>((I53*I53)/162)*R158</f>
        <v>3528.37037037037</v>
      </c>
      <c r="T158" s="153" t="s">
        <v>193</v>
      </c>
    </row>
    <row r="159" spans="2:20" hidden="1">
      <c r="C159" s="153" t="s">
        <v>138</v>
      </c>
      <c r="D159" s="190">
        <f>ROUNDUP(+E158/K53,0)</f>
        <v>34</v>
      </c>
      <c r="E159" s="291"/>
      <c r="G159" s="295"/>
      <c r="H159" s="295"/>
      <c r="I159" s="190"/>
      <c r="J159" s="190">
        <f>0.5*(0.075+0.05)*0.075*C53*D159</f>
        <v>0.15937499999999999</v>
      </c>
      <c r="K159" s="190">
        <f>+(0.075+0.08)*C53*D159</f>
        <v>5.27</v>
      </c>
      <c r="L159" s="296">
        <f>+D159</f>
        <v>34</v>
      </c>
      <c r="M159" s="187">
        <f>+ROUNDUP(L159,0)</f>
        <v>34</v>
      </c>
      <c r="N159" s="193">
        <f>+(C53-0.08)+((0.075+0.05-2*0.04)*2)</f>
        <v>1.01</v>
      </c>
      <c r="O159" s="296"/>
      <c r="P159" s="194"/>
      <c r="Q159" s="194"/>
      <c r="R159" s="294">
        <f>+N159*M159+P159*Q159</f>
        <v>34.340000000000003</v>
      </c>
      <c r="S159" s="185">
        <f>((I53*I53)/162)*R159</f>
        <v>21.197530864197532</v>
      </c>
      <c r="T159" s="153" t="s">
        <v>193</v>
      </c>
    </row>
    <row r="160" spans="2:20" hidden="1"/>
    <row r="161" spans="2:21" hidden="1">
      <c r="B161" s="153" t="s">
        <v>191</v>
      </c>
      <c r="C161" s="177" t="s">
        <v>215</v>
      </c>
      <c r="E161" s="291">
        <v>100</v>
      </c>
      <c r="G161" s="292">
        <f>+E161*(C56+E56*2+1.5)</f>
        <v>275</v>
      </c>
      <c r="H161" s="292">
        <f>+E161*(C56+E56*2)*(D56+F56+F56)</f>
        <v>137.5</v>
      </c>
      <c r="I161" s="185">
        <f>+(C56+E56*2)*E161*F56</f>
        <v>6.25</v>
      </c>
      <c r="J161" s="185">
        <f>+E161*((C56+E56*2)*E56+(D56*E56*2))</f>
        <v>40.625</v>
      </c>
      <c r="K161" s="185">
        <f>+(D56+$K$104*(D56+E56))*E161*2</f>
        <v>425</v>
      </c>
      <c r="L161" s="293">
        <f>+(E161)/H56+ IF(E161&gt;0,1,0)</f>
        <v>401</v>
      </c>
      <c r="M161" s="187">
        <f>+ROUNDUP(L161,0)</f>
        <v>401</v>
      </c>
      <c r="N161" s="188">
        <f>+(E56+D56+E56+C56+2*E56+D56+2*E56-0.04*10)+(E56+D56+2*E56-5*0.04)*2+(C56+4*E56-6*0.04)</f>
        <v>6.96</v>
      </c>
      <c r="O161" s="293">
        <f>(2*(D56+E56)+(C56+2*E56)-6*0.04)/J56*2</f>
        <v>26.08</v>
      </c>
      <c r="P161" s="187">
        <f>+ROUNDUP(O161,0)</f>
        <v>27</v>
      </c>
      <c r="Q161" s="187">
        <f>+E161+E161/6*50*(G56/1000)</f>
        <v>108.33333333333333</v>
      </c>
      <c r="R161" s="294">
        <f>+N161*M161+P161*Q161</f>
        <v>5715.96</v>
      </c>
      <c r="S161" s="185">
        <f>((I56*I56)/162)*R161</f>
        <v>3528.37037037037</v>
      </c>
      <c r="T161" s="153" t="s">
        <v>193</v>
      </c>
    </row>
    <row r="162" spans="2:21" hidden="1">
      <c r="C162" s="153" t="s">
        <v>138</v>
      </c>
      <c r="D162" s="190">
        <f>ROUNDUP(+E161/K56,0)</f>
        <v>34</v>
      </c>
      <c r="E162" s="291"/>
      <c r="G162" s="295"/>
      <c r="H162" s="295"/>
      <c r="I162" s="190"/>
      <c r="J162" s="190">
        <f>0.5*(0.075+0.05)*0.075*C56*D162</f>
        <v>0.15937499999999999</v>
      </c>
      <c r="K162" s="190">
        <f>+(0.075+0.08)*C56*D162</f>
        <v>5.27</v>
      </c>
      <c r="L162" s="296">
        <f>+D162</f>
        <v>34</v>
      </c>
      <c r="M162" s="187">
        <f>+ROUNDUP(L162,0)</f>
        <v>34</v>
      </c>
      <c r="N162" s="193">
        <f>+(C56-0.08)+((0.075+0.05-2*0.04)*2)</f>
        <v>1.01</v>
      </c>
      <c r="O162" s="296"/>
      <c r="P162" s="194"/>
      <c r="Q162" s="194"/>
      <c r="R162" s="294">
        <f>+N162*M162+P162*Q162</f>
        <v>34.340000000000003</v>
      </c>
      <c r="S162" s="185">
        <f>((I56*I56)/162)*R162</f>
        <v>21.197530864197532</v>
      </c>
      <c r="T162" s="153" t="s">
        <v>193</v>
      </c>
    </row>
    <row r="163" spans="2:21" hidden="1"/>
    <row r="164" spans="2:21" hidden="1">
      <c r="B164" s="204" t="s">
        <v>216</v>
      </c>
      <c r="C164" s="177" t="s">
        <v>217</v>
      </c>
      <c r="E164" s="291">
        <v>44.65</v>
      </c>
      <c r="G164" s="292">
        <f>+E164*(C59+E59*2+1)</f>
        <v>73.672499999999999</v>
      </c>
      <c r="H164" s="292">
        <f>(+E164*(C59+E59*2)*(D59+F59+F59))*50%</f>
        <v>7.9811875000000008</v>
      </c>
      <c r="I164" s="185">
        <f>+(C59+E59*2)*E164*F59</f>
        <v>1.4511250000000002</v>
      </c>
      <c r="J164" s="185">
        <f>+E164*((C59+E59*2+0.06)*E59+(D59*E59*2))</f>
        <v>7.18865</v>
      </c>
      <c r="K164" s="185">
        <f>+(D59+(D59+E59))*E164*2</f>
        <v>89.3</v>
      </c>
      <c r="L164" s="293">
        <f>+(E164)/H59+ IF(E164&gt;0,1,0)</f>
        <v>179.6</v>
      </c>
      <c r="M164" s="187">
        <f>+ROUNDUP(L164,0)</f>
        <v>180</v>
      </c>
      <c r="N164" s="188">
        <f>+(D59+E59-0.08)*2+(C59+E59*2-0.08)</f>
        <v>1.5100000000000002</v>
      </c>
      <c r="O164" s="293">
        <f>+N164/J59+1</f>
        <v>7.0400000000000009</v>
      </c>
      <c r="P164" s="187">
        <f>+ROUNDUP(O164,0)</f>
        <v>8</v>
      </c>
      <c r="Q164" s="187">
        <f>+E164+E164/6*50*(G59/1000)</f>
        <v>48.37083333333333</v>
      </c>
      <c r="R164" s="294">
        <f>+N164*M164+P164*Q164</f>
        <v>658.76666666666665</v>
      </c>
      <c r="S164" s="185">
        <f>((I59*I59)/162)*R164</f>
        <v>406.64609053497941</v>
      </c>
      <c r="T164" s="153" t="s">
        <v>193</v>
      </c>
    </row>
    <row r="165" spans="2:21" hidden="1">
      <c r="C165" s="153" t="s">
        <v>218</v>
      </c>
      <c r="D165" s="190">
        <f>ROUNDUP(+(E164/SQRT(L59^2+M59^2)),0)</f>
        <v>115</v>
      </c>
      <c r="E165" s="291"/>
      <c r="G165" s="295"/>
      <c r="H165" s="295"/>
      <c r="I165" s="190"/>
      <c r="J165" s="190">
        <f>0.5*(0.075+0.05)*0.075*C59*D165</f>
        <v>0.24257812500000001</v>
      </c>
      <c r="K165" s="190">
        <f>+M59*C59*D165</f>
        <v>14.231250000000001</v>
      </c>
      <c r="L165" s="296"/>
      <c r="M165" s="187">
        <f>+ROUNDUP(L165,0)</f>
        <v>0</v>
      </c>
      <c r="N165" s="193"/>
      <c r="O165" s="296"/>
      <c r="P165" s="194"/>
      <c r="Q165" s="194"/>
      <c r="R165" s="294">
        <f>+N165*M165+P165*Q165</f>
        <v>0</v>
      </c>
      <c r="S165" s="185">
        <f>((I59*I59)/162)*R165</f>
        <v>0</v>
      </c>
    </row>
    <row r="166" spans="2:21" hidden="1">
      <c r="C166" s="153" t="s">
        <v>219</v>
      </c>
      <c r="D166" s="153">
        <f>ROUNDUP(+E164/1,0)</f>
        <v>45</v>
      </c>
    </row>
    <row r="168" spans="2:21">
      <c r="B168" s="308" t="s">
        <v>216</v>
      </c>
      <c r="C168" s="307" t="s">
        <v>220</v>
      </c>
      <c r="E168" s="291">
        <v>80</v>
      </c>
      <c r="G168" s="292">
        <f>+E168*(C63+E63*2+1)</f>
        <v>132</v>
      </c>
      <c r="H168" s="292">
        <f>(+E168*(C63+E63*2)*(D63+F63+F63))*50%</f>
        <v>18.200000000000003</v>
      </c>
      <c r="I168" s="185">
        <f>+(C63+E63*2)*E168*F63</f>
        <v>2.6</v>
      </c>
      <c r="J168" s="185">
        <f>+E168*((C63+E63*2+0.06)*E63+(D63*E63*2))</f>
        <v>15.280000000000001</v>
      </c>
      <c r="K168" s="185">
        <f>+(D63+(D63+E63))*E168*2</f>
        <v>207.99999999999997</v>
      </c>
      <c r="L168" s="293">
        <f>+(E168)/H63+ IF(E168&gt;0,1,0)</f>
        <v>321</v>
      </c>
      <c r="M168" s="187">
        <f>+ROUNDUP(L168,0)</f>
        <v>321</v>
      </c>
      <c r="N168" s="188">
        <f>+(D63+E63-0.08)*2+(C63+E63*2-0.08)</f>
        <v>1.81</v>
      </c>
      <c r="O168" s="293">
        <f>+N168/J63+1</f>
        <v>8.24</v>
      </c>
      <c r="P168" s="187">
        <f>+ROUNDUP(O168,0)</f>
        <v>9</v>
      </c>
      <c r="Q168" s="187">
        <f>+E168+E168/6*50*(G63/1000)</f>
        <v>86.666666666666671</v>
      </c>
      <c r="R168" s="294">
        <f>+N168*M168+P168*Q168</f>
        <v>1361.01</v>
      </c>
      <c r="S168" s="185">
        <f>((I63*I63)/162)*R168</f>
        <v>840.12962962962956</v>
      </c>
      <c r="T168" s="153" t="s">
        <v>193</v>
      </c>
    </row>
    <row r="169" spans="2:21">
      <c r="C169" s="153" t="s">
        <v>218</v>
      </c>
      <c r="D169" s="190">
        <f>ROUNDUP(+(E168/SQRT(L63^2+M63^2)),0)</f>
        <v>206</v>
      </c>
      <c r="E169" s="291"/>
      <c r="G169" s="295"/>
      <c r="H169" s="295"/>
      <c r="I169" s="190"/>
      <c r="J169" s="190">
        <f>0.5*(0.075+0.05)*0.075*C63*D169</f>
        <v>0.43453125000000004</v>
      </c>
      <c r="K169" s="190">
        <f>+M63*C63*D169</f>
        <v>25.492500000000003</v>
      </c>
      <c r="L169" s="296"/>
      <c r="M169" s="187">
        <f>+ROUNDUP(L169,0)</f>
        <v>0</v>
      </c>
      <c r="N169" s="193"/>
      <c r="O169" s="296"/>
      <c r="P169" s="194"/>
      <c r="Q169" s="194"/>
      <c r="R169" s="294">
        <f>+N169*M169+P169*Q169</f>
        <v>0</v>
      </c>
      <c r="S169" s="185">
        <f>((I63*I63)/162)*R169</f>
        <v>0</v>
      </c>
      <c r="U169" s="190">
        <f>S168+S169</f>
        <v>840.12962962962956</v>
      </c>
    </row>
    <row r="170" spans="2:21">
      <c r="C170" s="153" t="s">
        <v>219</v>
      </c>
      <c r="D170" s="153">
        <f>ROUNDUP(+E168/1,0)</f>
        <v>80</v>
      </c>
    </row>
    <row r="171" spans="2:21">
      <c r="K171" s="185"/>
    </row>
    <row r="172" spans="2:21" hidden="1">
      <c r="B172" s="204" t="s">
        <v>216</v>
      </c>
      <c r="C172" s="177" t="s">
        <v>221</v>
      </c>
      <c r="E172" s="291">
        <v>73.25</v>
      </c>
      <c r="G172" s="292">
        <f>+E172*(C67+E67*2+1)</f>
        <v>131.85</v>
      </c>
      <c r="H172" s="292">
        <f>(+E172*(C67+E67*2)*(D67+F67+F67))*50%</f>
        <v>20.51</v>
      </c>
      <c r="I172" s="185">
        <f>+(C67+E67*2)*E172*F67</f>
        <v>2.93</v>
      </c>
      <c r="J172" s="185">
        <f>+E172*((C67+E67*2+0.06)*E67+(D67*E67*2))</f>
        <v>15.089500000000001</v>
      </c>
      <c r="K172" s="185">
        <f>+(D67+(D67+E67))*E172*2</f>
        <v>190.44999999999996</v>
      </c>
      <c r="L172" s="293">
        <f>+(E172)/H67+ IF(E172&gt;0,1,0)</f>
        <v>294</v>
      </c>
      <c r="M172" s="187">
        <f>+ROUNDUP(L172,0)</f>
        <v>294</v>
      </c>
      <c r="N172" s="188">
        <f>+(D67+E67-0.08)*2+(C67+E67*2-0.08)</f>
        <v>1.96</v>
      </c>
      <c r="O172" s="293">
        <f>+N172/J67+1</f>
        <v>8.84</v>
      </c>
      <c r="P172" s="187">
        <f>+ROUNDUP(O172,0)</f>
        <v>9</v>
      </c>
      <c r="Q172" s="187">
        <f>+E172+E172/6*50*(G67/1000)</f>
        <v>79.354166666666671</v>
      </c>
      <c r="R172" s="294">
        <f>+N172*M172+P172*Q172</f>
        <v>1290.4275</v>
      </c>
      <c r="S172" s="185">
        <f>((I67*I67)/162)*R172</f>
        <v>796.56018518518511</v>
      </c>
      <c r="T172" s="153" t="s">
        <v>193</v>
      </c>
    </row>
    <row r="173" spans="2:21" hidden="1">
      <c r="C173" s="153" t="s">
        <v>218</v>
      </c>
      <c r="D173" s="190">
        <f>ROUNDUP(+(E172/SQRT(L67^2+M67^2)),0)</f>
        <v>189</v>
      </c>
      <c r="E173" s="291"/>
      <c r="G173" s="295"/>
      <c r="H173" s="295"/>
      <c r="I173" s="190"/>
      <c r="J173" s="190">
        <f>0.5*(0.075+0.05)*0.075*C67*D173</f>
        <v>0.53156249999999994</v>
      </c>
      <c r="K173" s="190">
        <f>+M67*C67*D173</f>
        <v>31.185000000000002</v>
      </c>
      <c r="L173" s="296"/>
      <c r="M173" s="187">
        <f>+ROUNDUP(L173,0)</f>
        <v>0</v>
      </c>
      <c r="N173" s="193"/>
      <c r="O173" s="296"/>
      <c r="P173" s="194"/>
      <c r="Q173" s="194"/>
      <c r="R173" s="294">
        <f>+N173*M173+P173*Q173</f>
        <v>0</v>
      </c>
      <c r="S173" s="185">
        <f>((I67*I67)/162)*R173</f>
        <v>0</v>
      </c>
    </row>
    <row r="174" spans="2:21" hidden="1">
      <c r="C174" s="153" t="s">
        <v>219</v>
      </c>
      <c r="D174" s="153">
        <f>ROUNDUP(+E172/1,0)</f>
        <v>74</v>
      </c>
    </row>
    <row r="175" spans="2:21" hidden="1"/>
    <row r="176" spans="2:21" hidden="1">
      <c r="B176" s="204" t="s">
        <v>216</v>
      </c>
      <c r="C176" s="177" t="s">
        <v>222</v>
      </c>
      <c r="E176" s="291">
        <v>8.6</v>
      </c>
      <c r="G176" s="292">
        <f>+E176*(C71+E71*2+1)</f>
        <v>17.2</v>
      </c>
      <c r="H176" s="292">
        <f>(+E176*(C71+E71*2)*(D71+F71+F71))*50%</f>
        <v>3.8700000000000006</v>
      </c>
      <c r="I176" s="185">
        <f>+(C71+E71*2)*E176*F71</f>
        <v>0.43</v>
      </c>
      <c r="J176" s="185">
        <f>+E176*((C71+E71*2+0.06)*E71+(D71*E71*2))</f>
        <v>2.2875999999999999</v>
      </c>
      <c r="K176" s="185">
        <f>+(D71+(D71+E71))*E176*2</f>
        <v>29.240000000000002</v>
      </c>
      <c r="L176" s="293">
        <f>+(E176)/H71+ IF(E176&gt;0,1,0)</f>
        <v>35.4</v>
      </c>
      <c r="M176" s="187">
        <f>+ROUNDUP(L176,0)</f>
        <v>36</v>
      </c>
      <c r="N176" s="188">
        <f>+(D71+E71-0.08)*2+(C71+E71*2-0.08)</f>
        <v>2.56</v>
      </c>
      <c r="O176" s="293">
        <f>+N176/J71+1</f>
        <v>11.24</v>
      </c>
      <c r="P176" s="187">
        <f>+ROUNDUP(O176,0)</f>
        <v>12</v>
      </c>
      <c r="Q176" s="187">
        <f>+E176+E176/6*50*(G71/1000)</f>
        <v>9.3166666666666664</v>
      </c>
      <c r="R176" s="294">
        <f>+N176*M176+P176*Q176</f>
        <v>203.95999999999998</v>
      </c>
      <c r="S176" s="185">
        <f>((I71*I71)/162)*R176</f>
        <v>125.90123456790121</v>
      </c>
      <c r="T176" s="153" t="s">
        <v>193</v>
      </c>
    </row>
    <row r="177" spans="2:20" hidden="1">
      <c r="C177" s="153" t="s">
        <v>218</v>
      </c>
      <c r="D177" s="190">
        <f>ROUNDUP(+(E176/SQRT(L71^2+M71^2)),0)</f>
        <v>23</v>
      </c>
      <c r="E177" s="291"/>
      <c r="G177" s="295"/>
      <c r="H177" s="295"/>
      <c r="I177" s="190"/>
      <c r="J177" s="190">
        <f>0.5*(0.075+0.05)*0.075*C71*D177</f>
        <v>8.6249999999999993E-2</v>
      </c>
      <c r="K177" s="190">
        <f>+M71*C71*D177</f>
        <v>5.0600000000000005</v>
      </c>
      <c r="L177" s="296"/>
      <c r="M177" s="187">
        <f>+ROUNDUP(L177,0)</f>
        <v>0</v>
      </c>
      <c r="N177" s="193"/>
      <c r="O177" s="296"/>
      <c r="P177" s="194"/>
      <c r="Q177" s="194"/>
      <c r="R177" s="294">
        <f>+N177*M177+P177*Q177</f>
        <v>0</v>
      </c>
      <c r="S177" s="185">
        <f>((I71*I71)/162)*R177</f>
        <v>0</v>
      </c>
    </row>
    <row r="178" spans="2:20" hidden="1">
      <c r="C178" s="153" t="s">
        <v>219</v>
      </c>
      <c r="D178" s="153">
        <f>ROUNDUP(+E176/1,0)</f>
        <v>9</v>
      </c>
      <c r="H178" s="190"/>
    </row>
    <row r="179" spans="2:20" hidden="1"/>
    <row r="180" spans="2:20" hidden="1">
      <c r="B180" s="206" t="s">
        <v>216</v>
      </c>
      <c r="C180" s="177" t="s">
        <v>223</v>
      </c>
      <c r="E180" s="291">
        <v>13.83</v>
      </c>
      <c r="G180" s="292">
        <f>+E180*(C75+E75*2+1)</f>
        <v>31.1175</v>
      </c>
      <c r="H180" s="292">
        <f>(+E180*(C75+E75*2)*(D75+F75+F75))*50%</f>
        <v>9.5081250000000015</v>
      </c>
      <c r="I180" s="185">
        <f>+(C75+E75*2)*E180*F75</f>
        <v>0.86437500000000012</v>
      </c>
      <c r="J180" s="185">
        <f>+E180*((C75+E75*2+0.06)*E75+(D75*E75*2))</f>
        <v>5.7221625000000005</v>
      </c>
      <c r="K180" s="185">
        <f>+(D75+(D75+E75))*E180*2</f>
        <v>58.777500000000003</v>
      </c>
      <c r="L180" s="293">
        <f>+(E180)/H75+ IF(E180&gt;0,1,0)</f>
        <v>56.32</v>
      </c>
      <c r="M180" s="187">
        <f>+ROUNDUP(L180,0)</f>
        <v>57</v>
      </c>
      <c r="N180" s="188">
        <f>+(D75+E75-0.08)*2+(C75+E75*2-0.08)</f>
        <v>3.26</v>
      </c>
      <c r="O180" s="293">
        <f>+N180/J75+1</f>
        <v>14.04</v>
      </c>
      <c r="P180" s="187">
        <f>+ROUNDUP(O180,0)</f>
        <v>15</v>
      </c>
      <c r="Q180" s="187">
        <f>+E180+E180/6*50*(G75/1000)</f>
        <v>14.9825</v>
      </c>
      <c r="R180" s="294">
        <f>+N180*M180+P180*Q180</f>
        <v>410.5575</v>
      </c>
      <c r="S180" s="185">
        <f>((I75*I75)/162)*R180</f>
        <v>253.43055555555554</v>
      </c>
      <c r="T180" s="153" t="s">
        <v>193</v>
      </c>
    </row>
    <row r="181" spans="2:20" hidden="1">
      <c r="C181" s="153" t="s">
        <v>218</v>
      </c>
      <c r="D181" s="190">
        <f>ROUNDUP(+(E180/SQRT(L75^2+M75^2)),0)</f>
        <v>36</v>
      </c>
      <c r="E181" s="291"/>
      <c r="G181" s="295"/>
      <c r="H181" s="295"/>
      <c r="I181" s="190"/>
      <c r="J181" s="190">
        <f>0.5*(0.075+0.05)*0.075*C75*D181</f>
        <v>0.16874999999999998</v>
      </c>
      <c r="K181" s="190">
        <f>+M75*C75*D181</f>
        <v>9.9</v>
      </c>
      <c r="L181" s="296"/>
      <c r="M181" s="187">
        <f>+ROUNDUP(L181,0)</f>
        <v>0</v>
      </c>
      <c r="N181" s="193"/>
      <c r="O181" s="296"/>
      <c r="P181" s="194"/>
      <c r="Q181" s="194"/>
      <c r="R181" s="294">
        <f>+N181*M181+P181*Q181</f>
        <v>0</v>
      </c>
      <c r="S181" s="185">
        <f>((I75*I75)/162)*R181</f>
        <v>0</v>
      </c>
    </row>
    <row r="182" spans="2:20" hidden="1">
      <c r="C182" s="153" t="s">
        <v>219</v>
      </c>
      <c r="D182" s="153">
        <f>ROUNDUP(+E180/1,0)</f>
        <v>14</v>
      </c>
    </row>
    <row r="183" spans="2:20" hidden="1"/>
    <row r="184" spans="2:20" hidden="1">
      <c r="B184" s="204" t="s">
        <v>224</v>
      </c>
      <c r="C184" s="177" t="s">
        <v>217</v>
      </c>
      <c r="E184" s="291">
        <v>100</v>
      </c>
      <c r="G184" s="292">
        <f>+E184*(C79+E79*2+1)</f>
        <v>165</v>
      </c>
      <c r="H184" s="292">
        <f>0.5*L79*M79*D185</f>
        <v>20.25</v>
      </c>
      <c r="I184" s="185">
        <f>+(L79*(C79+2*E79)*D185*E79)</f>
        <v>5.8500000000000014</v>
      </c>
      <c r="J184" s="185">
        <f>+D185*(L79+M79)*E79*(C79+2*E79)+D185*((L79+M79)*E79*D79)*2</f>
        <v>20.925000000000001</v>
      </c>
      <c r="K184" s="185">
        <f>+(D79+(D79+E79))*E184*2</f>
        <v>200</v>
      </c>
      <c r="L184" s="293">
        <f>+(D185*(L79+M79))/H79+ IF(E184&gt;0,1,0)</f>
        <v>541</v>
      </c>
      <c r="M184" s="187">
        <f>+ROUNDUP(L184,0)</f>
        <v>541</v>
      </c>
      <c r="N184" s="188">
        <f>+(D79+E79-0.08)*2+(C79+E79*2-0.08)</f>
        <v>1.5100000000000002</v>
      </c>
      <c r="O184" s="293">
        <f>+N184/J79+1</f>
        <v>7.0400000000000009</v>
      </c>
      <c r="P184" s="187">
        <f>+ROUNDUP(O184,0)</f>
        <v>8</v>
      </c>
      <c r="Q184" s="187">
        <f>+(L79+M79-2*0.04)*D185+(((L79+M79-2*0.04)*D185)/6*50*(I79/1000))</f>
        <v>137.58333333333334</v>
      </c>
      <c r="R184" s="294">
        <f>+N184*M184+P184*Q184</f>
        <v>1917.5766666666668</v>
      </c>
      <c r="S184" s="185">
        <f>((I79*I79)/162)*R184</f>
        <v>1183.6893004115227</v>
      </c>
      <c r="T184" s="153" t="s">
        <v>193</v>
      </c>
    </row>
    <row r="185" spans="2:20" hidden="1">
      <c r="C185" s="153" t="s">
        <v>218</v>
      </c>
      <c r="D185" s="190">
        <f>ROUNDUP(+(E184/SQRT(L79^2+M79^2)),0)</f>
        <v>100</v>
      </c>
      <c r="E185" s="291"/>
      <c r="G185" s="295"/>
      <c r="H185" s="295"/>
      <c r="I185" s="190"/>
      <c r="J185" s="190"/>
      <c r="K185" s="190"/>
      <c r="L185" s="296"/>
      <c r="M185" s="187"/>
      <c r="N185" s="193"/>
      <c r="O185" s="296"/>
      <c r="P185" s="194"/>
      <c r="Q185" s="194"/>
      <c r="R185" s="294"/>
      <c r="S185" s="185"/>
    </row>
    <row r="186" spans="2:20" hidden="1">
      <c r="C186" s="153" t="s">
        <v>219</v>
      </c>
      <c r="D186" s="153">
        <f>ROUNDUP(+E184/1,0)</f>
        <v>100</v>
      </c>
    </row>
    <row r="187" spans="2:20" hidden="1"/>
    <row r="188" spans="2:20" hidden="1">
      <c r="B188" s="204" t="s">
        <v>224</v>
      </c>
      <c r="C188" s="177" t="s">
        <v>220</v>
      </c>
      <c r="E188" s="291">
        <v>28.19</v>
      </c>
      <c r="G188" s="292">
        <f>+E188*(C83+E83*2+1)</f>
        <v>46.513500000000001</v>
      </c>
      <c r="H188" s="292">
        <f>0.5*L83*M83*D189</f>
        <v>5.8725000000000005</v>
      </c>
      <c r="I188" s="185">
        <f>+(L83*(C83+2*E83)*D189*E83)</f>
        <v>1.6965000000000003</v>
      </c>
      <c r="J188" s="185">
        <f>+D189*(L83+M83)*E83*(C83+2*E83)+D189*((L83+M83)*E83*D83)*2</f>
        <v>7.2427500000000009</v>
      </c>
      <c r="K188" s="185">
        <f>+(D83+(D83+E83))*E188*2</f>
        <v>73.293999999999997</v>
      </c>
      <c r="L188" s="293">
        <f>+(D189*(L83+M83))/H83+ IF(E188&gt;0,1,0)</f>
        <v>157.60000000000002</v>
      </c>
      <c r="M188" s="187">
        <f>+ROUNDUP(L188,0)</f>
        <v>158</v>
      </c>
      <c r="N188" s="188">
        <f>+(D83+E83-0.08)*2+(C83+E83*2-0.08)</f>
        <v>1.81</v>
      </c>
      <c r="O188" s="293">
        <f>+N188/J83+1</f>
        <v>8.24</v>
      </c>
      <c r="P188" s="187">
        <f>+ROUNDUP(O188,0)</f>
        <v>9</v>
      </c>
      <c r="Q188" s="187">
        <f>+(L83+M83-2*0.04)*D189+(((L83+M83-2*0.04)*D189)/6*50*(I83/1000))</f>
        <v>39.899166666666666</v>
      </c>
      <c r="R188" s="294">
        <f>+N188*M188+P188*Q188</f>
        <v>645.07249999999999</v>
      </c>
      <c r="S188" s="185">
        <f>((I83*I83)/162)*R188</f>
        <v>398.1929012345679</v>
      </c>
      <c r="T188" s="153" t="s">
        <v>193</v>
      </c>
    </row>
    <row r="189" spans="2:20" hidden="1">
      <c r="C189" s="153" t="s">
        <v>218</v>
      </c>
      <c r="D189" s="190">
        <f>ROUNDUP(+(E188/SQRT(L83^2+M83^2)),0)</f>
        <v>29</v>
      </c>
      <c r="E189" s="291"/>
      <c r="G189" s="295"/>
      <c r="H189" s="295"/>
      <c r="I189" s="190"/>
      <c r="J189" s="190"/>
      <c r="K189" s="190"/>
      <c r="L189" s="296"/>
      <c r="M189" s="187"/>
      <c r="N189" s="193"/>
      <c r="O189" s="296"/>
      <c r="P189" s="194"/>
      <c r="Q189" s="194"/>
      <c r="R189" s="294"/>
      <c r="S189" s="185"/>
    </row>
    <row r="190" spans="2:20" hidden="1">
      <c r="C190" s="153" t="s">
        <v>219</v>
      </c>
      <c r="D190" s="153">
        <f>ROUNDUP(+E188/1,0)</f>
        <v>29</v>
      </c>
    </row>
    <row r="191" spans="2:20" hidden="1"/>
    <row r="192" spans="2:20" hidden="1">
      <c r="B192" s="204" t="s">
        <v>224</v>
      </c>
      <c r="C192" s="177" t="s">
        <v>221</v>
      </c>
      <c r="E192" s="291">
        <v>100</v>
      </c>
      <c r="G192" s="292">
        <f>+E192*(C87+E87*2+1)</f>
        <v>180</v>
      </c>
      <c r="H192" s="292">
        <f>0.5*L87*M87*D193</f>
        <v>20.25</v>
      </c>
      <c r="I192" s="185">
        <f>+(L87*(C87+2*E87)*D193*E87)</f>
        <v>7.200000000000002</v>
      </c>
      <c r="J192" s="185">
        <f>+D193*(L87+M87)*E87*(C87+2*E87)+D193*((L87+M87)*E87*D87)*2</f>
        <v>27</v>
      </c>
      <c r="K192" s="185">
        <f>+(D87+(D87+E87))*E192*2</f>
        <v>259.99999999999994</v>
      </c>
      <c r="L192" s="293">
        <f>+(D193*(L87+M87))/H87+ IF(E192&gt;0,1,0)</f>
        <v>541</v>
      </c>
      <c r="M192" s="187">
        <f>+ROUNDUP(L192,0)</f>
        <v>541</v>
      </c>
      <c r="N192" s="188">
        <f>+(D87+E87-0.08)*2+(C87+E87*2-0.08)</f>
        <v>1.96</v>
      </c>
      <c r="O192" s="293">
        <f>+N192/J87+1</f>
        <v>8.84</v>
      </c>
      <c r="P192" s="187">
        <f>+ROUNDUP(O192,0)</f>
        <v>9</v>
      </c>
      <c r="Q192" s="187">
        <f>+(L87+M87-2*0.04)*D193+(((L87+M87-2*0.04)*D193)/6*50*(I87/1000))</f>
        <v>137.58333333333334</v>
      </c>
      <c r="R192" s="294">
        <f>+N192*M192+P192*Q192</f>
        <v>2298.6099999999997</v>
      </c>
      <c r="S192" s="185">
        <f>((I87*I87)/162)*R192</f>
        <v>1418.8950617283947</v>
      </c>
      <c r="T192" s="153" t="s">
        <v>193</v>
      </c>
    </row>
    <row r="193" spans="2:20" hidden="1">
      <c r="C193" s="153" t="s">
        <v>218</v>
      </c>
      <c r="D193" s="190">
        <f>ROUNDUP(+(E192/SQRT(L87^2+M87^2)),0)</f>
        <v>100</v>
      </c>
      <c r="E193" s="291"/>
      <c r="G193" s="295"/>
      <c r="H193" s="295"/>
      <c r="I193" s="190"/>
      <c r="J193" s="190"/>
      <c r="K193" s="190"/>
      <c r="L193" s="296"/>
      <c r="M193" s="187"/>
      <c r="N193" s="193"/>
      <c r="O193" s="296"/>
      <c r="P193" s="194"/>
      <c r="Q193" s="194"/>
      <c r="R193" s="294"/>
      <c r="S193" s="185"/>
    </row>
    <row r="194" spans="2:20" hidden="1">
      <c r="C194" s="153" t="s">
        <v>219</v>
      </c>
      <c r="D194" s="153">
        <f>ROUNDUP(+E192/1,0)</f>
        <v>100</v>
      </c>
    </row>
    <row r="195" spans="2:20" hidden="1"/>
    <row r="196" spans="2:20" hidden="1">
      <c r="B196" s="204" t="s">
        <v>224</v>
      </c>
      <c r="C196" s="177" t="s">
        <v>222</v>
      </c>
      <c r="E196" s="291">
        <v>100</v>
      </c>
      <c r="G196" s="292">
        <f>+E196*(C91+E91*2+1)</f>
        <v>200</v>
      </c>
      <c r="H196" s="292">
        <f>0.5*L91*M91*D197</f>
        <v>20.25</v>
      </c>
      <c r="I196" s="185">
        <f>+(L91*(C91+2*E91)*D197*E91)</f>
        <v>9</v>
      </c>
      <c r="J196" s="185">
        <f>+D197*(L91+M91)*E91*(C91+2*E91)+D197*((L91+M91)*E91*D91)*2</f>
        <v>35.1</v>
      </c>
      <c r="K196" s="185">
        <f>+(D91+(D91+E91))*E196*2</f>
        <v>340.00000000000006</v>
      </c>
      <c r="L196" s="293">
        <f>+(D197*(L91+M91))/H91+ IF(E196&gt;0,1,0)</f>
        <v>541</v>
      </c>
      <c r="M196" s="187">
        <f>+ROUNDUP(L196,0)</f>
        <v>541</v>
      </c>
      <c r="N196" s="188">
        <f>+(D91+E91-0.08)*2+(C91+E91*2-0.08)</f>
        <v>2.56</v>
      </c>
      <c r="O196" s="293">
        <f>+N196/J91+1</f>
        <v>11.24</v>
      </c>
      <c r="P196" s="187">
        <f>+ROUNDUP(O196,0)</f>
        <v>12</v>
      </c>
      <c r="Q196" s="187">
        <f>+(L91+M91-2*0.04)*D197+(((L91+M91-2*0.04)*D197)/6*50*(I91/1000))</f>
        <v>137.58333333333334</v>
      </c>
      <c r="R196" s="294">
        <f>+N196*M196+P196*Q196</f>
        <v>3035.96</v>
      </c>
      <c r="S196" s="185">
        <f>((I91*I91)/162)*R196</f>
        <v>1874.0493827160492</v>
      </c>
      <c r="T196" s="153" t="s">
        <v>193</v>
      </c>
    </row>
    <row r="197" spans="2:20" hidden="1">
      <c r="C197" s="153" t="s">
        <v>218</v>
      </c>
      <c r="D197" s="190">
        <f>ROUNDUP(+(E196/SQRT(L91^2+M91^2)),0)</f>
        <v>100</v>
      </c>
      <c r="E197" s="291"/>
      <c r="G197" s="295"/>
      <c r="H197" s="295"/>
      <c r="I197" s="190"/>
      <c r="J197" s="190"/>
      <c r="K197" s="190"/>
      <c r="L197" s="296"/>
      <c r="M197" s="187"/>
      <c r="N197" s="193"/>
      <c r="O197" s="296"/>
      <c r="P197" s="194"/>
      <c r="Q197" s="194"/>
      <c r="R197" s="294"/>
      <c r="S197" s="185"/>
    </row>
    <row r="198" spans="2:20" hidden="1">
      <c r="C198" s="153" t="s">
        <v>219</v>
      </c>
      <c r="D198" s="153">
        <f>ROUNDUP(+E196/1,0)</f>
        <v>100</v>
      </c>
    </row>
    <row r="199" spans="2:20" hidden="1"/>
    <row r="200" spans="2:20" hidden="1">
      <c r="B200" s="204" t="s">
        <v>224</v>
      </c>
      <c r="C200" s="177" t="s">
        <v>225</v>
      </c>
      <c r="E200" s="291">
        <f>(22.38+21.09+22.47+16.84)*1.06418</f>
        <v>88.092820399999994</v>
      </c>
      <c r="G200" s="292">
        <f>+E200*(C95+E95*2+1)</f>
        <v>198.20884589999997</v>
      </c>
      <c r="H200" s="292">
        <f>0.5*L95*M95*D201</f>
        <v>17.82</v>
      </c>
      <c r="I200" s="185">
        <f>+(L95*(C95+2*E95)*D201*E95)</f>
        <v>12.375</v>
      </c>
      <c r="J200" s="185">
        <f>+D201*(L95+M95)*E95*(C95+2*E95)+D201*((L95+M95)*E95*D95)*2</f>
        <v>40.837500000000006</v>
      </c>
      <c r="K200" s="185">
        <f>+(D95+(D95+E95))*E200*2</f>
        <v>286.30166629999997</v>
      </c>
      <c r="L200" s="293">
        <f>+(D201*(L95+M95))/H95+ IF(E200&gt;0,1,0)</f>
        <v>476.20000000000005</v>
      </c>
      <c r="M200" s="187">
        <f>+ROUNDUP(L200,0)</f>
        <v>477</v>
      </c>
      <c r="N200" s="188">
        <f>+(D95+E95-0.08)*2+(C95+E95*2-0.08)</f>
        <v>2.76</v>
      </c>
      <c r="O200" s="293">
        <f>+N200/J95+1</f>
        <v>12.04</v>
      </c>
      <c r="P200" s="187">
        <f>+ROUNDUP(O200,0)</f>
        <v>13</v>
      </c>
      <c r="Q200" s="187">
        <f>+(L95+M95-2*0.04)*D201+(((L95+M95-2*0.04)*D201)/6*50*(I95/1000))</f>
        <v>121.07333333333334</v>
      </c>
      <c r="R200" s="294">
        <f>+N200*M200+P200*Q200</f>
        <v>2890.4733333333334</v>
      </c>
      <c r="S200" s="185">
        <f>((I95*I95)/162)*R200</f>
        <v>1784.2427983539094</v>
      </c>
      <c r="T200" s="153" t="s">
        <v>193</v>
      </c>
    </row>
    <row r="201" spans="2:20" hidden="1">
      <c r="C201" s="153" t="s">
        <v>218</v>
      </c>
      <c r="D201" s="190">
        <f>ROUNDUP(+(E200/SQRT(L95^2+M95^2)),0)</f>
        <v>88</v>
      </c>
      <c r="E201" s="291"/>
      <c r="G201" s="295"/>
      <c r="H201" s="295"/>
      <c r="I201" s="190"/>
      <c r="J201" s="190">
        <f>0.5*(0.075+0.05)*0.075*C95*D201</f>
        <v>0.41249999999999998</v>
      </c>
      <c r="K201" s="190">
        <f>D201*C95*M95</f>
        <v>39.6</v>
      </c>
      <c r="L201" s="296"/>
      <c r="M201" s="187"/>
      <c r="N201" s="193"/>
      <c r="O201" s="296"/>
      <c r="P201" s="194"/>
      <c r="Q201" s="194"/>
      <c r="R201" s="294"/>
      <c r="S201" s="185"/>
    </row>
    <row r="202" spans="2:20" hidden="1">
      <c r="C202" s="153" t="s">
        <v>219</v>
      </c>
      <c r="D202" s="153">
        <f>ROUNDUP(+E200/1,0)</f>
        <v>89</v>
      </c>
    </row>
    <row r="203" spans="2:20" hidden="1">
      <c r="G203" s="205" t="s">
        <v>226</v>
      </c>
      <c r="H203" s="205" t="s">
        <v>227</v>
      </c>
      <c r="I203" s="205" t="s">
        <v>89</v>
      </c>
    </row>
    <row r="204" spans="2:20" hidden="1"/>
    <row r="205" spans="2:20" hidden="1">
      <c r="B205" s="201"/>
      <c r="E205" s="201"/>
    </row>
    <row r="206" spans="2:20" hidden="1"/>
    <row r="207" spans="2:20" hidden="1">
      <c r="E207" s="201"/>
    </row>
    <row r="208" spans="2:20" hidden="1"/>
    <row r="209" spans="5:5" hidden="1">
      <c r="E209" s="201"/>
    </row>
    <row r="210" spans="5:5" hidden="1"/>
    <row r="211" spans="5:5" hidden="1">
      <c r="E211" s="201"/>
    </row>
    <row r="212" spans="5:5" hidden="1"/>
    <row r="213" spans="5:5" hidden="1"/>
    <row r="214" spans="5:5" hidden="1"/>
    <row r="215" spans="5:5" hidden="1"/>
    <row r="216" spans="5:5" hidden="1"/>
    <row r="217" spans="5:5" hidden="1"/>
    <row r="218" spans="5:5" hidden="1"/>
    <row r="219" spans="5:5" hidden="1"/>
    <row r="220" spans="5:5" hidden="1"/>
    <row r="221" spans="5:5" hidden="1"/>
    <row r="222" spans="5:5" hidden="1"/>
    <row r="223" spans="5:5" hidden="1"/>
    <row r="224" spans="5:5" hidden="1"/>
    <row r="225" spans="2:7" hidden="1"/>
    <row r="226" spans="2:7" hidden="1">
      <c r="B226" s="201" t="s">
        <v>195</v>
      </c>
    </row>
    <row r="227" spans="2:7" ht="28.8" hidden="1">
      <c r="B227" s="206" t="s">
        <v>228</v>
      </c>
      <c r="C227" s="207"/>
    </row>
    <row r="228" spans="2:7" hidden="1"/>
    <row r="229" spans="2:7" hidden="1">
      <c r="B229" s="153" t="s">
        <v>229</v>
      </c>
      <c r="C229" s="190"/>
    </row>
    <row r="230" spans="2:7" hidden="1">
      <c r="B230" s="153" t="s">
        <v>230</v>
      </c>
      <c r="C230" s="153">
        <v>0.5</v>
      </c>
    </row>
    <row r="231" spans="2:7" hidden="1">
      <c r="C231" s="190"/>
    </row>
    <row r="232" spans="2:7" hidden="1">
      <c r="B232" s="153" t="s">
        <v>231</v>
      </c>
      <c r="C232" s="153">
        <f>ROUNDUP(C227/C230,0)</f>
        <v>0</v>
      </c>
    </row>
    <row r="233" spans="2:7" hidden="1"/>
    <row r="234" spans="2:7" hidden="1"/>
    <row r="235" spans="2:7" hidden="1">
      <c r="B235" s="153" t="s">
        <v>232</v>
      </c>
      <c r="C235" s="153">
        <f>C232*0.16*0.5</f>
        <v>0</v>
      </c>
      <c r="E235" s="201" t="s">
        <v>233</v>
      </c>
    </row>
    <row r="236" spans="2:7" hidden="1">
      <c r="B236" s="153" t="s">
        <v>119</v>
      </c>
      <c r="C236" s="153">
        <f>((0.16*2)+(0.15*0.5*2))*C232</f>
        <v>0</v>
      </c>
    </row>
    <row r="237" spans="2:7" hidden="1"/>
    <row r="238" spans="2:7" hidden="1">
      <c r="B238" s="153" t="s">
        <v>234</v>
      </c>
      <c r="C238" s="296">
        <v>2.12</v>
      </c>
      <c r="D238" s="309">
        <f>ROUNDUP(0.5/0.125,0)+1</f>
        <v>5</v>
      </c>
      <c r="E238" s="153">
        <f>C232</f>
        <v>0</v>
      </c>
      <c r="F238" s="153">
        <v>1.1000000000000001</v>
      </c>
      <c r="G238" s="153">
        <f>PRODUCT(C238:F238)</f>
        <v>0</v>
      </c>
    </row>
    <row r="239" spans="2:7" hidden="1">
      <c r="C239" s="153">
        <v>0.5</v>
      </c>
      <c r="D239" s="309">
        <f>ROUNDUP(C238/0.2+1,0)</f>
        <v>12</v>
      </c>
      <c r="E239" s="153">
        <f>C232</f>
        <v>0</v>
      </c>
      <c r="F239" s="153">
        <v>1.1000000000000001</v>
      </c>
      <c r="G239" s="153">
        <f>PRODUCT(C239:F239)</f>
        <v>0</v>
      </c>
    </row>
    <row r="240" spans="2:7" hidden="1"/>
    <row r="241" spans="2:10" hidden="1">
      <c r="G241" s="153">
        <f>SUM(G238:G240)</f>
        <v>0</v>
      </c>
      <c r="H241" s="153">
        <f>ROUND(100/162,3)</f>
        <v>0.61699999999999999</v>
      </c>
      <c r="J241" s="296">
        <f>ROUNDUP(PRODUCT(G241:H241),0)</f>
        <v>0</v>
      </c>
    </row>
    <row r="242" spans="2:10" hidden="1"/>
    <row r="243" spans="2:10" hidden="1"/>
    <row r="244" spans="2:10" hidden="1"/>
    <row r="245" spans="2:10" hidden="1"/>
    <row r="246" spans="2:10" hidden="1"/>
    <row r="247" spans="2:10" hidden="1"/>
    <row r="248" spans="2:10" hidden="1">
      <c r="B248" s="201" t="s">
        <v>235</v>
      </c>
    </row>
    <row r="249" spans="2:10" hidden="1">
      <c r="C249" s="201" t="s">
        <v>226</v>
      </c>
      <c r="D249" s="201" t="s">
        <v>392</v>
      </c>
      <c r="F249" s="201" t="s">
        <v>393</v>
      </c>
    </row>
    <row r="250" spans="2:10" hidden="1">
      <c r="B250" s="201" t="s">
        <v>394</v>
      </c>
      <c r="C250" s="190">
        <f>E106</f>
        <v>130.11000000000001</v>
      </c>
      <c r="D250" s="190">
        <f>(C6+E6+E6)</f>
        <v>0.5</v>
      </c>
      <c r="F250" s="153">
        <f>C250*D250</f>
        <v>65.055000000000007</v>
      </c>
      <c r="G250" s="153">
        <v>1.1000000000000001</v>
      </c>
      <c r="H250" s="153">
        <f>F250*G250</f>
        <v>71.560500000000019</v>
      </c>
    </row>
    <row r="251" spans="2:10" hidden="1"/>
    <row r="252" spans="2:10" hidden="1"/>
    <row r="253" spans="2:10" hidden="1"/>
    <row r="254" spans="2:10" hidden="1"/>
    <row r="255" spans="2:10" hidden="1"/>
    <row r="256" spans="2:10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spans="2:5" hidden="1"/>
    <row r="360" spans="2:5">
      <c r="C360" s="1"/>
      <c r="D360" s="1"/>
      <c r="E360" s="1"/>
    </row>
    <row r="361" spans="2:5">
      <c r="C361" s="1"/>
      <c r="D361" s="1"/>
      <c r="E361" s="1"/>
    </row>
    <row r="362" spans="2:5">
      <c r="C362" s="1"/>
      <c r="D362" s="1"/>
      <c r="E362" s="1"/>
    </row>
    <row r="363" spans="2:5">
      <c r="C363" s="1"/>
      <c r="D363" s="1"/>
      <c r="E363" s="1"/>
    </row>
    <row r="365" spans="2:5">
      <c r="B365" s="1"/>
      <c r="C365" s="1"/>
      <c r="D365" s="1"/>
    </row>
    <row r="366" spans="2:5">
      <c r="B366" s="1"/>
      <c r="C366" s="1"/>
      <c r="D366" s="1"/>
    </row>
    <row r="367" spans="2:5">
      <c r="B367" s="1"/>
      <c r="C367" s="1"/>
      <c r="D367" s="1"/>
    </row>
    <row r="368" spans="2:5">
      <c r="B368" s="1"/>
      <c r="C368" s="1"/>
      <c r="D368" s="1"/>
    </row>
  </sheetData>
  <mergeCells count="10">
    <mergeCell ref="L105:M105"/>
    <mergeCell ref="O105:P105"/>
    <mergeCell ref="H3:J3"/>
    <mergeCell ref="T6:U6"/>
    <mergeCell ref="W7:W17"/>
    <mergeCell ref="W18:W20"/>
    <mergeCell ref="L103:S103"/>
    <mergeCell ref="L104:N104"/>
    <mergeCell ref="O104:Q104"/>
    <mergeCell ref="R104:S104"/>
  </mergeCells>
  <pageMargins left="0.7" right="0.7" top="0.75" bottom="0.75" header="0.3" footer="0.3"/>
  <pageSetup paperSize="9" orientation="portrait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45875-A9EE-4A77-83BA-413B305A5D0C}">
  <dimension ref="A1:N32"/>
  <sheetViews>
    <sheetView workbookViewId="0">
      <selection activeCell="F10" sqref="F10"/>
    </sheetView>
  </sheetViews>
  <sheetFormatPr defaultColWidth="9.109375" defaultRowHeight="14.4"/>
  <cols>
    <col min="1" max="1" width="15.6640625" style="1" bestFit="1" customWidth="1"/>
    <col min="2" max="2" width="9.109375" style="1"/>
    <col min="3" max="3" width="11.5546875" style="1" bestFit="1" customWidth="1"/>
    <col min="4" max="5" width="9.109375" style="1"/>
    <col min="6" max="6" width="13.44140625" style="1" bestFit="1" customWidth="1"/>
    <col min="7" max="7" width="9.109375" style="1"/>
    <col min="8" max="8" width="11" style="1" bestFit="1" customWidth="1"/>
    <col min="9" max="9" width="11.6640625" style="1" bestFit="1" customWidth="1"/>
    <col min="10" max="10" width="15.5546875" style="1" bestFit="1" customWidth="1"/>
    <col min="11" max="11" width="17.88671875" style="1" bestFit="1" customWidth="1"/>
    <col min="12" max="12" width="11.5546875" style="1" bestFit="1" customWidth="1"/>
    <col min="13" max="14" width="9.109375" style="1"/>
    <col min="15" max="15" width="11.5546875" style="1" bestFit="1" customWidth="1"/>
    <col min="16" max="16384" width="9.109375" style="1"/>
  </cols>
  <sheetData>
    <row r="1" spans="1:14">
      <c r="A1" s="310" t="s">
        <v>514</v>
      </c>
    </row>
    <row r="3" spans="1:14">
      <c r="A3" s="2" t="s">
        <v>0</v>
      </c>
      <c r="B3" s="2"/>
      <c r="C3" s="2" t="s">
        <v>1</v>
      </c>
      <c r="D3" s="2"/>
      <c r="E3" s="2"/>
      <c r="F3" s="2" t="s">
        <v>396</v>
      </c>
      <c r="G3" s="2"/>
      <c r="H3" s="2" t="s">
        <v>515</v>
      </c>
      <c r="I3" s="3" t="s">
        <v>516</v>
      </c>
      <c r="M3" s="2"/>
      <c r="N3" s="2"/>
    </row>
    <row r="5" spans="1:14">
      <c r="A5" s="1" t="s">
        <v>3</v>
      </c>
      <c r="C5" s="1">
        <v>96.6</v>
      </c>
      <c r="F5" s="1" t="s">
        <v>509</v>
      </c>
      <c r="H5" s="1">
        <v>15.1</v>
      </c>
      <c r="I5" s="1">
        <v>9</v>
      </c>
    </row>
    <row r="6" spans="1:14">
      <c r="A6" s="1" t="s">
        <v>4</v>
      </c>
      <c r="C6" s="1">
        <v>128.4</v>
      </c>
      <c r="F6" s="1" t="s">
        <v>379</v>
      </c>
      <c r="H6" s="1">
        <v>19.61</v>
      </c>
      <c r="I6" s="1">
        <f>(9+8)/2</f>
        <v>8.5</v>
      </c>
    </row>
    <row r="7" spans="1:14">
      <c r="A7" s="1" t="s">
        <v>2</v>
      </c>
      <c r="C7" s="1">
        <v>80</v>
      </c>
      <c r="F7" s="1" t="s">
        <v>510</v>
      </c>
      <c r="H7" s="1">
        <v>36.76</v>
      </c>
      <c r="I7" s="1">
        <v>8</v>
      </c>
    </row>
    <row r="8" spans="1:14">
      <c r="A8" s="1" t="s">
        <v>517</v>
      </c>
      <c r="C8" s="1">
        <v>96.9</v>
      </c>
    </row>
    <row r="10" spans="1:14">
      <c r="F10" s="2" t="s">
        <v>518</v>
      </c>
      <c r="G10" s="2"/>
      <c r="H10" s="2" t="s">
        <v>515</v>
      </c>
      <c r="I10" s="1" t="s">
        <v>403</v>
      </c>
      <c r="J10" s="4" t="s">
        <v>519</v>
      </c>
      <c r="K10" s="5" t="s">
        <v>520</v>
      </c>
      <c r="L10" s="1" t="s">
        <v>404</v>
      </c>
      <c r="M10" s="1" t="s">
        <v>405</v>
      </c>
    </row>
    <row r="12" spans="1:14">
      <c r="A12" s="1" t="s">
        <v>521</v>
      </c>
      <c r="C12" s="1">
        <f>30.5+27.25</f>
        <v>57.75</v>
      </c>
      <c r="F12" s="1" t="s">
        <v>378</v>
      </c>
      <c r="H12" s="1">
        <v>17.47</v>
      </c>
      <c r="I12" s="1">
        <v>3.1</v>
      </c>
      <c r="J12" s="1">
        <v>5.58</v>
      </c>
      <c r="K12" s="1">
        <v>11.1</v>
      </c>
      <c r="L12" s="1">
        <v>13.5</v>
      </c>
      <c r="M12" s="1">
        <v>15.83</v>
      </c>
    </row>
    <row r="13" spans="1:14">
      <c r="A13" s="1" t="s">
        <v>401</v>
      </c>
      <c r="C13" s="1">
        <v>46.75</v>
      </c>
      <c r="F13" s="1" t="s">
        <v>379</v>
      </c>
      <c r="H13" s="1">
        <v>18.100000000000001</v>
      </c>
      <c r="I13" s="1">
        <f>(I12+13.15)/2</f>
        <v>8.125</v>
      </c>
      <c r="J13" s="1">
        <f>(5.58+9.42)/2</f>
        <v>7.5</v>
      </c>
      <c r="K13" s="1">
        <f>(11.1+12.93)/2</f>
        <v>12.015000000000001</v>
      </c>
      <c r="L13" s="1">
        <f>(L12+19.8)/2</f>
        <v>16.649999999999999</v>
      </c>
      <c r="M13" s="1">
        <f>(15.83+27.26)/2</f>
        <v>21.545000000000002</v>
      </c>
    </row>
    <row r="14" spans="1:14">
      <c r="F14" s="1" t="s">
        <v>505</v>
      </c>
      <c r="H14" s="1">
        <v>45.59</v>
      </c>
      <c r="I14" s="1">
        <f>(13.15+7.65)/2</f>
        <v>10.4</v>
      </c>
      <c r="J14" s="1">
        <f>(9.42+5.58)/2</f>
        <v>7.5</v>
      </c>
      <c r="K14" s="1">
        <f>(12.93+10.68)/2</f>
        <v>11.805</v>
      </c>
      <c r="L14" s="1">
        <f>(19.8+14.25)/2</f>
        <v>17.024999999999999</v>
      </c>
      <c r="M14" s="1">
        <f>(27.26+12.28)/2</f>
        <v>19.77</v>
      </c>
    </row>
    <row r="15" spans="1:14">
      <c r="A15" s="1" t="s">
        <v>406</v>
      </c>
      <c r="C15" s="1">
        <v>154.15</v>
      </c>
      <c r="F15" s="1" t="s">
        <v>506</v>
      </c>
      <c r="H15" s="1">
        <v>16.8</v>
      </c>
      <c r="I15" s="1">
        <v>7.65</v>
      </c>
      <c r="J15" s="1">
        <v>5.58</v>
      </c>
      <c r="K15" s="1">
        <v>10.68</v>
      </c>
      <c r="L15" s="1">
        <v>14.25</v>
      </c>
      <c r="M15" s="1">
        <v>12.28</v>
      </c>
    </row>
    <row r="17" spans="1:4">
      <c r="A17" s="1" t="s">
        <v>408</v>
      </c>
      <c r="B17" s="1" t="s">
        <v>6</v>
      </c>
      <c r="C17" s="1">
        <v>269.55</v>
      </c>
    </row>
    <row r="18" spans="1:4">
      <c r="B18" s="1" t="s">
        <v>7</v>
      </c>
      <c r="C18" s="1">
        <v>195.78</v>
      </c>
    </row>
    <row r="21" spans="1:4">
      <c r="A21" s="311" t="s">
        <v>398</v>
      </c>
      <c r="C21" s="312" t="s">
        <v>1</v>
      </c>
    </row>
    <row r="22" spans="1:4">
      <c r="A22" s="313">
        <v>106</v>
      </c>
      <c r="C22" s="314" t="s">
        <v>512</v>
      </c>
    </row>
    <row r="23" spans="1:4">
      <c r="A23" s="313">
        <v>24</v>
      </c>
      <c r="C23" s="314" t="s">
        <v>513</v>
      </c>
    </row>
    <row r="24" spans="1:4">
      <c r="A24" s="315"/>
      <c r="C24" s="314"/>
    </row>
    <row r="25" spans="1:4">
      <c r="A25" s="315" t="s">
        <v>407</v>
      </c>
      <c r="C25" s="314"/>
    </row>
    <row r="26" spans="1:4">
      <c r="A26" s="315">
        <v>11</v>
      </c>
      <c r="C26" s="314" t="s">
        <v>522</v>
      </c>
    </row>
    <row r="32" spans="1:4">
      <c r="D32" s="314"/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873E4-64A1-4FAF-A951-060AD169B1F0}">
  <sheetPr>
    <tabColor rgb="FF002060"/>
    <pageSetUpPr fitToPage="1"/>
  </sheetPr>
  <dimension ref="A1:M38"/>
  <sheetViews>
    <sheetView showGridLines="0" view="pageBreakPreview" zoomScaleNormal="100" zoomScaleSheetLayoutView="100" workbookViewId="0">
      <selection activeCell="F32" sqref="F32"/>
    </sheetView>
  </sheetViews>
  <sheetFormatPr defaultColWidth="9.109375" defaultRowHeight="13.2"/>
  <cols>
    <col min="1" max="1" width="5.6640625" style="21" customWidth="1"/>
    <col min="2" max="2" width="40.6640625" style="22" customWidth="1"/>
    <col min="3" max="3" width="6.6640625" style="21" customWidth="1"/>
    <col min="4" max="4" width="8.6640625" style="23" customWidth="1"/>
    <col min="5" max="5" width="13.33203125" style="24" customWidth="1"/>
    <col min="6" max="6" width="33" style="24" customWidth="1"/>
    <col min="7" max="7" width="1.6640625" style="22" customWidth="1"/>
    <col min="8" max="8" width="17.5546875" style="25" customWidth="1"/>
    <col min="9" max="9" width="13.44140625" style="26" bestFit="1" customWidth="1"/>
    <col min="10" max="10" width="11.6640625" style="25" bestFit="1" customWidth="1"/>
    <col min="11" max="11" width="12.44140625" style="22" bestFit="1" customWidth="1"/>
    <col min="12" max="12" width="13.5546875" style="22" customWidth="1"/>
    <col min="13" max="13" width="14.109375" style="22" customWidth="1"/>
    <col min="14" max="16384" width="9.109375" style="22"/>
  </cols>
  <sheetData>
    <row r="1" spans="1:13" customFormat="1" ht="15.6">
      <c r="A1" s="772" t="s">
        <v>932</v>
      </c>
      <c r="B1" s="773"/>
      <c r="C1" s="773"/>
      <c r="D1" s="773"/>
      <c r="E1" s="773"/>
      <c r="F1" s="774"/>
    </row>
    <row r="2" spans="1:13" customFormat="1" ht="51" customHeight="1" thickBot="1">
      <c r="A2" s="786" t="s">
        <v>1155</v>
      </c>
      <c r="B2" s="787"/>
      <c r="C2" s="787"/>
      <c r="D2" s="787"/>
      <c r="E2" s="787"/>
      <c r="F2" s="788"/>
    </row>
    <row r="3" spans="1:13" customFormat="1" ht="15" hidden="1" thickBot="1">
      <c r="A3" s="644"/>
      <c r="B3" s="645"/>
      <c r="C3" s="645"/>
      <c r="D3" s="645"/>
      <c r="E3" s="646"/>
      <c r="F3" s="647"/>
    </row>
    <row r="4" spans="1:13" customFormat="1" ht="15" thickBot="1">
      <c r="A4" s="636"/>
      <c r="B4" s="6" t="s">
        <v>8</v>
      </c>
      <c r="C4" s="6"/>
      <c r="D4" s="7"/>
      <c r="E4" s="8"/>
      <c r="F4" s="637" t="s">
        <v>9</v>
      </c>
    </row>
    <row r="5" spans="1:13" s="11" customFormat="1" ht="24.9" customHeight="1">
      <c r="A5" s="9"/>
      <c r="B5" s="776" t="str">
        <f>'Bill 4.1'!A1</f>
        <v>BILL No. 4.1 - SITE CLEARING</v>
      </c>
      <c r="C5" s="776"/>
      <c r="D5" s="776"/>
      <c r="E5" s="777"/>
      <c r="F5" s="10"/>
      <c r="H5" s="12"/>
      <c r="I5" s="13"/>
      <c r="J5" s="12"/>
      <c r="L5" s="14"/>
    </row>
    <row r="6" spans="1:13" s="11" customFormat="1" ht="17.399999999999999" customHeight="1">
      <c r="A6" s="9"/>
      <c r="B6" s="776" t="str">
        <f>'Bill 4.2'!A1</f>
        <v>BILL No. 4.2 - EARTHWORKS</v>
      </c>
      <c r="C6" s="776"/>
      <c r="D6" s="776"/>
      <c r="E6" s="777"/>
      <c r="F6" s="10"/>
      <c r="H6" s="12"/>
      <c r="I6" s="13"/>
      <c r="J6" s="12"/>
      <c r="L6" s="14"/>
    </row>
    <row r="7" spans="1:13" s="11" customFormat="1" ht="24.9" customHeight="1">
      <c r="A7" s="9"/>
      <c r="B7" s="776" t="str">
        <f>Bill4.3!A1</f>
        <v>BILL No. 4.3 - STRUCTURE CONSTRUCTION</v>
      </c>
      <c r="C7" s="776"/>
      <c r="D7" s="776"/>
      <c r="E7" s="777"/>
      <c r="F7" s="10"/>
      <c r="H7" s="12"/>
      <c r="I7" s="13"/>
      <c r="J7" s="12"/>
      <c r="L7" s="14"/>
    </row>
    <row r="8" spans="1:13" s="11" customFormat="1" ht="20.399999999999999" customHeight="1">
      <c r="A8" s="9"/>
      <c r="B8" s="593" t="str">
        <f>'Bill 4.4'!A1</f>
        <v>BILL No. 4.4 - SOIL NAILING AND HORIZONTAL DRAINS</v>
      </c>
      <c r="C8" s="593"/>
      <c r="D8" s="593"/>
      <c r="E8" s="593"/>
      <c r="F8" s="10"/>
      <c r="H8" s="12"/>
      <c r="I8" s="13"/>
      <c r="J8" s="12"/>
      <c r="L8" s="14"/>
    </row>
    <row r="9" spans="1:13" s="11" customFormat="1" ht="23.4" customHeight="1" thickBot="1">
      <c r="A9" s="9"/>
      <c r="B9" s="302" t="str">
        <f>'Bill 4.5'!A1</f>
        <v>BILL No. 4.5 - INCIDENTIAL CONSTRUCTION</v>
      </c>
      <c r="C9" s="593"/>
      <c r="D9" s="593"/>
      <c r="E9" s="593"/>
      <c r="F9" s="10"/>
      <c r="H9" s="12"/>
      <c r="I9" s="12"/>
      <c r="J9" s="12"/>
    </row>
    <row r="10" spans="1:13" s="11" customFormat="1" ht="24.9" customHeight="1" thickBot="1">
      <c r="A10" s="15"/>
      <c r="B10" s="723" t="s">
        <v>12</v>
      </c>
      <c r="C10" s="723"/>
      <c r="D10" s="723"/>
      <c r="E10" s="724"/>
      <c r="F10" s="16"/>
      <c r="H10" s="12"/>
      <c r="I10" s="17"/>
      <c r="J10" s="12"/>
      <c r="K10" s="14"/>
      <c r="M10" s="12"/>
    </row>
    <row r="11" spans="1:13" s="11" customFormat="1" ht="38.4" customHeight="1">
      <c r="A11" s="18"/>
      <c r="C11" s="18"/>
      <c r="D11" s="19"/>
      <c r="E11" s="20"/>
      <c r="F11" s="20"/>
      <c r="H11" s="12"/>
      <c r="I11" s="13"/>
      <c r="J11" s="12"/>
    </row>
    <row r="12" spans="1:13" s="11" customFormat="1" ht="38.4" customHeight="1">
      <c r="A12" s="18"/>
      <c r="C12" s="18"/>
      <c r="D12" s="19"/>
      <c r="E12" s="20"/>
      <c r="F12" s="20"/>
      <c r="H12" s="12"/>
      <c r="I12" s="13"/>
      <c r="J12" s="12"/>
    </row>
    <row r="13" spans="1:13" s="11" customFormat="1" ht="38.4" customHeight="1">
      <c r="A13" s="18"/>
      <c r="C13" s="18"/>
      <c r="D13" s="19"/>
      <c r="E13" s="20"/>
      <c r="F13" s="20"/>
      <c r="H13" s="12"/>
      <c r="I13" s="13"/>
      <c r="J13" s="12"/>
    </row>
    <row r="14" spans="1:13" s="11" customFormat="1" ht="38.4" customHeight="1">
      <c r="A14" s="18"/>
      <c r="C14" s="18"/>
      <c r="D14" s="19"/>
      <c r="E14" s="20"/>
      <c r="F14" s="20"/>
      <c r="H14" s="12"/>
      <c r="I14" s="13"/>
      <c r="J14" s="12"/>
    </row>
    <row r="15" spans="1:13" s="11" customFormat="1" ht="38.4" customHeight="1">
      <c r="A15" s="18"/>
      <c r="C15" s="18"/>
      <c r="D15" s="19"/>
      <c r="E15" s="20"/>
      <c r="F15" s="20"/>
      <c r="H15" s="12"/>
      <c r="I15" s="13"/>
      <c r="J15" s="12"/>
    </row>
    <row r="16" spans="1:13" s="11" customFormat="1" ht="38.4" customHeight="1">
      <c r="A16" s="18"/>
      <c r="C16" s="18"/>
      <c r="D16" s="19"/>
      <c r="E16" s="20"/>
      <c r="F16" s="20"/>
      <c r="H16" s="12"/>
      <c r="I16" s="13"/>
      <c r="J16" s="12"/>
    </row>
    <row r="17" spans="1:10" s="11" customFormat="1" ht="38.4" customHeight="1">
      <c r="A17" s="18"/>
      <c r="C17" s="18"/>
      <c r="D17" s="19"/>
      <c r="E17" s="20"/>
      <c r="F17" s="20"/>
      <c r="H17" s="12"/>
      <c r="I17" s="13"/>
      <c r="J17" s="12"/>
    </row>
    <row r="18" spans="1:10" s="11" customFormat="1" ht="38.4" customHeight="1">
      <c r="A18" s="18"/>
      <c r="C18" s="18"/>
      <c r="D18" s="19"/>
      <c r="E18" s="20"/>
      <c r="F18" s="20"/>
      <c r="H18" s="12"/>
      <c r="I18" s="13"/>
      <c r="J18" s="12"/>
    </row>
    <row r="19" spans="1:10" s="11" customFormat="1" ht="38.4" customHeight="1">
      <c r="A19" s="18"/>
      <c r="C19" s="18"/>
      <c r="D19" s="19"/>
      <c r="E19" s="20"/>
      <c r="F19" s="20"/>
      <c r="H19" s="12"/>
      <c r="I19" s="13"/>
      <c r="J19" s="12"/>
    </row>
    <row r="20" spans="1:10" s="11" customFormat="1" ht="38.4" customHeight="1">
      <c r="A20" s="18"/>
      <c r="C20" s="18"/>
      <c r="D20" s="19"/>
      <c r="E20" s="20"/>
      <c r="F20" s="20"/>
      <c r="H20" s="12"/>
      <c r="I20" s="13"/>
      <c r="J20" s="12"/>
    </row>
    <row r="21" spans="1:10" s="11" customFormat="1" ht="34.799999999999997" customHeight="1">
      <c r="A21" s="18"/>
      <c r="C21" s="18"/>
      <c r="D21" s="19"/>
      <c r="E21" s="20"/>
      <c r="F21" s="20"/>
      <c r="H21" s="12"/>
      <c r="I21" s="13"/>
      <c r="J21" s="12"/>
    </row>
    <row r="22" spans="1:10" s="11" customFormat="1" ht="34.799999999999997" customHeight="1">
      <c r="A22" s="18"/>
      <c r="C22" s="18"/>
      <c r="D22" s="19"/>
      <c r="E22" s="20"/>
      <c r="F22" s="20"/>
      <c r="H22" s="12"/>
      <c r="I22" s="13"/>
      <c r="J22" s="12"/>
    </row>
    <row r="23" spans="1:10" s="11" customFormat="1" ht="34.799999999999997" customHeight="1">
      <c r="A23" s="18"/>
      <c r="C23" s="18"/>
      <c r="D23" s="19"/>
      <c r="E23" s="20"/>
      <c r="F23" s="20"/>
      <c r="H23" s="12"/>
      <c r="I23" s="13"/>
      <c r="J23" s="12"/>
    </row>
    <row r="24" spans="1:10" s="11" customFormat="1" ht="34.799999999999997" customHeight="1">
      <c r="A24" s="18"/>
      <c r="C24" s="18"/>
      <c r="D24" s="19"/>
      <c r="E24" s="20"/>
      <c r="F24" s="20"/>
      <c r="H24" s="12"/>
      <c r="I24" s="13"/>
      <c r="J24" s="12"/>
    </row>
    <row r="25" spans="1:10" s="11" customFormat="1" ht="34.799999999999997" customHeight="1">
      <c r="A25" s="18"/>
      <c r="C25" s="18"/>
      <c r="D25" s="19"/>
      <c r="E25" s="20"/>
      <c r="F25" s="20"/>
      <c r="H25" s="12"/>
      <c r="I25" s="13"/>
      <c r="J25" s="12"/>
    </row>
    <row r="26" spans="1:10" s="11" customFormat="1" ht="34.799999999999997" customHeight="1">
      <c r="A26" s="18"/>
      <c r="C26" s="18"/>
      <c r="D26" s="19"/>
      <c r="E26" s="20"/>
      <c r="F26" s="20"/>
      <c r="H26" s="12"/>
      <c r="I26" s="13"/>
      <c r="J26" s="12"/>
    </row>
    <row r="27" spans="1:10" s="11" customFormat="1">
      <c r="A27" s="18"/>
      <c r="C27" s="18"/>
      <c r="D27" s="19"/>
      <c r="E27" s="20"/>
      <c r="F27" s="20"/>
      <c r="H27" s="12"/>
      <c r="I27" s="13"/>
      <c r="J27" s="12"/>
    </row>
    <row r="28" spans="1:10" s="11" customFormat="1">
      <c r="A28" s="18"/>
      <c r="C28" s="18"/>
      <c r="D28" s="19"/>
      <c r="E28" s="20"/>
      <c r="F28" s="20"/>
      <c r="H28" s="12"/>
      <c r="I28" s="13"/>
      <c r="J28" s="12"/>
    </row>
    <row r="29" spans="1:10" s="11" customFormat="1">
      <c r="A29" s="18"/>
      <c r="C29" s="18"/>
      <c r="D29" s="19"/>
      <c r="E29" s="20"/>
      <c r="F29" s="20"/>
      <c r="H29" s="12"/>
      <c r="I29" s="13"/>
      <c r="J29" s="12"/>
    </row>
    <row r="30" spans="1:10" s="11" customFormat="1">
      <c r="A30" s="18"/>
      <c r="C30" s="18"/>
      <c r="D30" s="19"/>
      <c r="E30" s="20"/>
      <c r="F30" s="20"/>
      <c r="H30" s="12"/>
      <c r="I30" s="13"/>
      <c r="J30" s="12"/>
    </row>
    <row r="31" spans="1:10" s="11" customFormat="1">
      <c r="A31" s="18"/>
      <c r="C31" s="18"/>
      <c r="D31" s="19"/>
      <c r="E31" s="20"/>
      <c r="F31" s="20"/>
      <c r="H31" s="12"/>
      <c r="I31" s="13"/>
      <c r="J31" s="12"/>
    </row>
    <row r="32" spans="1:10" s="11" customFormat="1">
      <c r="A32" s="18"/>
      <c r="C32" s="18"/>
      <c r="D32" s="19"/>
      <c r="E32" s="20"/>
      <c r="F32" s="20"/>
      <c r="H32" s="12"/>
      <c r="I32" s="13"/>
      <c r="J32" s="12"/>
    </row>
    <row r="33" spans="1:10" s="11" customFormat="1">
      <c r="A33" s="18"/>
      <c r="C33" s="18"/>
      <c r="D33" s="19"/>
      <c r="E33" s="20"/>
      <c r="F33" s="20"/>
      <c r="H33" s="12"/>
      <c r="I33" s="13"/>
      <c r="J33" s="12"/>
    </row>
    <row r="34" spans="1:10" s="11" customFormat="1">
      <c r="A34" s="18"/>
      <c r="C34" s="18"/>
      <c r="D34" s="19"/>
      <c r="E34" s="20"/>
      <c r="F34" s="20"/>
      <c r="H34" s="12"/>
      <c r="I34" s="13"/>
      <c r="J34" s="12"/>
    </row>
    <row r="35" spans="1:10" s="11" customFormat="1">
      <c r="A35" s="18"/>
      <c r="C35" s="18"/>
      <c r="D35" s="19"/>
      <c r="E35" s="20"/>
      <c r="F35" s="20"/>
      <c r="H35" s="12"/>
      <c r="I35" s="13"/>
      <c r="J35" s="12"/>
    </row>
    <row r="36" spans="1:10" s="11" customFormat="1">
      <c r="A36" s="18"/>
      <c r="C36" s="18"/>
      <c r="D36" s="19"/>
      <c r="E36" s="20"/>
      <c r="F36" s="20"/>
      <c r="H36" s="12"/>
      <c r="I36" s="13"/>
      <c r="J36" s="12"/>
    </row>
    <row r="37" spans="1:10" s="11" customFormat="1">
      <c r="A37" s="18"/>
      <c r="C37" s="18"/>
      <c r="D37" s="19"/>
      <c r="E37" s="20"/>
      <c r="F37" s="20"/>
      <c r="H37" s="12"/>
      <c r="I37" s="13"/>
      <c r="J37" s="12"/>
    </row>
    <row r="38" spans="1:10" s="11" customFormat="1">
      <c r="A38" s="18"/>
      <c r="C38" s="18"/>
      <c r="D38" s="19"/>
      <c r="E38" s="20"/>
      <c r="F38" s="20"/>
      <c r="H38" s="12"/>
      <c r="I38" s="13"/>
      <c r="J38" s="12"/>
    </row>
  </sheetData>
  <mergeCells count="6">
    <mergeCell ref="B10:E10"/>
    <mergeCell ref="A1:F1"/>
    <mergeCell ref="A2:F2"/>
    <mergeCell ref="B5:E5"/>
    <mergeCell ref="B6:E6"/>
    <mergeCell ref="B7:E7"/>
  </mergeCells>
  <printOptions horizontalCentered="1"/>
  <pageMargins left="0.75" right="0.4" top="0.75" bottom="0.5" header="0" footer="0"/>
  <pageSetup paperSize="9" scale="83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AA970-8ADF-4EEE-BA9B-0BC46F364F1B}">
  <sheetPr>
    <tabColor rgb="FFFF9933"/>
    <pageSetUpPr fitToPage="1"/>
  </sheetPr>
  <dimension ref="A1:O26"/>
  <sheetViews>
    <sheetView view="pageBreakPreview" topLeftCell="A4" zoomScaleNormal="100" zoomScaleSheetLayoutView="100" workbookViewId="0">
      <selection activeCell="I4" sqref="I1:N1048576"/>
    </sheetView>
  </sheetViews>
  <sheetFormatPr defaultColWidth="9.109375" defaultRowHeight="13.2"/>
  <cols>
    <col min="1" max="1" width="7.6640625" style="31" customWidth="1"/>
    <col min="2" max="2" width="9.6640625" style="31" customWidth="1"/>
    <col min="3" max="3" width="50.6640625" style="31" customWidth="1"/>
    <col min="4" max="4" width="7.6640625" style="31" customWidth="1"/>
    <col min="5" max="5" width="8.6640625" style="31" customWidth="1"/>
    <col min="6" max="6" width="10.6640625" style="31" customWidth="1"/>
    <col min="7" max="7" width="17.6640625" style="31" customWidth="1"/>
    <col min="8" max="8" width="9.109375" style="31"/>
    <col min="9" max="14" width="0" style="31" hidden="1" customWidth="1"/>
    <col min="15" max="16384" width="9.109375" style="31"/>
  </cols>
  <sheetData>
    <row r="1" spans="1:15" s="27" customFormat="1" ht="70.8" customHeight="1" thickBot="1">
      <c r="A1" s="778" t="s">
        <v>415</v>
      </c>
      <c r="B1" s="779"/>
      <c r="C1" s="779"/>
      <c r="D1" s="780" t="str">
        <f>'Bill No. 4'!A2</f>
        <v xml:space="preserve">BILL NO. 04 - 
REDUCTION OF LANDSLIDE VULNERABILITY BY MITIGATION MEASURES
 BETWEEN 17/5 ~ 18/1 CULVERTS ON PELAWATTA - NELUWA ROAD (B363) (SITE NO. 87)
</v>
      </c>
      <c r="E1" s="780"/>
      <c r="F1" s="780"/>
      <c r="G1" s="781"/>
    </row>
    <row r="2" spans="1:15" ht="26.4">
      <c r="A2" s="620" t="s">
        <v>13</v>
      </c>
      <c r="B2" s="28" t="s">
        <v>14</v>
      </c>
      <c r="C2" s="29" t="s">
        <v>8</v>
      </c>
      <c r="D2" s="28" t="s">
        <v>15</v>
      </c>
      <c r="E2" s="28" t="s">
        <v>16</v>
      </c>
      <c r="F2" s="30" t="s">
        <v>17</v>
      </c>
      <c r="G2" s="621" t="s">
        <v>18</v>
      </c>
    </row>
    <row r="3" spans="1:15" ht="30" customHeight="1">
      <c r="A3" s="622" t="s">
        <v>416</v>
      </c>
      <c r="B3" s="32"/>
      <c r="C3" s="218" t="s">
        <v>20</v>
      </c>
      <c r="D3" s="32"/>
      <c r="E3" s="32"/>
      <c r="F3" s="32"/>
      <c r="G3" s="623"/>
      <c r="I3" s="219" t="s">
        <v>0</v>
      </c>
      <c r="J3" s="791" t="s">
        <v>417</v>
      </c>
      <c r="K3" s="791"/>
    </row>
    <row r="4" spans="1:15" ht="26.4">
      <c r="A4" s="624" t="s">
        <v>418</v>
      </c>
      <c r="B4" s="33" t="s">
        <v>22</v>
      </c>
      <c r="C4" s="34" t="s">
        <v>23</v>
      </c>
      <c r="D4" s="33" t="s">
        <v>24</v>
      </c>
      <c r="E4" s="234">
        <v>2100</v>
      </c>
      <c r="F4" s="35"/>
      <c r="G4" s="625"/>
      <c r="I4" s="44">
        <f>Drains87!G109+Drains87!G168</f>
        <v>334.44999999999993</v>
      </c>
      <c r="J4" s="44">
        <f>'QTY87'!J13</f>
        <v>1676.1899999999998</v>
      </c>
      <c r="K4" s="247"/>
      <c r="L4" s="44">
        <f>SUM(I4:K4)</f>
        <v>2010.6399999999999</v>
      </c>
    </row>
    <row r="5" spans="1:15" s="27" customFormat="1" ht="30" customHeight="1">
      <c r="A5" s="624" t="s">
        <v>419</v>
      </c>
      <c r="B5" s="36" t="s">
        <v>26</v>
      </c>
      <c r="C5" s="37" t="s">
        <v>27</v>
      </c>
      <c r="D5" s="36" t="s">
        <v>28</v>
      </c>
      <c r="E5" s="248">
        <v>40</v>
      </c>
      <c r="F5" s="38"/>
      <c r="G5" s="39"/>
      <c r="H5" s="40"/>
      <c r="I5" s="792" t="s">
        <v>420</v>
      </c>
      <c r="J5" s="793"/>
      <c r="K5" s="794"/>
    </row>
    <row r="6" spans="1:15" s="27" customFormat="1" ht="30" customHeight="1">
      <c r="A6" s="624" t="s">
        <v>421</v>
      </c>
      <c r="B6" s="36" t="s">
        <v>30</v>
      </c>
      <c r="C6" s="37" t="s">
        <v>31</v>
      </c>
      <c r="D6" s="36" t="s">
        <v>28</v>
      </c>
      <c r="E6" s="248">
        <v>35</v>
      </c>
      <c r="F6" s="38"/>
      <c r="G6" s="39"/>
      <c r="H6" s="40"/>
      <c r="I6" s="795"/>
      <c r="J6" s="796"/>
      <c r="K6" s="797"/>
    </row>
    <row r="7" spans="1:15" s="27" customFormat="1" ht="30" customHeight="1">
      <c r="A7" s="624" t="s">
        <v>422</v>
      </c>
      <c r="B7" s="56" t="s">
        <v>237</v>
      </c>
      <c r="C7" s="222" t="s">
        <v>238</v>
      </c>
      <c r="D7" s="36" t="s">
        <v>28</v>
      </c>
      <c r="E7" s="248">
        <v>10</v>
      </c>
      <c r="F7" s="57"/>
      <c r="G7" s="39"/>
      <c r="H7" s="40"/>
      <c r="I7" s="795"/>
      <c r="J7" s="796"/>
      <c r="K7" s="797"/>
    </row>
    <row r="8" spans="1:15" s="27" customFormat="1" ht="30" customHeight="1">
      <c r="A8" s="624" t="s">
        <v>423</v>
      </c>
      <c r="B8" s="56" t="s">
        <v>240</v>
      </c>
      <c r="C8" s="222" t="s">
        <v>241</v>
      </c>
      <c r="D8" s="36" t="s">
        <v>28</v>
      </c>
      <c r="E8" s="248">
        <v>10</v>
      </c>
      <c r="F8" s="57"/>
      <c r="G8" s="39"/>
      <c r="H8" s="40"/>
      <c r="I8" s="795"/>
      <c r="J8" s="796"/>
      <c r="K8" s="797"/>
    </row>
    <row r="9" spans="1:15" s="27" customFormat="1" ht="30" customHeight="1">
      <c r="A9" s="624" t="s">
        <v>424</v>
      </c>
      <c r="B9" s="56" t="s">
        <v>33</v>
      </c>
      <c r="C9" s="222" t="s">
        <v>243</v>
      </c>
      <c r="D9" s="36" t="s">
        <v>28</v>
      </c>
      <c r="E9" s="248">
        <v>15</v>
      </c>
      <c r="F9" s="57"/>
      <c r="G9" s="39"/>
      <c r="H9" s="40"/>
      <c r="I9" s="795"/>
      <c r="J9" s="796"/>
      <c r="K9" s="797"/>
    </row>
    <row r="10" spans="1:15" s="27" customFormat="1" ht="30" customHeight="1">
      <c r="A10" s="624" t="s">
        <v>425</v>
      </c>
      <c r="B10" s="56" t="s">
        <v>245</v>
      </c>
      <c r="C10" s="222" t="s">
        <v>246</v>
      </c>
      <c r="D10" s="36" t="s">
        <v>28</v>
      </c>
      <c r="E10" s="248">
        <v>10</v>
      </c>
      <c r="F10" s="57"/>
      <c r="G10" s="39"/>
      <c r="H10" s="40"/>
      <c r="I10" s="795"/>
      <c r="J10" s="796"/>
      <c r="K10" s="797"/>
      <c r="O10" s="27">
        <v>0</v>
      </c>
    </row>
    <row r="11" spans="1:15" customFormat="1" ht="38.4" customHeight="1">
      <c r="A11" s="626" t="s">
        <v>426</v>
      </c>
      <c r="B11" s="250"/>
      <c r="C11" s="251" t="s">
        <v>318</v>
      </c>
      <c r="D11" s="250"/>
      <c r="E11" s="252"/>
      <c r="F11" s="57"/>
      <c r="G11" s="627"/>
      <c r="I11" s="795"/>
      <c r="J11" s="796"/>
      <c r="K11" s="797"/>
    </row>
    <row r="12" spans="1:15" customFormat="1" ht="38.4" customHeight="1">
      <c r="A12" s="221" t="s">
        <v>427</v>
      </c>
      <c r="B12" s="250" t="s">
        <v>320</v>
      </c>
      <c r="C12" s="253" t="s">
        <v>321</v>
      </c>
      <c r="D12" s="250" t="s">
        <v>37</v>
      </c>
      <c r="E12" s="252">
        <v>10</v>
      </c>
      <c r="F12" s="57"/>
      <c r="G12" s="627"/>
      <c r="I12" s="795"/>
      <c r="J12" s="796"/>
      <c r="K12" s="797"/>
    </row>
    <row r="13" spans="1:15" customFormat="1" ht="38.4" customHeight="1">
      <c r="A13" s="221" t="s">
        <v>428</v>
      </c>
      <c r="B13" s="254" t="s">
        <v>323</v>
      </c>
      <c r="C13" s="255" t="s">
        <v>324</v>
      </c>
      <c r="D13" s="254" t="s">
        <v>37</v>
      </c>
      <c r="E13" s="256">
        <v>10</v>
      </c>
      <c r="F13" s="257"/>
      <c r="G13" s="627"/>
      <c r="I13" s="798"/>
      <c r="J13" s="799"/>
      <c r="K13" s="800"/>
    </row>
    <row r="14" spans="1:15" ht="38.4" customHeight="1" thickBot="1">
      <c r="A14" s="631"/>
      <c r="B14" s="783" t="s">
        <v>429</v>
      </c>
      <c r="C14" s="784"/>
      <c r="D14" s="784"/>
      <c r="E14" s="784"/>
      <c r="F14" s="785"/>
      <c r="G14" s="632"/>
    </row>
    <row r="15" spans="1:15" ht="38.4" customHeight="1"/>
    <row r="16" spans="1:15" ht="38.4" customHeight="1"/>
    <row r="17" ht="38.4" customHeight="1"/>
    <row r="18" ht="38.4" customHeight="1"/>
    <row r="19" ht="38.4" customHeight="1"/>
    <row r="20" ht="38.4" customHeight="1"/>
    <row r="21" ht="34.799999999999997" customHeight="1"/>
    <row r="22" ht="34.799999999999997" customHeight="1"/>
    <row r="23" ht="34.799999999999997" customHeight="1"/>
    <row r="24" ht="34.799999999999997" customHeight="1"/>
    <row r="25" ht="34.799999999999997" customHeight="1"/>
    <row r="26" ht="34.799999999999997" customHeight="1"/>
  </sheetData>
  <mergeCells count="5">
    <mergeCell ref="A1:C1"/>
    <mergeCell ref="D1:G1"/>
    <mergeCell ref="J3:K3"/>
    <mergeCell ref="I5:K13"/>
    <mergeCell ref="B14:F14"/>
  </mergeCells>
  <phoneticPr fontId="32" type="noConversion"/>
  <printOptions horizontalCentered="1"/>
  <pageMargins left="0.75" right="0.4" top="0.75" bottom="0.5" header="0" footer="0"/>
  <pageSetup paperSize="9" scale="80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C3332-702E-433E-8B85-361FED374E0F}">
  <sheetPr>
    <tabColor rgb="FFFF9933"/>
    <pageSetUpPr fitToPage="1"/>
  </sheetPr>
  <dimension ref="A1:L26"/>
  <sheetViews>
    <sheetView view="pageBreakPreview" zoomScaleNormal="100" zoomScaleSheetLayoutView="100" workbookViewId="0">
      <selection activeCell="H1" sqref="H1:K1048576"/>
    </sheetView>
  </sheetViews>
  <sheetFormatPr defaultColWidth="9.109375" defaultRowHeight="13.2"/>
  <cols>
    <col min="1" max="1" width="7.6640625" style="31" customWidth="1"/>
    <col min="2" max="2" width="9.6640625" style="31" customWidth="1"/>
    <col min="3" max="3" width="54" style="31" customWidth="1"/>
    <col min="4" max="4" width="7.6640625" style="31" customWidth="1"/>
    <col min="5" max="5" width="8.6640625" style="567" customWidth="1"/>
    <col min="6" max="6" width="10.6640625" style="31" customWidth="1"/>
    <col min="7" max="7" width="17.6640625" style="31" customWidth="1"/>
    <col min="8" max="8" width="9.44140625" style="31" hidden="1" customWidth="1"/>
    <col min="9" max="11" width="0" style="31" hidden="1" customWidth="1"/>
    <col min="12" max="16384" width="9.109375" style="31"/>
  </cols>
  <sheetData>
    <row r="1" spans="1:12" s="27" customFormat="1" ht="71.400000000000006" customHeight="1" thickBot="1">
      <c r="A1" s="778" t="s">
        <v>430</v>
      </c>
      <c r="B1" s="779"/>
      <c r="C1" s="779"/>
      <c r="D1" s="780" t="str">
        <f>+'Bill 4.1'!D1:G1</f>
        <v xml:space="preserve">BILL NO. 04 - 
REDUCTION OF LANDSLIDE VULNERABILITY BY MITIGATION MEASURES
 BETWEEN 17/5 ~ 18/1 CULVERTS ON PELAWATTA - NELUWA ROAD (B363) (SITE NO. 87)
</v>
      </c>
      <c r="E1" s="780"/>
      <c r="F1" s="780"/>
      <c r="G1" s="781"/>
    </row>
    <row r="2" spans="1:12" ht="26.4">
      <c r="A2" s="620" t="s">
        <v>13</v>
      </c>
      <c r="B2" s="28" t="s">
        <v>14</v>
      </c>
      <c r="C2" s="29" t="s">
        <v>8</v>
      </c>
      <c r="D2" s="28" t="s">
        <v>15</v>
      </c>
      <c r="E2" s="565" t="s">
        <v>16</v>
      </c>
      <c r="F2" s="30" t="s">
        <v>17</v>
      </c>
      <c r="G2" s="621" t="s">
        <v>18</v>
      </c>
    </row>
    <row r="3" spans="1:12" ht="24.75" customHeight="1">
      <c r="A3" s="628" t="s">
        <v>431</v>
      </c>
      <c r="B3" s="41"/>
      <c r="C3" s="42" t="s">
        <v>268</v>
      </c>
      <c r="D3" s="41"/>
      <c r="E3" s="566"/>
      <c r="F3" s="41"/>
      <c r="G3" s="630"/>
    </row>
    <row r="4" spans="1:12" ht="36" customHeight="1">
      <c r="A4" s="624" t="s">
        <v>432</v>
      </c>
      <c r="B4" s="33" t="s">
        <v>257</v>
      </c>
      <c r="C4" s="651" t="s">
        <v>433</v>
      </c>
      <c r="D4" s="33" t="s">
        <v>36</v>
      </c>
      <c r="E4" s="234">
        <v>1920</v>
      </c>
      <c r="F4" s="35"/>
      <c r="G4" s="629"/>
      <c r="H4" s="44">
        <f>'QTY87'!J27</f>
        <v>1919.5499999999997</v>
      </c>
    </row>
    <row r="5" spans="1:12" ht="32.25" customHeight="1">
      <c r="A5" s="624" t="s">
        <v>434</v>
      </c>
      <c r="B5" s="33" t="s">
        <v>260</v>
      </c>
      <c r="C5" s="45" t="s">
        <v>435</v>
      </c>
      <c r="D5" s="33" t="s">
        <v>36</v>
      </c>
      <c r="E5" s="233">
        <v>100</v>
      </c>
      <c r="F5" s="35"/>
      <c r="G5" s="629"/>
      <c r="H5" s="809" t="s">
        <v>420</v>
      </c>
      <c r="I5" s="810"/>
    </row>
    <row r="6" spans="1:12" ht="32.25" customHeight="1">
      <c r="A6" s="624" t="s">
        <v>436</v>
      </c>
      <c r="B6" s="46" t="s">
        <v>263</v>
      </c>
      <c r="C6" s="47" t="s">
        <v>437</v>
      </c>
      <c r="D6" s="46" t="s">
        <v>37</v>
      </c>
      <c r="E6" s="231">
        <v>60</v>
      </c>
      <c r="F6" s="35"/>
      <c r="G6" s="629"/>
      <c r="H6" s="811"/>
      <c r="I6" s="812"/>
    </row>
    <row r="7" spans="1:12" ht="32.25" customHeight="1">
      <c r="A7" s="624" t="s">
        <v>438</v>
      </c>
      <c r="B7" s="48" t="s">
        <v>266</v>
      </c>
      <c r="C7" s="49" t="s">
        <v>439</v>
      </c>
      <c r="D7" s="50" t="s">
        <v>36</v>
      </c>
      <c r="E7" s="231">
        <v>1920</v>
      </c>
      <c r="F7" s="35"/>
      <c r="G7" s="629"/>
      <c r="H7" s="44">
        <f>E4</f>
        <v>1920</v>
      </c>
    </row>
    <row r="8" spans="1:12" ht="26.25" customHeight="1">
      <c r="A8" s="628" t="s">
        <v>440</v>
      </c>
      <c r="B8" s="41"/>
      <c r="C8" s="42" t="s">
        <v>39</v>
      </c>
      <c r="D8" s="51"/>
      <c r="E8" s="566"/>
      <c r="F8" s="41"/>
      <c r="G8" s="630"/>
    </row>
    <row r="9" spans="1:12" ht="48" customHeight="1">
      <c r="A9" s="624" t="s">
        <v>441</v>
      </c>
      <c r="B9" s="52" t="s">
        <v>41</v>
      </c>
      <c r="C9" s="53" t="s">
        <v>42</v>
      </c>
      <c r="D9" s="52" t="s">
        <v>37</v>
      </c>
      <c r="E9" s="234">
        <v>115</v>
      </c>
      <c r="F9" s="35"/>
      <c r="G9" s="629"/>
      <c r="H9" s="44">
        <f>Drains87!H109+Drains87!H112+Drains87!H135+Drains87!H136+Drains87!H168</f>
        <v>113.20250000000001</v>
      </c>
    </row>
    <row r="10" spans="1:12" ht="51" customHeight="1">
      <c r="A10" s="624" t="s">
        <v>442</v>
      </c>
      <c r="B10" s="52" t="s">
        <v>41</v>
      </c>
      <c r="C10" s="53" t="s">
        <v>325</v>
      </c>
      <c r="D10" s="52" t="s">
        <v>37</v>
      </c>
      <c r="E10" s="234">
        <v>842</v>
      </c>
      <c r="F10" s="35"/>
      <c r="G10" s="629"/>
      <c r="H10" s="44">
        <f>'QTY87'!J41</f>
        <v>841.59195999999997</v>
      </c>
      <c r="L10" s="54"/>
    </row>
    <row r="11" spans="1:12" ht="38.4" customHeight="1">
      <c r="A11" s="624" t="s">
        <v>443</v>
      </c>
      <c r="B11" s="52" t="s">
        <v>326</v>
      </c>
      <c r="C11" s="53" t="s">
        <v>327</v>
      </c>
      <c r="D11" s="52" t="s">
        <v>37</v>
      </c>
      <c r="E11" s="234">
        <v>441</v>
      </c>
      <c r="F11" s="35"/>
      <c r="G11" s="629"/>
      <c r="H11" s="44">
        <f>'QTY87'!J52</f>
        <v>440.30008000000009</v>
      </c>
      <c r="L11" s="54"/>
    </row>
    <row r="12" spans="1:12" ht="38.4" customHeight="1">
      <c r="A12" s="624" t="s">
        <v>444</v>
      </c>
      <c r="B12" s="46" t="s">
        <v>46</v>
      </c>
      <c r="C12" s="47" t="s">
        <v>445</v>
      </c>
      <c r="D12" s="46" t="s">
        <v>37</v>
      </c>
      <c r="E12" s="231">
        <v>25</v>
      </c>
      <c r="F12" s="35"/>
      <c r="G12" s="629"/>
      <c r="H12" s="813" t="s">
        <v>420</v>
      </c>
      <c r="I12" s="814"/>
      <c r="L12" s="54"/>
    </row>
    <row r="13" spans="1:12" ht="38.4" customHeight="1">
      <c r="A13" s="624" t="s">
        <v>446</v>
      </c>
      <c r="B13" s="46" t="s">
        <v>48</v>
      </c>
      <c r="C13" s="47" t="s">
        <v>437</v>
      </c>
      <c r="D13" s="46" t="s">
        <v>37</v>
      </c>
      <c r="E13" s="231">
        <v>30</v>
      </c>
      <c r="F13" s="35"/>
      <c r="G13" s="629"/>
      <c r="H13" s="815"/>
      <c r="I13" s="816"/>
      <c r="L13" s="54"/>
    </row>
    <row r="14" spans="1:12" ht="38.4" customHeight="1">
      <c r="A14" s="624" t="s">
        <v>447</v>
      </c>
      <c r="B14" s="48" t="s">
        <v>49</v>
      </c>
      <c r="C14" s="49" t="s">
        <v>50</v>
      </c>
      <c r="D14" s="50" t="s">
        <v>36</v>
      </c>
      <c r="E14" s="231">
        <v>516</v>
      </c>
      <c r="F14" s="35"/>
      <c r="G14" s="629"/>
      <c r="H14" s="44">
        <f>E9+E10-E11</f>
        <v>516</v>
      </c>
      <c r="L14" s="54"/>
    </row>
    <row r="15" spans="1:12" ht="38.4" customHeight="1" thickBot="1">
      <c r="A15" s="631"/>
      <c r="B15" s="783" t="s">
        <v>448</v>
      </c>
      <c r="C15" s="784"/>
      <c r="D15" s="784"/>
      <c r="E15" s="784"/>
      <c r="F15" s="785"/>
      <c r="G15" s="632"/>
    </row>
    <row r="16" spans="1:12" ht="38.4" customHeight="1"/>
    <row r="17" ht="38.4" customHeight="1"/>
    <row r="18" ht="38.4" customHeight="1"/>
    <row r="19" ht="38.4" customHeight="1"/>
    <row r="20" ht="38.4" customHeight="1"/>
    <row r="21" ht="34.799999999999997" customHeight="1"/>
    <row r="22" ht="34.799999999999997" customHeight="1"/>
    <row r="23" ht="34.799999999999997" customHeight="1"/>
    <row r="24" ht="34.799999999999997" customHeight="1"/>
    <row r="25" ht="34.799999999999997" customHeight="1"/>
    <row r="26" ht="34.799999999999997" customHeight="1"/>
  </sheetData>
  <mergeCells count="5">
    <mergeCell ref="A1:C1"/>
    <mergeCell ref="D1:G1"/>
    <mergeCell ref="H5:I6"/>
    <mergeCell ref="H12:I13"/>
    <mergeCell ref="B15:F15"/>
  </mergeCells>
  <phoneticPr fontId="32" type="noConversion"/>
  <printOptions horizontalCentered="1"/>
  <pageMargins left="0.75" right="0.4" top="0.75" bottom="0.5" header="0" footer="0"/>
  <pageSetup paperSize="9" scale="78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E68EF-ECDB-4DEE-B863-DD645A55845F}">
  <sheetPr>
    <tabColor rgb="FFFF9933"/>
    <pageSetUpPr fitToPage="1"/>
  </sheetPr>
  <dimension ref="A1:I29"/>
  <sheetViews>
    <sheetView view="pageBreakPreview" zoomScale="85" zoomScaleNormal="110" zoomScaleSheetLayoutView="85" workbookViewId="0">
      <pane ySplit="2" topLeftCell="A27" activePane="bottomLeft" state="frozen"/>
      <selection activeCell="F32" sqref="F32"/>
      <selection pane="bottomLeft" activeCell="H1" sqref="H1:L1048576"/>
    </sheetView>
  </sheetViews>
  <sheetFormatPr defaultColWidth="9.109375" defaultRowHeight="13.2"/>
  <cols>
    <col min="1" max="1" width="7.6640625" style="31" customWidth="1"/>
    <col min="2" max="2" width="9.6640625" style="31" customWidth="1"/>
    <col min="3" max="3" width="54" style="31" customWidth="1"/>
    <col min="4" max="4" width="7.6640625" style="31" customWidth="1"/>
    <col min="5" max="5" width="8.6640625" style="567" customWidth="1"/>
    <col min="6" max="6" width="10.6640625" style="31" customWidth="1"/>
    <col min="7" max="7" width="17.6640625" style="31" customWidth="1"/>
    <col min="8" max="8" width="11.44140625" style="59" hidden="1" customWidth="1"/>
    <col min="9" max="12" width="0" style="31" hidden="1" customWidth="1"/>
    <col min="13" max="16384" width="9.109375" style="31"/>
  </cols>
  <sheetData>
    <row r="1" spans="1:8" s="27" customFormat="1" ht="73.8" customHeight="1" thickBot="1">
      <c r="A1" s="778" t="s">
        <v>449</v>
      </c>
      <c r="B1" s="779"/>
      <c r="C1" s="779"/>
      <c r="D1" s="780" t="str">
        <f>+'Bill 4.1'!D1:G1</f>
        <v xml:space="preserve">BILL NO. 04 - 
REDUCTION OF LANDSLIDE VULNERABILITY BY MITIGATION MEASURES
 BETWEEN 17/5 ~ 18/1 CULVERTS ON PELAWATTA - NELUWA ROAD (B363) (SITE NO. 87)
</v>
      </c>
      <c r="E1" s="780"/>
      <c r="F1" s="780"/>
      <c r="G1" s="781"/>
    </row>
    <row r="2" spans="1:8" ht="26.4">
      <c r="A2" s="620" t="s">
        <v>13</v>
      </c>
      <c r="B2" s="28" t="s">
        <v>14</v>
      </c>
      <c r="C2" s="29" t="s">
        <v>8</v>
      </c>
      <c r="D2" s="28" t="s">
        <v>15</v>
      </c>
      <c r="E2" s="565" t="s">
        <v>16</v>
      </c>
      <c r="F2" s="30" t="s">
        <v>17</v>
      </c>
      <c r="G2" s="621" t="s">
        <v>18</v>
      </c>
    </row>
    <row r="3" spans="1:8" ht="22.8" customHeight="1">
      <c r="A3" s="633" t="s">
        <v>450</v>
      </c>
      <c r="B3" s="60"/>
      <c r="C3" s="42" t="s">
        <v>53</v>
      </c>
      <c r="D3" s="61"/>
      <c r="E3" s="235"/>
      <c r="F3" s="61"/>
      <c r="G3" s="634"/>
    </row>
    <row r="4" spans="1:8" ht="29.4" customHeight="1">
      <c r="A4" s="624" t="s">
        <v>451</v>
      </c>
      <c r="B4" s="62" t="s">
        <v>55</v>
      </c>
      <c r="C4" s="45" t="s">
        <v>56</v>
      </c>
      <c r="D4" s="33" t="s">
        <v>36</v>
      </c>
      <c r="E4" s="234">
        <v>3</v>
      </c>
      <c r="F4" s="35"/>
      <c r="G4" s="629"/>
      <c r="H4" s="59">
        <f>Drains87!I109</f>
        <v>2.4050000000000002</v>
      </c>
    </row>
    <row r="5" spans="1:8" ht="29.4" customHeight="1">
      <c r="A5" s="624" t="s">
        <v>452</v>
      </c>
      <c r="B5" s="62" t="s">
        <v>58</v>
      </c>
      <c r="C5" s="45" t="s">
        <v>59</v>
      </c>
      <c r="D5" s="33" t="s">
        <v>36</v>
      </c>
      <c r="E5" s="234">
        <v>12</v>
      </c>
      <c r="F5" s="35"/>
      <c r="G5" s="629"/>
      <c r="H5" s="59">
        <f>Drains87!J109+Drains87!J110</f>
        <v>11.522734375000002</v>
      </c>
    </row>
    <row r="6" spans="1:8" ht="25.8" customHeight="1">
      <c r="A6" s="624" t="s">
        <v>453</v>
      </c>
      <c r="B6" s="62" t="s">
        <v>61</v>
      </c>
      <c r="C6" s="45" t="s">
        <v>62</v>
      </c>
      <c r="D6" s="33" t="s">
        <v>63</v>
      </c>
      <c r="E6" s="234">
        <v>750</v>
      </c>
      <c r="F6" s="35"/>
      <c r="G6" s="629"/>
      <c r="H6" s="59">
        <f>Drains87!U110</f>
        <v>750.02674897119357</v>
      </c>
    </row>
    <row r="7" spans="1:8" ht="29.4" customHeight="1">
      <c r="A7" s="624" t="s">
        <v>454</v>
      </c>
      <c r="B7" s="62" t="s">
        <v>65</v>
      </c>
      <c r="C7" s="45" t="s">
        <v>66</v>
      </c>
      <c r="D7" s="33" t="s">
        <v>24</v>
      </c>
      <c r="E7" s="234">
        <v>150</v>
      </c>
      <c r="F7" s="35"/>
      <c r="G7" s="629"/>
      <c r="H7" s="59">
        <f>Drains87!K109+Drains87!K110</f>
        <v>149.74375000000001</v>
      </c>
    </row>
    <row r="8" spans="1:8" ht="22.8" customHeight="1">
      <c r="A8" s="633" t="s">
        <v>455</v>
      </c>
      <c r="B8" s="60"/>
      <c r="C8" s="42" t="s">
        <v>68</v>
      </c>
      <c r="D8" s="61"/>
      <c r="E8" s="235"/>
      <c r="F8" s="61"/>
      <c r="G8" s="634"/>
    </row>
    <row r="9" spans="1:8" ht="29.4" customHeight="1">
      <c r="A9" s="624" t="s">
        <v>456</v>
      </c>
      <c r="B9" s="62" t="s">
        <v>55</v>
      </c>
      <c r="C9" s="45" t="s">
        <v>56</v>
      </c>
      <c r="D9" s="33" t="s">
        <v>36</v>
      </c>
      <c r="E9" s="234">
        <v>4</v>
      </c>
      <c r="F9" s="35"/>
      <c r="G9" s="629"/>
      <c r="H9" s="59">
        <f>Drains87!I112</f>
        <v>3.1260000000000008</v>
      </c>
    </row>
    <row r="10" spans="1:8" ht="29.4" customHeight="1">
      <c r="A10" s="624" t="s">
        <v>457</v>
      </c>
      <c r="B10" s="62" t="s">
        <v>58</v>
      </c>
      <c r="C10" s="45" t="s">
        <v>59</v>
      </c>
      <c r="D10" s="33" t="s">
        <v>36</v>
      </c>
      <c r="E10" s="234">
        <v>16</v>
      </c>
      <c r="F10" s="35"/>
      <c r="G10" s="629"/>
      <c r="H10" s="59">
        <f>Drains87!J112+Drains87!J113</f>
        <v>15.705937500000003</v>
      </c>
    </row>
    <row r="11" spans="1:8" ht="31.2" customHeight="1">
      <c r="A11" s="624" t="s">
        <v>458</v>
      </c>
      <c r="B11" s="62" t="s">
        <v>61</v>
      </c>
      <c r="C11" s="45" t="s">
        <v>62</v>
      </c>
      <c r="D11" s="33" t="s">
        <v>63</v>
      </c>
      <c r="E11" s="234">
        <v>960</v>
      </c>
      <c r="F11" s="35"/>
      <c r="G11" s="629"/>
      <c r="H11" s="59">
        <f>Drains87!U113</f>
        <v>956.11882716049377</v>
      </c>
    </row>
    <row r="12" spans="1:8" ht="26.4" customHeight="1">
      <c r="A12" s="624" t="s">
        <v>459</v>
      </c>
      <c r="B12" s="62" t="s">
        <v>65</v>
      </c>
      <c r="C12" s="45" t="s">
        <v>66</v>
      </c>
      <c r="D12" s="33" t="s">
        <v>24</v>
      </c>
      <c r="E12" s="234">
        <v>206</v>
      </c>
      <c r="F12" s="35"/>
      <c r="G12" s="629"/>
      <c r="H12" s="59">
        <f>Drains87!K112+Drains87!K113</f>
        <v>205.70099999999999</v>
      </c>
    </row>
    <row r="13" spans="1:8" ht="22.8" customHeight="1">
      <c r="A13" s="633" t="s">
        <v>460</v>
      </c>
      <c r="B13" s="51"/>
      <c r="C13" s="55" t="s">
        <v>461</v>
      </c>
      <c r="D13" s="41"/>
      <c r="E13" s="236"/>
      <c r="F13" s="41"/>
      <c r="G13" s="630"/>
    </row>
    <row r="14" spans="1:8" ht="38.4" customHeight="1">
      <c r="A14" s="624" t="s">
        <v>462</v>
      </c>
      <c r="B14" s="62" t="s">
        <v>55</v>
      </c>
      <c r="C14" s="45" t="s">
        <v>56</v>
      </c>
      <c r="D14" s="33" t="s">
        <v>36</v>
      </c>
      <c r="E14" s="234">
        <v>2</v>
      </c>
      <c r="F14" s="35"/>
      <c r="G14" s="629"/>
      <c r="H14" s="59">
        <f>Drains87!I168</f>
        <v>1.2675000000000001</v>
      </c>
    </row>
    <row r="15" spans="1:8" ht="38.4" customHeight="1">
      <c r="A15" s="624" t="s">
        <v>463</v>
      </c>
      <c r="B15" s="62" t="s">
        <v>58</v>
      </c>
      <c r="C15" s="45" t="s">
        <v>59</v>
      </c>
      <c r="D15" s="33" t="s">
        <v>36</v>
      </c>
      <c r="E15" s="234">
        <v>8</v>
      </c>
      <c r="F15" s="35"/>
      <c r="G15" s="629"/>
      <c r="H15" s="59">
        <f>Drains87!J168+Drains87!J169</f>
        <v>7.6620468749999997</v>
      </c>
    </row>
    <row r="16" spans="1:8" ht="31.2" customHeight="1">
      <c r="A16" s="624" t="s">
        <v>970</v>
      </c>
      <c r="B16" s="62" t="s">
        <v>61</v>
      </c>
      <c r="C16" s="45" t="s">
        <v>62</v>
      </c>
      <c r="D16" s="33" t="s">
        <v>63</v>
      </c>
      <c r="E16" s="234">
        <v>411</v>
      </c>
      <c r="F16" s="35"/>
      <c r="G16" s="629"/>
      <c r="H16" s="59">
        <f>Drains87!U169</f>
        <v>410.1358024691358</v>
      </c>
    </row>
    <row r="17" spans="1:9" ht="28.2" customHeight="1">
      <c r="A17" s="624" t="s">
        <v>465</v>
      </c>
      <c r="B17" s="62" t="s">
        <v>65</v>
      </c>
      <c r="C17" s="45" t="s">
        <v>66</v>
      </c>
      <c r="D17" s="33" t="s">
        <v>24</v>
      </c>
      <c r="E17" s="234">
        <v>114</v>
      </c>
      <c r="F17" s="35"/>
      <c r="G17" s="629"/>
      <c r="H17" s="59">
        <f>Drains87!K168+Drains87!K169</f>
        <v>113.89874999999999</v>
      </c>
    </row>
    <row r="18" spans="1:9" ht="25.8" customHeight="1">
      <c r="A18" s="633" t="s">
        <v>466</v>
      </c>
      <c r="B18" s="60"/>
      <c r="C18" s="260" t="s">
        <v>467</v>
      </c>
      <c r="D18" s="41"/>
      <c r="E18" s="235"/>
      <c r="F18" s="61"/>
      <c r="G18" s="630"/>
    </row>
    <row r="19" spans="1:9" ht="38.4" customHeight="1">
      <c r="A19" s="624" t="s">
        <v>468</v>
      </c>
      <c r="B19" s="62" t="s">
        <v>55</v>
      </c>
      <c r="C19" s="45" t="s">
        <v>56</v>
      </c>
      <c r="D19" s="33" t="s">
        <v>36</v>
      </c>
      <c r="E19" s="234">
        <v>2</v>
      </c>
      <c r="F19" s="35"/>
      <c r="G19" s="629"/>
      <c r="H19" s="59">
        <f>Drains87!I135</f>
        <v>1.7862500000000001</v>
      </c>
    </row>
    <row r="20" spans="1:9" ht="38.4" customHeight="1">
      <c r="A20" s="624" t="s">
        <v>469</v>
      </c>
      <c r="B20" s="62" t="s">
        <v>58</v>
      </c>
      <c r="C20" s="45" t="s">
        <v>59</v>
      </c>
      <c r="D20" s="33" t="s">
        <v>36</v>
      </c>
      <c r="E20" s="234">
        <v>20</v>
      </c>
      <c r="F20" s="35"/>
      <c r="G20" s="629"/>
      <c r="H20" s="59">
        <f>Drains87!J135+Drains87!J136</f>
        <v>19.291500000000003</v>
      </c>
    </row>
    <row r="21" spans="1:9" ht="27.6" customHeight="1">
      <c r="A21" s="624" t="s">
        <v>464</v>
      </c>
      <c r="B21" s="62" t="s">
        <v>61</v>
      </c>
      <c r="C21" s="45" t="s">
        <v>62</v>
      </c>
      <c r="D21" s="33" t="s">
        <v>63</v>
      </c>
      <c r="E21" s="234">
        <v>1277</v>
      </c>
      <c r="F21" s="35"/>
      <c r="G21" s="629"/>
      <c r="H21" s="59">
        <f>Drains87!U136</f>
        <v>1276.4264403292179</v>
      </c>
    </row>
    <row r="22" spans="1:9" ht="30" customHeight="1">
      <c r="A22" s="624" t="s">
        <v>470</v>
      </c>
      <c r="B22" s="62" t="s">
        <v>65</v>
      </c>
      <c r="C22" s="45" t="s">
        <v>66</v>
      </c>
      <c r="D22" s="33" t="s">
        <v>24</v>
      </c>
      <c r="E22" s="234">
        <v>115</v>
      </c>
      <c r="F22" s="35"/>
      <c r="G22" s="629"/>
      <c r="H22" s="59">
        <f>Drains87!K135+Drains87!K136</f>
        <v>114.32000000000001</v>
      </c>
    </row>
    <row r="23" spans="1:9" s="65" customFormat="1" ht="24" customHeight="1">
      <c r="A23" s="633" t="s">
        <v>471</v>
      </c>
      <c r="B23" s="46"/>
      <c r="C23" s="66" t="s">
        <v>1183</v>
      </c>
      <c r="D23" s="46"/>
      <c r="E23" s="231"/>
      <c r="F23" s="57"/>
      <c r="G23" s="277"/>
      <c r="H23" s="63"/>
      <c r="I23" s="64"/>
    </row>
    <row r="24" spans="1:9" s="65" customFormat="1" ht="34.799999999999997" customHeight="1">
      <c r="A24" s="635" t="s">
        <v>472</v>
      </c>
      <c r="B24" s="46" t="s">
        <v>85</v>
      </c>
      <c r="C24" s="58" t="s">
        <v>332</v>
      </c>
      <c r="D24" s="46" t="s">
        <v>5</v>
      </c>
      <c r="E24" s="231">
        <v>39</v>
      </c>
      <c r="F24" s="57"/>
      <c r="G24" s="277"/>
      <c r="H24" s="63">
        <f>Drains87!D170</f>
        <v>39</v>
      </c>
      <c r="I24" s="64"/>
    </row>
    <row r="25" spans="1:9" ht="23.4" customHeight="1">
      <c r="A25" s="633" t="s">
        <v>473</v>
      </c>
      <c r="B25" s="51"/>
      <c r="C25" s="55" t="s">
        <v>334</v>
      </c>
      <c r="D25" s="41"/>
      <c r="E25" s="236"/>
      <c r="F25" s="41"/>
      <c r="G25" s="630"/>
    </row>
    <row r="26" spans="1:9" ht="34.799999999999997" customHeight="1">
      <c r="A26" s="624" t="s">
        <v>475</v>
      </c>
      <c r="B26" s="62" t="s">
        <v>336</v>
      </c>
      <c r="C26" s="45" t="s">
        <v>337</v>
      </c>
      <c r="D26" s="33" t="s">
        <v>36</v>
      </c>
      <c r="E26" s="234">
        <v>359</v>
      </c>
      <c r="F26" s="35"/>
      <c r="G26" s="629"/>
      <c r="H26" s="59">
        <f>'QTY87'!J62</f>
        <v>358.08300000000008</v>
      </c>
    </row>
    <row r="27" spans="1:9" ht="30" customHeight="1">
      <c r="A27" s="624" t="s">
        <v>476</v>
      </c>
      <c r="B27" s="62" t="s">
        <v>86</v>
      </c>
      <c r="C27" s="45" t="s">
        <v>87</v>
      </c>
      <c r="D27" s="33" t="s">
        <v>24</v>
      </c>
      <c r="E27" s="234">
        <v>653</v>
      </c>
      <c r="F27" s="35"/>
      <c r="G27" s="629"/>
      <c r="H27" s="59">
        <f>'QTY87'!J64</f>
        <v>652.5068</v>
      </c>
    </row>
    <row r="28" spans="1:9" ht="30" customHeight="1">
      <c r="A28" s="624" t="s">
        <v>477</v>
      </c>
      <c r="B28" s="652" t="s">
        <v>340</v>
      </c>
      <c r="C28" s="653" t="s">
        <v>341</v>
      </c>
      <c r="D28" s="654" t="s">
        <v>36</v>
      </c>
      <c r="E28" s="655">
        <v>80</v>
      </c>
      <c r="F28" s="656"/>
      <c r="G28" s="657"/>
      <c r="H28" s="59">
        <f>'QTY87'!J63</f>
        <v>79.574000000000012</v>
      </c>
    </row>
    <row r="29" spans="1:9" ht="30" customHeight="1" thickBot="1">
      <c r="A29" s="631"/>
      <c r="B29" s="783" t="s">
        <v>479</v>
      </c>
      <c r="C29" s="784"/>
      <c r="D29" s="784"/>
      <c r="E29" s="784"/>
      <c r="F29" s="785"/>
      <c r="G29" s="632"/>
    </row>
  </sheetData>
  <mergeCells count="3">
    <mergeCell ref="A1:C1"/>
    <mergeCell ref="D1:G1"/>
    <mergeCell ref="B29:F29"/>
  </mergeCells>
  <phoneticPr fontId="32" type="noConversion"/>
  <printOptions horizontalCentered="1"/>
  <pageMargins left="0.75" right="0.4" top="0.75" bottom="0.5" header="0" footer="0"/>
  <pageSetup paperSize="9" scale="78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9BF7C-31EA-42DB-8AD1-6E30BCF76374}">
  <sheetPr>
    <tabColor rgb="FFFF9933"/>
    <pageSetUpPr fitToPage="1"/>
  </sheetPr>
  <dimension ref="A1:P26"/>
  <sheetViews>
    <sheetView view="pageBreakPreview" topLeftCell="A7" zoomScaleNormal="110" zoomScaleSheetLayoutView="100" workbookViewId="0">
      <selection activeCell="H7" sqref="H1:J1048576"/>
    </sheetView>
  </sheetViews>
  <sheetFormatPr defaultColWidth="9.109375" defaultRowHeight="13.2"/>
  <cols>
    <col min="1" max="1" width="7.6640625" style="31" customWidth="1"/>
    <col min="2" max="2" width="9.6640625" style="279" customWidth="1"/>
    <col min="3" max="3" width="54" style="31" customWidth="1"/>
    <col min="4" max="4" width="7.6640625" style="280" customWidth="1"/>
    <col min="5" max="5" width="8.6640625" style="567" customWidth="1"/>
    <col min="6" max="6" width="13.44140625" style="31" customWidth="1"/>
    <col min="7" max="7" width="17.6640625" style="31" customWidth="1"/>
    <col min="8" max="8" width="8.109375" style="31" hidden="1" customWidth="1"/>
    <col min="9" max="9" width="0" style="31" hidden="1" customWidth="1"/>
    <col min="10" max="10" width="10.44140625" style="31" hidden="1" customWidth="1"/>
    <col min="11" max="16384" width="9.109375" style="31"/>
  </cols>
  <sheetData>
    <row r="1" spans="1:16" s="27" customFormat="1" ht="71.400000000000006" customHeight="1" thickBot="1">
      <c r="A1" s="778" t="s">
        <v>480</v>
      </c>
      <c r="B1" s="779"/>
      <c r="C1" s="779"/>
      <c r="D1" s="780" t="str">
        <f>+'Bill 4.1'!D1:G1</f>
        <v xml:space="preserve">BILL NO. 04 - 
REDUCTION OF LANDSLIDE VULNERABILITY BY MITIGATION MEASURES
 BETWEEN 17/5 ~ 18/1 CULVERTS ON PELAWATTA - NELUWA ROAD (B363) (SITE NO. 87)
</v>
      </c>
      <c r="E1" s="780"/>
      <c r="F1" s="780"/>
      <c r="G1" s="781"/>
    </row>
    <row r="2" spans="1:16" ht="26.4">
      <c r="A2" s="620" t="s">
        <v>13</v>
      </c>
      <c r="B2" s="28" t="s">
        <v>14</v>
      </c>
      <c r="C2" s="29" t="s">
        <v>8</v>
      </c>
      <c r="D2" s="28" t="s">
        <v>15</v>
      </c>
      <c r="E2" s="565" t="s">
        <v>16</v>
      </c>
      <c r="F2" s="30" t="s">
        <v>17</v>
      </c>
      <c r="G2" s="621" t="s">
        <v>18</v>
      </c>
    </row>
    <row r="3" spans="1:16" ht="33" customHeight="1">
      <c r="A3" s="638"/>
      <c r="B3" s="261"/>
      <c r="C3" s="262" t="s">
        <v>481</v>
      </c>
      <c r="D3" s="261"/>
      <c r="E3" s="571"/>
      <c r="F3" s="263"/>
      <c r="G3" s="639"/>
    </row>
    <row r="4" spans="1:16" ht="30" customHeight="1">
      <c r="A4" s="640" t="s">
        <v>482</v>
      </c>
      <c r="B4" s="264"/>
      <c r="C4" s="265" t="s">
        <v>343</v>
      </c>
      <c r="D4" s="266"/>
      <c r="E4" s="568"/>
      <c r="F4" s="32"/>
      <c r="G4" s="623"/>
    </row>
    <row r="5" spans="1:16" ht="30" customHeight="1">
      <c r="A5" s="624" t="s">
        <v>483</v>
      </c>
      <c r="B5" s="33" t="s">
        <v>345</v>
      </c>
      <c r="C5" s="267" t="s">
        <v>346</v>
      </c>
      <c r="D5" s="33" t="s">
        <v>347</v>
      </c>
      <c r="E5" s="234"/>
      <c r="F5" s="35"/>
      <c r="G5" s="641"/>
    </row>
    <row r="6" spans="1:16" s="271" customFormat="1" ht="30" customHeight="1">
      <c r="A6" s="624" t="s">
        <v>484</v>
      </c>
      <c r="B6" s="33" t="s">
        <v>349</v>
      </c>
      <c r="C6" s="47" t="s">
        <v>350</v>
      </c>
      <c r="D6" s="33" t="s">
        <v>5</v>
      </c>
      <c r="E6" s="233">
        <v>716</v>
      </c>
      <c r="F6" s="35"/>
      <c r="G6" s="642"/>
      <c r="H6" s="270">
        <f>'QTY87'!J110</f>
        <v>716</v>
      </c>
    </row>
    <row r="7" spans="1:16" ht="30" customHeight="1">
      <c r="A7" s="624" t="s">
        <v>485</v>
      </c>
      <c r="B7" s="33" t="s">
        <v>352</v>
      </c>
      <c r="C7" s="272" t="s">
        <v>353</v>
      </c>
      <c r="D7" s="33" t="s">
        <v>24</v>
      </c>
      <c r="E7" s="233">
        <v>460</v>
      </c>
      <c r="F7" s="35"/>
      <c r="G7" s="629"/>
      <c r="H7" s="247">
        <f>'QTY87'!J88</f>
        <v>456.53305499999999</v>
      </c>
    </row>
    <row r="8" spans="1:16" ht="30" customHeight="1">
      <c r="A8" s="624" t="s">
        <v>486</v>
      </c>
      <c r="B8" s="273" t="s">
        <v>355</v>
      </c>
      <c r="C8" s="274" t="s">
        <v>487</v>
      </c>
      <c r="D8" s="46" t="s">
        <v>5</v>
      </c>
      <c r="E8" s="231">
        <v>463</v>
      </c>
      <c r="F8" s="57"/>
      <c r="G8" s="629"/>
      <c r="H8" s="247">
        <f>'QTY87'!J115</f>
        <v>462.64350000000002</v>
      </c>
    </row>
    <row r="9" spans="1:16" ht="30" customHeight="1">
      <c r="A9" s="624" t="s">
        <v>488</v>
      </c>
      <c r="B9" s="62" t="s">
        <v>358</v>
      </c>
      <c r="C9" s="275" t="s">
        <v>489</v>
      </c>
      <c r="D9" s="33" t="s">
        <v>5</v>
      </c>
      <c r="E9" s="233">
        <v>116</v>
      </c>
      <c r="F9" s="35"/>
      <c r="G9" s="629"/>
      <c r="H9" s="247">
        <f>'QTY87'!J124</f>
        <v>115.77500000000001</v>
      </c>
    </row>
    <row r="10" spans="1:16" ht="30" customHeight="1">
      <c r="A10" s="624" t="s">
        <v>490</v>
      </c>
      <c r="B10" s="56" t="s">
        <v>85</v>
      </c>
      <c r="C10" s="58" t="s">
        <v>332</v>
      </c>
      <c r="D10" s="56" t="s">
        <v>5</v>
      </c>
      <c r="E10" s="233">
        <v>90</v>
      </c>
      <c r="F10" s="35"/>
      <c r="G10" s="629"/>
      <c r="H10" s="247"/>
    </row>
    <row r="11" spans="1:16" ht="38.4" customHeight="1">
      <c r="A11" s="624" t="s">
        <v>491</v>
      </c>
      <c r="B11" s="33" t="s">
        <v>362</v>
      </c>
      <c r="C11" s="267" t="s">
        <v>363</v>
      </c>
      <c r="D11" s="33" t="s">
        <v>89</v>
      </c>
      <c r="E11" s="233">
        <v>6</v>
      </c>
      <c r="F11" s="35"/>
      <c r="G11" s="629"/>
      <c r="H11" s="247">
        <f>('QTY87'!E108+'QTY87'!E109)*5%</f>
        <v>5.3000000000000007</v>
      </c>
      <c r="P11" s="303"/>
    </row>
    <row r="12" spans="1:16" ht="38.4" customHeight="1">
      <c r="A12" s="626" t="s">
        <v>492</v>
      </c>
      <c r="B12" s="250"/>
      <c r="C12" s="251" t="s">
        <v>365</v>
      </c>
      <c r="D12" s="250"/>
      <c r="E12" s="572"/>
      <c r="F12" s="41"/>
      <c r="G12" s="630"/>
      <c r="H12" s="247"/>
    </row>
    <row r="13" spans="1:16" ht="38.4" customHeight="1">
      <c r="A13" s="624" t="s">
        <v>937</v>
      </c>
      <c r="B13" s="33" t="s">
        <v>367</v>
      </c>
      <c r="C13" s="272" t="s">
        <v>368</v>
      </c>
      <c r="D13" s="33" t="s">
        <v>5</v>
      </c>
      <c r="E13" s="233">
        <v>80</v>
      </c>
      <c r="F13" s="35"/>
      <c r="G13" s="629"/>
      <c r="H13" s="247">
        <f>'QTY87'!J120</f>
        <v>80</v>
      </c>
    </row>
    <row r="14" spans="1:16" ht="38.4" customHeight="1" thickBot="1">
      <c r="A14" s="631"/>
      <c r="B14" s="783" t="s">
        <v>493</v>
      </c>
      <c r="C14" s="784"/>
      <c r="D14" s="784"/>
      <c r="E14" s="784"/>
      <c r="F14" s="785"/>
      <c r="G14" s="632"/>
    </row>
    <row r="15" spans="1:16" ht="38.4" customHeight="1"/>
    <row r="16" spans="1:16" ht="38.4" customHeight="1"/>
    <row r="17" ht="38.4" customHeight="1"/>
    <row r="18" ht="38.4" customHeight="1"/>
    <row r="19" ht="38.4" customHeight="1"/>
    <row r="20" ht="38.4" customHeight="1"/>
    <row r="21" ht="34.799999999999997" customHeight="1"/>
    <row r="22" ht="34.799999999999997" customHeight="1"/>
    <row r="23" ht="34.799999999999997" customHeight="1"/>
    <row r="24" ht="34.799999999999997" customHeight="1"/>
    <row r="25" ht="34.799999999999997" customHeight="1"/>
    <row r="26" ht="34.799999999999997" customHeight="1"/>
  </sheetData>
  <mergeCells count="3">
    <mergeCell ref="A1:C1"/>
    <mergeCell ref="D1:G1"/>
    <mergeCell ref="B14:F14"/>
  </mergeCells>
  <phoneticPr fontId="32" type="noConversion"/>
  <printOptions horizontalCentered="1"/>
  <pageMargins left="0.75" right="0.4" top="0.75" bottom="0.5" header="0" footer="0"/>
  <pageSetup paperSize="9" scale="76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BEC8D-5F4D-4945-B510-C72742588F57}">
  <sheetPr>
    <tabColor rgb="FFFF9933"/>
    <pageSetUpPr fitToPage="1"/>
  </sheetPr>
  <dimension ref="A1:I26"/>
  <sheetViews>
    <sheetView view="pageBreakPreview" topLeftCell="A7" zoomScale="96" zoomScaleNormal="100" zoomScaleSheetLayoutView="96" workbookViewId="0">
      <selection activeCell="H1" sqref="H1:J1048576"/>
    </sheetView>
  </sheetViews>
  <sheetFormatPr defaultColWidth="9.109375" defaultRowHeight="13.2"/>
  <cols>
    <col min="1" max="1" width="7.6640625" style="31" customWidth="1"/>
    <col min="2" max="2" width="7.88671875" style="31" customWidth="1"/>
    <col min="3" max="3" width="54" style="31" customWidth="1"/>
    <col min="4" max="4" width="7.6640625" style="31" customWidth="1"/>
    <col min="5" max="5" width="8.6640625" style="31" customWidth="1"/>
    <col min="6" max="6" width="10.6640625" style="31" customWidth="1"/>
    <col min="7" max="7" width="19.5546875" style="31" customWidth="1"/>
    <col min="8" max="8" width="9.6640625" style="31" hidden="1" customWidth="1"/>
    <col min="9" max="10" width="0" style="31" hidden="1" customWidth="1"/>
    <col min="11" max="16384" width="9.109375" style="31"/>
  </cols>
  <sheetData>
    <row r="1" spans="1:9" s="27" customFormat="1" ht="74.400000000000006" customHeight="1" thickBot="1">
      <c r="A1" s="778" t="s">
        <v>494</v>
      </c>
      <c r="B1" s="779"/>
      <c r="C1" s="779"/>
      <c r="D1" s="780" t="str">
        <f>+'Bill 4.1'!D1:G1</f>
        <v xml:space="preserve">BILL NO. 04 - 
REDUCTION OF LANDSLIDE VULNERABILITY BY MITIGATION MEASURES
 BETWEEN 17/5 ~ 18/1 CULVERTS ON PELAWATTA - NELUWA ROAD (B363) (SITE NO. 87)
</v>
      </c>
      <c r="E1" s="780"/>
      <c r="F1" s="780"/>
      <c r="G1" s="781"/>
    </row>
    <row r="2" spans="1:9" ht="26.4">
      <c r="A2" s="620" t="s">
        <v>13</v>
      </c>
      <c r="B2" s="28" t="s">
        <v>14</v>
      </c>
      <c r="C2" s="29" t="s">
        <v>8</v>
      </c>
      <c r="D2" s="28" t="s">
        <v>15</v>
      </c>
      <c r="E2" s="28" t="s">
        <v>16</v>
      </c>
      <c r="F2" s="30" t="s">
        <v>17</v>
      </c>
      <c r="G2" s="621" t="s">
        <v>18</v>
      </c>
    </row>
    <row r="3" spans="1:9" ht="30" customHeight="1">
      <c r="A3" s="640" t="s">
        <v>495</v>
      </c>
      <c r="B3" s="264"/>
      <c r="C3" s="265" t="s">
        <v>496</v>
      </c>
      <c r="D3" s="266"/>
      <c r="E3" s="32"/>
      <c r="F3" s="32"/>
      <c r="G3" s="623"/>
    </row>
    <row r="4" spans="1:9" customFormat="1" ht="30" customHeight="1">
      <c r="A4" s="624" t="s">
        <v>497</v>
      </c>
      <c r="B4" s="46" t="s">
        <v>370</v>
      </c>
      <c r="C4" s="47" t="s">
        <v>371</v>
      </c>
      <c r="D4" s="46" t="s">
        <v>372</v>
      </c>
      <c r="E4" s="234">
        <v>460</v>
      </c>
      <c r="F4" s="57"/>
      <c r="G4" s="277"/>
      <c r="H4" s="44">
        <f>'QTY87'!J88</f>
        <v>456.53305499999999</v>
      </c>
    </row>
    <row r="5" spans="1:9" ht="30" customHeight="1">
      <c r="A5" s="624" t="s">
        <v>498</v>
      </c>
      <c r="B5" s="33" t="s">
        <v>373</v>
      </c>
      <c r="C5" s="278" t="s">
        <v>499</v>
      </c>
      <c r="D5" s="33" t="s">
        <v>24</v>
      </c>
      <c r="E5" s="234">
        <v>460</v>
      </c>
      <c r="F5" s="35"/>
      <c r="G5" s="277"/>
      <c r="H5" s="44">
        <f>'QTY87'!J88</f>
        <v>456.53305499999999</v>
      </c>
    </row>
    <row r="6" spans="1:9" s="27" customFormat="1" ht="30" customHeight="1">
      <c r="A6" s="624" t="s">
        <v>500</v>
      </c>
      <c r="B6" s="643" t="s">
        <v>501</v>
      </c>
      <c r="C6" s="253" t="s">
        <v>502</v>
      </c>
      <c r="D6" s="46" t="s">
        <v>372</v>
      </c>
      <c r="E6" s="231">
        <v>780</v>
      </c>
      <c r="F6" s="57"/>
      <c r="G6" s="277"/>
      <c r="H6" s="44">
        <f>'QTY87'!J102</f>
        <v>779.03870000000018</v>
      </c>
      <c r="I6" s="304"/>
    </row>
    <row r="7" spans="1:9" ht="22.5" customHeight="1" thickBot="1">
      <c r="A7" s="631"/>
      <c r="B7" s="783" t="s">
        <v>503</v>
      </c>
      <c r="C7" s="784"/>
      <c r="D7" s="784"/>
      <c r="E7" s="784"/>
      <c r="F7" s="785"/>
      <c r="G7" s="632"/>
    </row>
    <row r="11" spans="1:9" ht="38.4" customHeight="1"/>
    <row r="12" spans="1:9" ht="38.4" customHeight="1"/>
    <row r="13" spans="1:9" ht="38.4" customHeight="1"/>
    <row r="14" spans="1:9" ht="38.4" customHeight="1"/>
    <row r="15" spans="1:9" ht="38.4" customHeight="1"/>
    <row r="16" spans="1:9" ht="38.4" customHeight="1"/>
    <row r="17" ht="38.4" customHeight="1"/>
    <row r="18" ht="38.4" customHeight="1"/>
    <row r="19" ht="38.4" customHeight="1"/>
    <row r="20" ht="38.4" customHeight="1"/>
    <row r="21" ht="34.799999999999997" customHeight="1"/>
    <row r="22" ht="34.799999999999997" customHeight="1"/>
    <row r="23" ht="34.799999999999997" customHeight="1"/>
    <row r="24" ht="34.799999999999997" customHeight="1"/>
    <row r="25" ht="34.799999999999997" customHeight="1"/>
    <row r="26" ht="34.799999999999997" customHeight="1"/>
  </sheetData>
  <mergeCells count="3">
    <mergeCell ref="A1:C1"/>
    <mergeCell ref="D1:G1"/>
    <mergeCell ref="B7:F7"/>
  </mergeCells>
  <phoneticPr fontId="32" type="noConversion"/>
  <printOptions horizontalCentered="1"/>
  <pageMargins left="0.75" right="0.4" top="0.75" bottom="0.5" header="0" footer="0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CAAF-5479-40DE-8EC9-3C8918E43767}">
  <sheetPr>
    <tabColor rgb="FF92D050"/>
    <pageSetUpPr fitToPage="1"/>
  </sheetPr>
  <dimension ref="A1:WVT80"/>
  <sheetViews>
    <sheetView view="pageBreakPreview" zoomScaleNormal="100" zoomScaleSheetLayoutView="100" workbookViewId="0">
      <selection activeCell="A53" sqref="A53:XFD60"/>
    </sheetView>
  </sheetViews>
  <sheetFormatPr defaultColWidth="8.88671875" defaultRowHeight="13.8"/>
  <cols>
    <col min="1" max="1" width="7.6640625" style="407" customWidth="1"/>
    <col min="2" max="2" width="9.6640625" style="407" customWidth="1"/>
    <col min="3" max="3" width="50.6640625" style="406" customWidth="1"/>
    <col min="4" max="4" width="7.6640625" style="409" customWidth="1"/>
    <col min="5" max="5" width="8.6640625" style="409" customWidth="1"/>
    <col min="6" max="6" width="15.44140625" style="410" customWidth="1"/>
    <col min="7" max="7" width="17.6640625" style="410" customWidth="1"/>
    <col min="8" max="8" width="18.5546875" style="405" hidden="1" customWidth="1"/>
    <col min="9" max="10" width="15.44140625" style="406" hidden="1" customWidth="1"/>
    <col min="11" max="11" width="16.88671875" style="406" hidden="1" customWidth="1"/>
    <col min="12" max="12" width="15.5546875" style="406" hidden="1" customWidth="1"/>
    <col min="13" max="17" width="0" style="406" hidden="1" customWidth="1"/>
    <col min="18" max="256" width="8.88671875" style="406"/>
    <col min="257" max="257" width="3.6640625" style="406" bestFit="1" customWidth="1"/>
    <col min="258" max="258" width="8.33203125" style="406" customWidth="1"/>
    <col min="259" max="259" width="46.109375" style="406" customWidth="1"/>
    <col min="260" max="260" width="11" style="406" customWidth="1"/>
    <col min="261" max="261" width="12.5546875" style="406" customWidth="1"/>
    <col min="262" max="262" width="10.88671875" style="406" customWidth="1"/>
    <col min="263" max="263" width="16.109375" style="406" customWidth="1"/>
    <col min="264" max="264" width="0" style="406" hidden="1" customWidth="1"/>
    <col min="265" max="265" width="15.44140625" style="406" customWidth="1"/>
    <col min="266" max="266" width="12.88671875" style="406" bestFit="1" customWidth="1"/>
    <col min="267" max="267" width="8.88671875" style="406"/>
    <col min="268" max="268" width="12.88671875" style="406" bestFit="1" customWidth="1"/>
    <col min="269" max="512" width="8.88671875" style="406"/>
    <col min="513" max="513" width="3.6640625" style="406" bestFit="1" customWidth="1"/>
    <col min="514" max="514" width="8.33203125" style="406" customWidth="1"/>
    <col min="515" max="515" width="46.109375" style="406" customWidth="1"/>
    <col min="516" max="516" width="11" style="406" customWidth="1"/>
    <col min="517" max="517" width="12.5546875" style="406" customWidth="1"/>
    <col min="518" max="518" width="10.88671875" style="406" customWidth="1"/>
    <col min="519" max="519" width="16.109375" style="406" customWidth="1"/>
    <col min="520" max="520" width="0" style="406" hidden="1" customWidth="1"/>
    <col min="521" max="521" width="15.44140625" style="406" customWidth="1"/>
    <col min="522" max="522" width="12.88671875" style="406" bestFit="1" customWidth="1"/>
    <col min="523" max="523" width="8.88671875" style="406"/>
    <col min="524" max="524" width="12.88671875" style="406" bestFit="1" customWidth="1"/>
    <col min="525" max="768" width="8.88671875" style="406"/>
    <col min="769" max="769" width="3.6640625" style="406" bestFit="1" customWidth="1"/>
    <col min="770" max="770" width="8.33203125" style="406" customWidth="1"/>
    <col min="771" max="771" width="46.109375" style="406" customWidth="1"/>
    <col min="772" max="772" width="11" style="406" customWidth="1"/>
    <col min="773" max="773" width="12.5546875" style="406" customWidth="1"/>
    <col min="774" max="774" width="10.88671875" style="406" customWidth="1"/>
    <col min="775" max="775" width="16.109375" style="406" customWidth="1"/>
    <col min="776" max="776" width="0" style="406" hidden="1" customWidth="1"/>
    <col min="777" max="777" width="15.44140625" style="406" customWidth="1"/>
    <col min="778" max="778" width="12.88671875" style="406" bestFit="1" customWidth="1"/>
    <col min="779" max="779" width="8.88671875" style="406"/>
    <col min="780" max="780" width="12.88671875" style="406" bestFit="1" customWidth="1"/>
    <col min="781" max="1024" width="8.88671875" style="406"/>
    <col min="1025" max="1025" width="3.6640625" style="406" bestFit="1" customWidth="1"/>
    <col min="1026" max="1026" width="8.33203125" style="406" customWidth="1"/>
    <col min="1027" max="1027" width="46.109375" style="406" customWidth="1"/>
    <col min="1028" max="1028" width="11" style="406" customWidth="1"/>
    <col min="1029" max="1029" width="12.5546875" style="406" customWidth="1"/>
    <col min="1030" max="1030" width="10.88671875" style="406" customWidth="1"/>
    <col min="1031" max="1031" width="16.109375" style="406" customWidth="1"/>
    <col min="1032" max="1032" width="0" style="406" hidden="1" customWidth="1"/>
    <col min="1033" max="1033" width="15.44140625" style="406" customWidth="1"/>
    <col min="1034" max="1034" width="12.88671875" style="406" bestFit="1" customWidth="1"/>
    <col min="1035" max="1035" width="8.88671875" style="406"/>
    <col min="1036" max="1036" width="12.88671875" style="406" bestFit="1" customWidth="1"/>
    <col min="1037" max="1280" width="8.88671875" style="406"/>
    <col min="1281" max="1281" width="3.6640625" style="406" bestFit="1" customWidth="1"/>
    <col min="1282" max="1282" width="8.33203125" style="406" customWidth="1"/>
    <col min="1283" max="1283" width="46.109375" style="406" customWidth="1"/>
    <col min="1284" max="1284" width="11" style="406" customWidth="1"/>
    <col min="1285" max="1285" width="12.5546875" style="406" customWidth="1"/>
    <col min="1286" max="1286" width="10.88671875" style="406" customWidth="1"/>
    <col min="1287" max="1287" width="16.109375" style="406" customWidth="1"/>
    <col min="1288" max="1288" width="0" style="406" hidden="1" customWidth="1"/>
    <col min="1289" max="1289" width="15.44140625" style="406" customWidth="1"/>
    <col min="1290" max="1290" width="12.88671875" style="406" bestFit="1" customWidth="1"/>
    <col min="1291" max="1291" width="8.88671875" style="406"/>
    <col min="1292" max="1292" width="12.88671875" style="406" bestFit="1" customWidth="1"/>
    <col min="1293" max="1536" width="8.88671875" style="406"/>
    <col min="1537" max="1537" width="3.6640625" style="406" bestFit="1" customWidth="1"/>
    <col min="1538" max="1538" width="8.33203125" style="406" customWidth="1"/>
    <col min="1539" max="1539" width="46.109375" style="406" customWidth="1"/>
    <col min="1540" max="1540" width="11" style="406" customWidth="1"/>
    <col min="1541" max="1541" width="12.5546875" style="406" customWidth="1"/>
    <col min="1542" max="1542" width="10.88671875" style="406" customWidth="1"/>
    <col min="1543" max="1543" width="16.109375" style="406" customWidth="1"/>
    <col min="1544" max="1544" width="0" style="406" hidden="1" customWidth="1"/>
    <col min="1545" max="1545" width="15.44140625" style="406" customWidth="1"/>
    <col min="1546" max="1546" width="12.88671875" style="406" bestFit="1" customWidth="1"/>
    <col min="1547" max="1547" width="8.88671875" style="406"/>
    <col min="1548" max="1548" width="12.88671875" style="406" bestFit="1" customWidth="1"/>
    <col min="1549" max="1792" width="8.88671875" style="406"/>
    <col min="1793" max="1793" width="3.6640625" style="406" bestFit="1" customWidth="1"/>
    <col min="1794" max="1794" width="8.33203125" style="406" customWidth="1"/>
    <col min="1795" max="1795" width="46.109375" style="406" customWidth="1"/>
    <col min="1796" max="1796" width="11" style="406" customWidth="1"/>
    <col min="1797" max="1797" width="12.5546875" style="406" customWidth="1"/>
    <col min="1798" max="1798" width="10.88671875" style="406" customWidth="1"/>
    <col min="1799" max="1799" width="16.109375" style="406" customWidth="1"/>
    <col min="1800" max="1800" width="0" style="406" hidden="1" customWidth="1"/>
    <col min="1801" max="1801" width="15.44140625" style="406" customWidth="1"/>
    <col min="1802" max="1802" width="12.88671875" style="406" bestFit="1" customWidth="1"/>
    <col min="1803" max="1803" width="8.88671875" style="406"/>
    <col min="1804" max="1804" width="12.88671875" style="406" bestFit="1" customWidth="1"/>
    <col min="1805" max="2048" width="8.88671875" style="406"/>
    <col min="2049" max="2049" width="3.6640625" style="406" bestFit="1" customWidth="1"/>
    <col min="2050" max="2050" width="8.33203125" style="406" customWidth="1"/>
    <col min="2051" max="2051" width="46.109375" style="406" customWidth="1"/>
    <col min="2052" max="2052" width="11" style="406" customWidth="1"/>
    <col min="2053" max="2053" width="12.5546875" style="406" customWidth="1"/>
    <col min="2054" max="2054" width="10.88671875" style="406" customWidth="1"/>
    <col min="2055" max="2055" width="16.109375" style="406" customWidth="1"/>
    <col min="2056" max="2056" width="0" style="406" hidden="1" customWidth="1"/>
    <col min="2057" max="2057" width="15.44140625" style="406" customWidth="1"/>
    <col min="2058" max="2058" width="12.88671875" style="406" bestFit="1" customWidth="1"/>
    <col min="2059" max="2059" width="8.88671875" style="406"/>
    <col min="2060" max="2060" width="12.88671875" style="406" bestFit="1" customWidth="1"/>
    <col min="2061" max="2304" width="8.88671875" style="406"/>
    <col min="2305" max="2305" width="3.6640625" style="406" bestFit="1" customWidth="1"/>
    <col min="2306" max="2306" width="8.33203125" style="406" customWidth="1"/>
    <col min="2307" max="2307" width="46.109375" style="406" customWidth="1"/>
    <col min="2308" max="2308" width="11" style="406" customWidth="1"/>
    <col min="2309" max="2309" width="12.5546875" style="406" customWidth="1"/>
    <col min="2310" max="2310" width="10.88671875" style="406" customWidth="1"/>
    <col min="2311" max="2311" width="16.109375" style="406" customWidth="1"/>
    <col min="2312" max="2312" width="0" style="406" hidden="1" customWidth="1"/>
    <col min="2313" max="2313" width="15.44140625" style="406" customWidth="1"/>
    <col min="2314" max="2314" width="12.88671875" style="406" bestFit="1" customWidth="1"/>
    <col min="2315" max="2315" width="8.88671875" style="406"/>
    <col min="2316" max="2316" width="12.88671875" style="406" bestFit="1" customWidth="1"/>
    <col min="2317" max="2560" width="8.88671875" style="406"/>
    <col min="2561" max="2561" width="3.6640625" style="406" bestFit="1" customWidth="1"/>
    <col min="2562" max="2562" width="8.33203125" style="406" customWidth="1"/>
    <col min="2563" max="2563" width="46.109375" style="406" customWidth="1"/>
    <col min="2564" max="2564" width="11" style="406" customWidth="1"/>
    <col min="2565" max="2565" width="12.5546875" style="406" customWidth="1"/>
    <col min="2566" max="2566" width="10.88671875" style="406" customWidth="1"/>
    <col min="2567" max="2567" width="16.109375" style="406" customWidth="1"/>
    <col min="2568" max="2568" width="0" style="406" hidden="1" customWidth="1"/>
    <col min="2569" max="2569" width="15.44140625" style="406" customWidth="1"/>
    <col min="2570" max="2570" width="12.88671875" style="406" bestFit="1" customWidth="1"/>
    <col min="2571" max="2571" width="8.88671875" style="406"/>
    <col min="2572" max="2572" width="12.88671875" style="406" bestFit="1" customWidth="1"/>
    <col min="2573" max="2816" width="8.88671875" style="406"/>
    <col min="2817" max="2817" width="3.6640625" style="406" bestFit="1" customWidth="1"/>
    <col min="2818" max="2818" width="8.33203125" style="406" customWidth="1"/>
    <col min="2819" max="2819" width="46.109375" style="406" customWidth="1"/>
    <col min="2820" max="2820" width="11" style="406" customWidth="1"/>
    <col min="2821" max="2821" width="12.5546875" style="406" customWidth="1"/>
    <col min="2822" max="2822" width="10.88671875" style="406" customWidth="1"/>
    <col min="2823" max="2823" width="16.109375" style="406" customWidth="1"/>
    <col min="2824" max="2824" width="0" style="406" hidden="1" customWidth="1"/>
    <col min="2825" max="2825" width="15.44140625" style="406" customWidth="1"/>
    <col min="2826" max="2826" width="12.88671875" style="406" bestFit="1" customWidth="1"/>
    <col min="2827" max="2827" width="8.88671875" style="406"/>
    <col min="2828" max="2828" width="12.88671875" style="406" bestFit="1" customWidth="1"/>
    <col min="2829" max="3072" width="8.88671875" style="406"/>
    <col min="3073" max="3073" width="3.6640625" style="406" bestFit="1" customWidth="1"/>
    <col min="3074" max="3074" width="8.33203125" style="406" customWidth="1"/>
    <col min="3075" max="3075" width="46.109375" style="406" customWidth="1"/>
    <col min="3076" max="3076" width="11" style="406" customWidth="1"/>
    <col min="3077" max="3077" width="12.5546875" style="406" customWidth="1"/>
    <col min="3078" max="3078" width="10.88671875" style="406" customWidth="1"/>
    <col min="3079" max="3079" width="16.109375" style="406" customWidth="1"/>
    <col min="3080" max="3080" width="0" style="406" hidden="1" customWidth="1"/>
    <col min="3081" max="3081" width="15.44140625" style="406" customWidth="1"/>
    <col min="3082" max="3082" width="12.88671875" style="406" bestFit="1" customWidth="1"/>
    <col min="3083" max="3083" width="8.88671875" style="406"/>
    <col min="3084" max="3084" width="12.88671875" style="406" bestFit="1" customWidth="1"/>
    <col min="3085" max="3328" width="8.88671875" style="406"/>
    <col min="3329" max="3329" width="3.6640625" style="406" bestFit="1" customWidth="1"/>
    <col min="3330" max="3330" width="8.33203125" style="406" customWidth="1"/>
    <col min="3331" max="3331" width="46.109375" style="406" customWidth="1"/>
    <col min="3332" max="3332" width="11" style="406" customWidth="1"/>
    <col min="3333" max="3333" width="12.5546875" style="406" customWidth="1"/>
    <col min="3334" max="3334" width="10.88671875" style="406" customWidth="1"/>
    <col min="3335" max="3335" width="16.109375" style="406" customWidth="1"/>
    <col min="3336" max="3336" width="0" style="406" hidden="1" customWidth="1"/>
    <col min="3337" max="3337" width="15.44140625" style="406" customWidth="1"/>
    <col min="3338" max="3338" width="12.88671875" style="406" bestFit="1" customWidth="1"/>
    <col min="3339" max="3339" width="8.88671875" style="406"/>
    <col min="3340" max="3340" width="12.88671875" style="406" bestFit="1" customWidth="1"/>
    <col min="3341" max="3584" width="8.88671875" style="406"/>
    <col min="3585" max="3585" width="3.6640625" style="406" bestFit="1" customWidth="1"/>
    <col min="3586" max="3586" width="8.33203125" style="406" customWidth="1"/>
    <col min="3587" max="3587" width="46.109375" style="406" customWidth="1"/>
    <col min="3588" max="3588" width="11" style="406" customWidth="1"/>
    <col min="3589" max="3589" width="12.5546875" style="406" customWidth="1"/>
    <col min="3590" max="3590" width="10.88671875" style="406" customWidth="1"/>
    <col min="3591" max="3591" width="16.109375" style="406" customWidth="1"/>
    <col min="3592" max="3592" width="0" style="406" hidden="1" customWidth="1"/>
    <col min="3593" max="3593" width="15.44140625" style="406" customWidth="1"/>
    <col min="3594" max="3594" width="12.88671875" style="406" bestFit="1" customWidth="1"/>
    <col min="3595" max="3595" width="8.88671875" style="406"/>
    <col min="3596" max="3596" width="12.88671875" style="406" bestFit="1" customWidth="1"/>
    <col min="3597" max="3840" width="8.88671875" style="406"/>
    <col min="3841" max="3841" width="3.6640625" style="406" bestFit="1" customWidth="1"/>
    <col min="3842" max="3842" width="8.33203125" style="406" customWidth="1"/>
    <col min="3843" max="3843" width="46.109375" style="406" customWidth="1"/>
    <col min="3844" max="3844" width="11" style="406" customWidth="1"/>
    <col min="3845" max="3845" width="12.5546875" style="406" customWidth="1"/>
    <col min="3846" max="3846" width="10.88671875" style="406" customWidth="1"/>
    <col min="3847" max="3847" width="16.109375" style="406" customWidth="1"/>
    <col min="3848" max="3848" width="0" style="406" hidden="1" customWidth="1"/>
    <col min="3849" max="3849" width="15.44140625" style="406" customWidth="1"/>
    <col min="3850" max="3850" width="12.88671875" style="406" bestFit="1" customWidth="1"/>
    <col min="3851" max="3851" width="8.88671875" style="406"/>
    <col min="3852" max="3852" width="12.88671875" style="406" bestFit="1" customWidth="1"/>
    <col min="3853" max="4096" width="8.88671875" style="406"/>
    <col min="4097" max="4097" width="3.6640625" style="406" bestFit="1" customWidth="1"/>
    <col min="4098" max="4098" width="8.33203125" style="406" customWidth="1"/>
    <col min="4099" max="4099" width="46.109375" style="406" customWidth="1"/>
    <col min="4100" max="4100" width="11" style="406" customWidth="1"/>
    <col min="4101" max="4101" width="12.5546875" style="406" customWidth="1"/>
    <col min="4102" max="4102" width="10.88671875" style="406" customWidth="1"/>
    <col min="4103" max="4103" width="16.109375" style="406" customWidth="1"/>
    <col min="4104" max="4104" width="0" style="406" hidden="1" customWidth="1"/>
    <col min="4105" max="4105" width="15.44140625" style="406" customWidth="1"/>
    <col min="4106" max="4106" width="12.88671875" style="406" bestFit="1" customWidth="1"/>
    <col min="4107" max="4107" width="8.88671875" style="406"/>
    <col min="4108" max="4108" width="12.88671875" style="406" bestFit="1" customWidth="1"/>
    <col min="4109" max="4352" width="8.88671875" style="406"/>
    <col min="4353" max="4353" width="3.6640625" style="406" bestFit="1" customWidth="1"/>
    <col min="4354" max="4354" width="8.33203125" style="406" customWidth="1"/>
    <col min="4355" max="4355" width="46.109375" style="406" customWidth="1"/>
    <col min="4356" max="4356" width="11" style="406" customWidth="1"/>
    <col min="4357" max="4357" width="12.5546875" style="406" customWidth="1"/>
    <col min="4358" max="4358" width="10.88671875" style="406" customWidth="1"/>
    <col min="4359" max="4359" width="16.109375" style="406" customWidth="1"/>
    <col min="4360" max="4360" width="0" style="406" hidden="1" customWidth="1"/>
    <col min="4361" max="4361" width="15.44140625" style="406" customWidth="1"/>
    <col min="4362" max="4362" width="12.88671875" style="406" bestFit="1" customWidth="1"/>
    <col min="4363" max="4363" width="8.88671875" style="406"/>
    <col min="4364" max="4364" width="12.88671875" style="406" bestFit="1" customWidth="1"/>
    <col min="4365" max="4608" width="8.88671875" style="406"/>
    <col min="4609" max="4609" width="3.6640625" style="406" bestFit="1" customWidth="1"/>
    <col min="4610" max="4610" width="8.33203125" style="406" customWidth="1"/>
    <col min="4611" max="4611" width="46.109375" style="406" customWidth="1"/>
    <col min="4612" max="4612" width="11" style="406" customWidth="1"/>
    <col min="4613" max="4613" width="12.5546875" style="406" customWidth="1"/>
    <col min="4614" max="4614" width="10.88671875" style="406" customWidth="1"/>
    <col min="4615" max="4615" width="16.109375" style="406" customWidth="1"/>
    <col min="4616" max="4616" width="0" style="406" hidden="1" customWidth="1"/>
    <col min="4617" max="4617" width="15.44140625" style="406" customWidth="1"/>
    <col min="4618" max="4618" width="12.88671875" style="406" bestFit="1" customWidth="1"/>
    <col min="4619" max="4619" width="8.88671875" style="406"/>
    <col min="4620" max="4620" width="12.88671875" style="406" bestFit="1" customWidth="1"/>
    <col min="4621" max="4864" width="8.88671875" style="406"/>
    <col min="4865" max="4865" width="3.6640625" style="406" bestFit="1" customWidth="1"/>
    <col min="4866" max="4866" width="8.33203125" style="406" customWidth="1"/>
    <col min="4867" max="4867" width="46.109375" style="406" customWidth="1"/>
    <col min="4868" max="4868" width="11" style="406" customWidth="1"/>
    <col min="4869" max="4869" width="12.5546875" style="406" customWidth="1"/>
    <col min="4870" max="4870" width="10.88671875" style="406" customWidth="1"/>
    <col min="4871" max="4871" width="16.109375" style="406" customWidth="1"/>
    <col min="4872" max="4872" width="0" style="406" hidden="1" customWidth="1"/>
    <col min="4873" max="4873" width="15.44140625" style="406" customWidth="1"/>
    <col min="4874" max="4874" width="12.88671875" style="406" bestFit="1" customWidth="1"/>
    <col min="4875" max="4875" width="8.88671875" style="406"/>
    <col min="4876" max="4876" width="12.88671875" style="406" bestFit="1" customWidth="1"/>
    <col min="4877" max="5120" width="8.88671875" style="406"/>
    <col min="5121" max="5121" width="3.6640625" style="406" bestFit="1" customWidth="1"/>
    <col min="5122" max="5122" width="8.33203125" style="406" customWidth="1"/>
    <col min="5123" max="5123" width="46.109375" style="406" customWidth="1"/>
    <col min="5124" max="5124" width="11" style="406" customWidth="1"/>
    <col min="5125" max="5125" width="12.5546875" style="406" customWidth="1"/>
    <col min="5126" max="5126" width="10.88671875" style="406" customWidth="1"/>
    <col min="5127" max="5127" width="16.109375" style="406" customWidth="1"/>
    <col min="5128" max="5128" width="0" style="406" hidden="1" customWidth="1"/>
    <col min="5129" max="5129" width="15.44140625" style="406" customWidth="1"/>
    <col min="5130" max="5130" width="12.88671875" style="406" bestFit="1" customWidth="1"/>
    <col min="5131" max="5131" width="8.88671875" style="406"/>
    <col min="5132" max="5132" width="12.88671875" style="406" bestFit="1" customWidth="1"/>
    <col min="5133" max="5376" width="8.88671875" style="406"/>
    <col min="5377" max="5377" width="3.6640625" style="406" bestFit="1" customWidth="1"/>
    <col min="5378" max="5378" width="8.33203125" style="406" customWidth="1"/>
    <col min="5379" max="5379" width="46.109375" style="406" customWidth="1"/>
    <col min="5380" max="5380" width="11" style="406" customWidth="1"/>
    <col min="5381" max="5381" width="12.5546875" style="406" customWidth="1"/>
    <col min="5382" max="5382" width="10.88671875" style="406" customWidth="1"/>
    <col min="5383" max="5383" width="16.109375" style="406" customWidth="1"/>
    <col min="5384" max="5384" width="0" style="406" hidden="1" customWidth="1"/>
    <col min="5385" max="5385" width="15.44140625" style="406" customWidth="1"/>
    <col min="5386" max="5386" width="12.88671875" style="406" bestFit="1" customWidth="1"/>
    <col min="5387" max="5387" width="8.88671875" style="406"/>
    <col min="5388" max="5388" width="12.88671875" style="406" bestFit="1" customWidth="1"/>
    <col min="5389" max="5632" width="8.88671875" style="406"/>
    <col min="5633" max="5633" width="3.6640625" style="406" bestFit="1" customWidth="1"/>
    <col min="5634" max="5634" width="8.33203125" style="406" customWidth="1"/>
    <col min="5635" max="5635" width="46.109375" style="406" customWidth="1"/>
    <col min="5636" max="5636" width="11" style="406" customWidth="1"/>
    <col min="5637" max="5637" width="12.5546875" style="406" customWidth="1"/>
    <col min="5638" max="5638" width="10.88671875" style="406" customWidth="1"/>
    <col min="5639" max="5639" width="16.109375" style="406" customWidth="1"/>
    <col min="5640" max="5640" width="0" style="406" hidden="1" customWidth="1"/>
    <col min="5641" max="5641" width="15.44140625" style="406" customWidth="1"/>
    <col min="5642" max="5642" width="12.88671875" style="406" bestFit="1" customWidth="1"/>
    <col min="5643" max="5643" width="8.88671875" style="406"/>
    <col min="5644" max="5644" width="12.88671875" style="406" bestFit="1" customWidth="1"/>
    <col min="5645" max="5888" width="8.88671875" style="406"/>
    <col min="5889" max="5889" width="3.6640625" style="406" bestFit="1" customWidth="1"/>
    <col min="5890" max="5890" width="8.33203125" style="406" customWidth="1"/>
    <col min="5891" max="5891" width="46.109375" style="406" customWidth="1"/>
    <col min="5892" max="5892" width="11" style="406" customWidth="1"/>
    <col min="5893" max="5893" width="12.5546875" style="406" customWidth="1"/>
    <col min="5894" max="5894" width="10.88671875" style="406" customWidth="1"/>
    <col min="5895" max="5895" width="16.109375" style="406" customWidth="1"/>
    <col min="5896" max="5896" width="0" style="406" hidden="1" customWidth="1"/>
    <col min="5897" max="5897" width="15.44140625" style="406" customWidth="1"/>
    <col min="5898" max="5898" width="12.88671875" style="406" bestFit="1" customWidth="1"/>
    <col min="5899" max="5899" width="8.88671875" style="406"/>
    <col min="5900" max="5900" width="12.88671875" style="406" bestFit="1" customWidth="1"/>
    <col min="5901" max="6144" width="8.88671875" style="406"/>
    <col min="6145" max="6145" width="3.6640625" style="406" bestFit="1" customWidth="1"/>
    <col min="6146" max="6146" width="8.33203125" style="406" customWidth="1"/>
    <col min="6147" max="6147" width="46.109375" style="406" customWidth="1"/>
    <col min="6148" max="6148" width="11" style="406" customWidth="1"/>
    <col min="6149" max="6149" width="12.5546875" style="406" customWidth="1"/>
    <col min="6150" max="6150" width="10.88671875" style="406" customWidth="1"/>
    <col min="6151" max="6151" width="16.109375" style="406" customWidth="1"/>
    <col min="6152" max="6152" width="0" style="406" hidden="1" customWidth="1"/>
    <col min="6153" max="6153" width="15.44140625" style="406" customWidth="1"/>
    <col min="6154" max="6154" width="12.88671875" style="406" bestFit="1" customWidth="1"/>
    <col min="6155" max="6155" width="8.88671875" style="406"/>
    <col min="6156" max="6156" width="12.88671875" style="406" bestFit="1" customWidth="1"/>
    <col min="6157" max="6400" width="8.88671875" style="406"/>
    <col min="6401" max="6401" width="3.6640625" style="406" bestFit="1" customWidth="1"/>
    <col min="6402" max="6402" width="8.33203125" style="406" customWidth="1"/>
    <col min="6403" max="6403" width="46.109375" style="406" customWidth="1"/>
    <col min="6404" max="6404" width="11" style="406" customWidth="1"/>
    <col min="6405" max="6405" width="12.5546875" style="406" customWidth="1"/>
    <col min="6406" max="6406" width="10.88671875" style="406" customWidth="1"/>
    <col min="6407" max="6407" width="16.109375" style="406" customWidth="1"/>
    <col min="6408" max="6408" width="0" style="406" hidden="1" customWidth="1"/>
    <col min="6409" max="6409" width="15.44140625" style="406" customWidth="1"/>
    <col min="6410" max="6410" width="12.88671875" style="406" bestFit="1" customWidth="1"/>
    <col min="6411" max="6411" width="8.88671875" style="406"/>
    <col min="6412" max="6412" width="12.88671875" style="406" bestFit="1" customWidth="1"/>
    <col min="6413" max="6656" width="8.88671875" style="406"/>
    <col min="6657" max="6657" width="3.6640625" style="406" bestFit="1" customWidth="1"/>
    <col min="6658" max="6658" width="8.33203125" style="406" customWidth="1"/>
    <col min="6659" max="6659" width="46.109375" style="406" customWidth="1"/>
    <col min="6660" max="6660" width="11" style="406" customWidth="1"/>
    <col min="6661" max="6661" width="12.5546875" style="406" customWidth="1"/>
    <col min="6662" max="6662" width="10.88671875" style="406" customWidth="1"/>
    <col min="6663" max="6663" width="16.109375" style="406" customWidth="1"/>
    <col min="6664" max="6664" width="0" style="406" hidden="1" customWidth="1"/>
    <col min="6665" max="6665" width="15.44140625" style="406" customWidth="1"/>
    <col min="6666" max="6666" width="12.88671875" style="406" bestFit="1" customWidth="1"/>
    <col min="6667" max="6667" width="8.88671875" style="406"/>
    <col min="6668" max="6668" width="12.88671875" style="406" bestFit="1" customWidth="1"/>
    <col min="6669" max="6912" width="8.88671875" style="406"/>
    <col min="6913" max="6913" width="3.6640625" style="406" bestFit="1" customWidth="1"/>
    <col min="6914" max="6914" width="8.33203125" style="406" customWidth="1"/>
    <col min="6915" max="6915" width="46.109375" style="406" customWidth="1"/>
    <col min="6916" max="6916" width="11" style="406" customWidth="1"/>
    <col min="6917" max="6917" width="12.5546875" style="406" customWidth="1"/>
    <col min="6918" max="6918" width="10.88671875" style="406" customWidth="1"/>
    <col min="6919" max="6919" width="16.109375" style="406" customWidth="1"/>
    <col min="6920" max="6920" width="0" style="406" hidden="1" customWidth="1"/>
    <col min="6921" max="6921" width="15.44140625" style="406" customWidth="1"/>
    <col min="6922" max="6922" width="12.88671875" style="406" bestFit="1" customWidth="1"/>
    <col min="6923" max="6923" width="8.88671875" style="406"/>
    <col min="6924" max="6924" width="12.88671875" style="406" bestFit="1" customWidth="1"/>
    <col min="6925" max="7168" width="8.88671875" style="406"/>
    <col min="7169" max="7169" width="3.6640625" style="406" bestFit="1" customWidth="1"/>
    <col min="7170" max="7170" width="8.33203125" style="406" customWidth="1"/>
    <col min="7171" max="7171" width="46.109375" style="406" customWidth="1"/>
    <col min="7172" max="7172" width="11" style="406" customWidth="1"/>
    <col min="7173" max="7173" width="12.5546875" style="406" customWidth="1"/>
    <col min="7174" max="7174" width="10.88671875" style="406" customWidth="1"/>
    <col min="7175" max="7175" width="16.109375" style="406" customWidth="1"/>
    <col min="7176" max="7176" width="0" style="406" hidden="1" customWidth="1"/>
    <col min="7177" max="7177" width="15.44140625" style="406" customWidth="1"/>
    <col min="7178" max="7178" width="12.88671875" style="406" bestFit="1" customWidth="1"/>
    <col min="7179" max="7179" width="8.88671875" style="406"/>
    <col min="7180" max="7180" width="12.88671875" style="406" bestFit="1" customWidth="1"/>
    <col min="7181" max="7424" width="8.88671875" style="406"/>
    <col min="7425" max="7425" width="3.6640625" style="406" bestFit="1" customWidth="1"/>
    <col min="7426" max="7426" width="8.33203125" style="406" customWidth="1"/>
    <col min="7427" max="7427" width="46.109375" style="406" customWidth="1"/>
    <col min="7428" max="7428" width="11" style="406" customWidth="1"/>
    <col min="7429" max="7429" width="12.5546875" style="406" customWidth="1"/>
    <col min="7430" max="7430" width="10.88671875" style="406" customWidth="1"/>
    <col min="7431" max="7431" width="16.109375" style="406" customWidth="1"/>
    <col min="7432" max="7432" width="0" style="406" hidden="1" customWidth="1"/>
    <col min="7433" max="7433" width="15.44140625" style="406" customWidth="1"/>
    <col min="7434" max="7434" width="12.88671875" style="406" bestFit="1" customWidth="1"/>
    <col min="7435" max="7435" width="8.88671875" style="406"/>
    <col min="7436" max="7436" width="12.88671875" style="406" bestFit="1" customWidth="1"/>
    <col min="7437" max="7680" width="8.88671875" style="406"/>
    <col min="7681" max="7681" width="3.6640625" style="406" bestFit="1" customWidth="1"/>
    <col min="7682" max="7682" width="8.33203125" style="406" customWidth="1"/>
    <col min="7683" max="7683" width="46.109375" style="406" customWidth="1"/>
    <col min="7684" max="7684" width="11" style="406" customWidth="1"/>
    <col min="7685" max="7685" width="12.5546875" style="406" customWidth="1"/>
    <col min="7686" max="7686" width="10.88671875" style="406" customWidth="1"/>
    <col min="7687" max="7687" width="16.109375" style="406" customWidth="1"/>
    <col min="7688" max="7688" width="0" style="406" hidden="1" customWidth="1"/>
    <col min="7689" max="7689" width="15.44140625" style="406" customWidth="1"/>
    <col min="7690" max="7690" width="12.88671875" style="406" bestFit="1" customWidth="1"/>
    <col min="7691" max="7691" width="8.88671875" style="406"/>
    <col min="7692" max="7692" width="12.88671875" style="406" bestFit="1" customWidth="1"/>
    <col min="7693" max="7936" width="8.88671875" style="406"/>
    <col min="7937" max="7937" width="3.6640625" style="406" bestFit="1" customWidth="1"/>
    <col min="7938" max="7938" width="8.33203125" style="406" customWidth="1"/>
    <col min="7939" max="7939" width="46.109375" style="406" customWidth="1"/>
    <col min="7940" max="7940" width="11" style="406" customWidth="1"/>
    <col min="7941" max="7941" width="12.5546875" style="406" customWidth="1"/>
    <col min="7942" max="7942" width="10.88671875" style="406" customWidth="1"/>
    <col min="7943" max="7943" width="16.109375" style="406" customWidth="1"/>
    <col min="7944" max="7944" width="0" style="406" hidden="1" customWidth="1"/>
    <col min="7945" max="7945" width="15.44140625" style="406" customWidth="1"/>
    <col min="7946" max="7946" width="12.88671875" style="406" bestFit="1" customWidth="1"/>
    <col min="7947" max="7947" width="8.88671875" style="406"/>
    <col min="7948" max="7948" width="12.88671875" style="406" bestFit="1" customWidth="1"/>
    <col min="7949" max="8192" width="8.88671875" style="406"/>
    <col min="8193" max="8193" width="3.6640625" style="406" bestFit="1" customWidth="1"/>
    <col min="8194" max="8194" width="8.33203125" style="406" customWidth="1"/>
    <col min="8195" max="8195" width="46.109375" style="406" customWidth="1"/>
    <col min="8196" max="8196" width="11" style="406" customWidth="1"/>
    <col min="8197" max="8197" width="12.5546875" style="406" customWidth="1"/>
    <col min="8198" max="8198" width="10.88671875" style="406" customWidth="1"/>
    <col min="8199" max="8199" width="16.109375" style="406" customWidth="1"/>
    <col min="8200" max="8200" width="0" style="406" hidden="1" customWidth="1"/>
    <col min="8201" max="8201" width="15.44140625" style="406" customWidth="1"/>
    <col min="8202" max="8202" width="12.88671875" style="406" bestFit="1" customWidth="1"/>
    <col min="8203" max="8203" width="8.88671875" style="406"/>
    <col min="8204" max="8204" width="12.88671875" style="406" bestFit="1" customWidth="1"/>
    <col min="8205" max="8448" width="8.88671875" style="406"/>
    <col min="8449" max="8449" width="3.6640625" style="406" bestFit="1" customWidth="1"/>
    <col min="8450" max="8450" width="8.33203125" style="406" customWidth="1"/>
    <col min="8451" max="8451" width="46.109375" style="406" customWidth="1"/>
    <col min="8452" max="8452" width="11" style="406" customWidth="1"/>
    <col min="8453" max="8453" width="12.5546875" style="406" customWidth="1"/>
    <col min="8454" max="8454" width="10.88671875" style="406" customWidth="1"/>
    <col min="8455" max="8455" width="16.109375" style="406" customWidth="1"/>
    <col min="8456" max="8456" width="0" style="406" hidden="1" customWidth="1"/>
    <col min="8457" max="8457" width="15.44140625" style="406" customWidth="1"/>
    <col min="8458" max="8458" width="12.88671875" style="406" bestFit="1" customWidth="1"/>
    <col min="8459" max="8459" width="8.88671875" style="406"/>
    <col min="8460" max="8460" width="12.88671875" style="406" bestFit="1" customWidth="1"/>
    <col min="8461" max="8704" width="8.88671875" style="406"/>
    <col min="8705" max="8705" width="3.6640625" style="406" bestFit="1" customWidth="1"/>
    <col min="8706" max="8706" width="8.33203125" style="406" customWidth="1"/>
    <col min="8707" max="8707" width="46.109375" style="406" customWidth="1"/>
    <col min="8708" max="8708" width="11" style="406" customWidth="1"/>
    <col min="8709" max="8709" width="12.5546875" style="406" customWidth="1"/>
    <col min="8710" max="8710" width="10.88671875" style="406" customWidth="1"/>
    <col min="8711" max="8711" width="16.109375" style="406" customWidth="1"/>
    <col min="8712" max="8712" width="0" style="406" hidden="1" customWidth="1"/>
    <col min="8713" max="8713" width="15.44140625" style="406" customWidth="1"/>
    <col min="8714" max="8714" width="12.88671875" style="406" bestFit="1" customWidth="1"/>
    <col min="8715" max="8715" width="8.88671875" style="406"/>
    <col min="8716" max="8716" width="12.88671875" style="406" bestFit="1" customWidth="1"/>
    <col min="8717" max="8960" width="8.88671875" style="406"/>
    <col min="8961" max="8961" width="3.6640625" style="406" bestFit="1" customWidth="1"/>
    <col min="8962" max="8962" width="8.33203125" style="406" customWidth="1"/>
    <col min="8963" max="8963" width="46.109375" style="406" customWidth="1"/>
    <col min="8964" max="8964" width="11" style="406" customWidth="1"/>
    <col min="8965" max="8965" width="12.5546875" style="406" customWidth="1"/>
    <col min="8966" max="8966" width="10.88671875" style="406" customWidth="1"/>
    <col min="8967" max="8967" width="16.109375" style="406" customWidth="1"/>
    <col min="8968" max="8968" width="0" style="406" hidden="1" customWidth="1"/>
    <col min="8969" max="8969" width="15.44140625" style="406" customWidth="1"/>
    <col min="8970" max="8970" width="12.88671875" style="406" bestFit="1" customWidth="1"/>
    <col min="8971" max="8971" width="8.88671875" style="406"/>
    <col min="8972" max="8972" width="12.88671875" style="406" bestFit="1" customWidth="1"/>
    <col min="8973" max="9216" width="8.88671875" style="406"/>
    <col min="9217" max="9217" width="3.6640625" style="406" bestFit="1" customWidth="1"/>
    <col min="9218" max="9218" width="8.33203125" style="406" customWidth="1"/>
    <col min="9219" max="9219" width="46.109375" style="406" customWidth="1"/>
    <col min="9220" max="9220" width="11" style="406" customWidth="1"/>
    <col min="9221" max="9221" width="12.5546875" style="406" customWidth="1"/>
    <col min="9222" max="9222" width="10.88671875" style="406" customWidth="1"/>
    <col min="9223" max="9223" width="16.109375" style="406" customWidth="1"/>
    <col min="9224" max="9224" width="0" style="406" hidden="1" customWidth="1"/>
    <col min="9225" max="9225" width="15.44140625" style="406" customWidth="1"/>
    <col min="9226" max="9226" width="12.88671875" style="406" bestFit="1" customWidth="1"/>
    <col min="9227" max="9227" width="8.88671875" style="406"/>
    <col min="9228" max="9228" width="12.88671875" style="406" bestFit="1" customWidth="1"/>
    <col min="9229" max="9472" width="8.88671875" style="406"/>
    <col min="9473" max="9473" width="3.6640625" style="406" bestFit="1" customWidth="1"/>
    <col min="9474" max="9474" width="8.33203125" style="406" customWidth="1"/>
    <col min="9475" max="9475" width="46.109375" style="406" customWidth="1"/>
    <col min="9476" max="9476" width="11" style="406" customWidth="1"/>
    <col min="9477" max="9477" width="12.5546875" style="406" customWidth="1"/>
    <col min="9478" max="9478" width="10.88671875" style="406" customWidth="1"/>
    <col min="9479" max="9479" width="16.109375" style="406" customWidth="1"/>
    <col min="9480" max="9480" width="0" style="406" hidden="1" customWidth="1"/>
    <col min="9481" max="9481" width="15.44140625" style="406" customWidth="1"/>
    <col min="9482" max="9482" width="12.88671875" style="406" bestFit="1" customWidth="1"/>
    <col min="9483" max="9483" width="8.88671875" style="406"/>
    <col min="9484" max="9484" width="12.88671875" style="406" bestFit="1" customWidth="1"/>
    <col min="9485" max="9728" width="8.88671875" style="406"/>
    <col min="9729" max="9729" width="3.6640625" style="406" bestFit="1" customWidth="1"/>
    <col min="9730" max="9730" width="8.33203125" style="406" customWidth="1"/>
    <col min="9731" max="9731" width="46.109375" style="406" customWidth="1"/>
    <col min="9732" max="9732" width="11" style="406" customWidth="1"/>
    <col min="9733" max="9733" width="12.5546875" style="406" customWidth="1"/>
    <col min="9734" max="9734" width="10.88671875" style="406" customWidth="1"/>
    <col min="9735" max="9735" width="16.109375" style="406" customWidth="1"/>
    <col min="9736" max="9736" width="0" style="406" hidden="1" customWidth="1"/>
    <col min="9737" max="9737" width="15.44140625" style="406" customWidth="1"/>
    <col min="9738" max="9738" width="12.88671875" style="406" bestFit="1" customWidth="1"/>
    <col min="9739" max="9739" width="8.88671875" style="406"/>
    <col min="9740" max="9740" width="12.88671875" style="406" bestFit="1" customWidth="1"/>
    <col min="9741" max="9984" width="8.88671875" style="406"/>
    <col min="9985" max="9985" width="3.6640625" style="406" bestFit="1" customWidth="1"/>
    <col min="9986" max="9986" width="8.33203125" style="406" customWidth="1"/>
    <col min="9987" max="9987" width="46.109375" style="406" customWidth="1"/>
    <col min="9988" max="9988" width="11" style="406" customWidth="1"/>
    <col min="9989" max="9989" width="12.5546875" style="406" customWidth="1"/>
    <col min="9990" max="9990" width="10.88671875" style="406" customWidth="1"/>
    <col min="9991" max="9991" width="16.109375" style="406" customWidth="1"/>
    <col min="9992" max="9992" width="0" style="406" hidden="1" customWidth="1"/>
    <col min="9993" max="9993" width="15.44140625" style="406" customWidth="1"/>
    <col min="9994" max="9994" width="12.88671875" style="406" bestFit="1" customWidth="1"/>
    <col min="9995" max="9995" width="8.88671875" style="406"/>
    <col min="9996" max="9996" width="12.88671875" style="406" bestFit="1" customWidth="1"/>
    <col min="9997" max="10240" width="8.88671875" style="406"/>
    <col min="10241" max="10241" width="3.6640625" style="406" bestFit="1" customWidth="1"/>
    <col min="10242" max="10242" width="8.33203125" style="406" customWidth="1"/>
    <col min="10243" max="10243" width="46.109375" style="406" customWidth="1"/>
    <col min="10244" max="10244" width="11" style="406" customWidth="1"/>
    <col min="10245" max="10245" width="12.5546875" style="406" customWidth="1"/>
    <col min="10246" max="10246" width="10.88671875" style="406" customWidth="1"/>
    <col min="10247" max="10247" width="16.109375" style="406" customWidth="1"/>
    <col min="10248" max="10248" width="0" style="406" hidden="1" customWidth="1"/>
    <col min="10249" max="10249" width="15.44140625" style="406" customWidth="1"/>
    <col min="10250" max="10250" width="12.88671875" style="406" bestFit="1" customWidth="1"/>
    <col min="10251" max="10251" width="8.88671875" style="406"/>
    <col min="10252" max="10252" width="12.88671875" style="406" bestFit="1" customWidth="1"/>
    <col min="10253" max="10496" width="8.88671875" style="406"/>
    <col min="10497" max="10497" width="3.6640625" style="406" bestFit="1" customWidth="1"/>
    <col min="10498" max="10498" width="8.33203125" style="406" customWidth="1"/>
    <col min="10499" max="10499" width="46.109375" style="406" customWidth="1"/>
    <col min="10500" max="10500" width="11" style="406" customWidth="1"/>
    <col min="10501" max="10501" width="12.5546875" style="406" customWidth="1"/>
    <col min="10502" max="10502" width="10.88671875" style="406" customWidth="1"/>
    <col min="10503" max="10503" width="16.109375" style="406" customWidth="1"/>
    <col min="10504" max="10504" width="0" style="406" hidden="1" customWidth="1"/>
    <col min="10505" max="10505" width="15.44140625" style="406" customWidth="1"/>
    <col min="10506" max="10506" width="12.88671875" style="406" bestFit="1" customWidth="1"/>
    <col min="10507" max="10507" width="8.88671875" style="406"/>
    <col min="10508" max="10508" width="12.88671875" style="406" bestFit="1" customWidth="1"/>
    <col min="10509" max="10752" width="8.88671875" style="406"/>
    <col min="10753" max="10753" width="3.6640625" style="406" bestFit="1" customWidth="1"/>
    <col min="10754" max="10754" width="8.33203125" style="406" customWidth="1"/>
    <col min="10755" max="10755" width="46.109375" style="406" customWidth="1"/>
    <col min="10756" max="10756" width="11" style="406" customWidth="1"/>
    <col min="10757" max="10757" width="12.5546875" style="406" customWidth="1"/>
    <col min="10758" max="10758" width="10.88671875" style="406" customWidth="1"/>
    <col min="10759" max="10759" width="16.109375" style="406" customWidth="1"/>
    <col min="10760" max="10760" width="0" style="406" hidden="1" customWidth="1"/>
    <col min="10761" max="10761" width="15.44140625" style="406" customWidth="1"/>
    <col min="10762" max="10762" width="12.88671875" style="406" bestFit="1" customWidth="1"/>
    <col min="10763" max="10763" width="8.88671875" style="406"/>
    <col min="10764" max="10764" width="12.88671875" style="406" bestFit="1" customWidth="1"/>
    <col min="10765" max="11008" width="8.88671875" style="406"/>
    <col min="11009" max="11009" width="3.6640625" style="406" bestFit="1" customWidth="1"/>
    <col min="11010" max="11010" width="8.33203125" style="406" customWidth="1"/>
    <col min="11011" max="11011" width="46.109375" style="406" customWidth="1"/>
    <col min="11012" max="11012" width="11" style="406" customWidth="1"/>
    <col min="11013" max="11013" width="12.5546875" style="406" customWidth="1"/>
    <col min="11014" max="11014" width="10.88671875" style="406" customWidth="1"/>
    <col min="11015" max="11015" width="16.109375" style="406" customWidth="1"/>
    <col min="11016" max="11016" width="0" style="406" hidden="1" customWidth="1"/>
    <col min="11017" max="11017" width="15.44140625" style="406" customWidth="1"/>
    <col min="11018" max="11018" width="12.88671875" style="406" bestFit="1" customWidth="1"/>
    <col min="11019" max="11019" width="8.88671875" style="406"/>
    <col min="11020" max="11020" width="12.88671875" style="406" bestFit="1" customWidth="1"/>
    <col min="11021" max="11264" width="8.88671875" style="406"/>
    <col min="11265" max="11265" width="3.6640625" style="406" bestFit="1" customWidth="1"/>
    <col min="11266" max="11266" width="8.33203125" style="406" customWidth="1"/>
    <col min="11267" max="11267" width="46.109375" style="406" customWidth="1"/>
    <col min="11268" max="11268" width="11" style="406" customWidth="1"/>
    <col min="11269" max="11269" width="12.5546875" style="406" customWidth="1"/>
    <col min="11270" max="11270" width="10.88671875" style="406" customWidth="1"/>
    <col min="11271" max="11271" width="16.109375" style="406" customWidth="1"/>
    <col min="11272" max="11272" width="0" style="406" hidden="1" customWidth="1"/>
    <col min="11273" max="11273" width="15.44140625" style="406" customWidth="1"/>
    <col min="11274" max="11274" width="12.88671875" style="406" bestFit="1" customWidth="1"/>
    <col min="11275" max="11275" width="8.88671875" style="406"/>
    <col min="11276" max="11276" width="12.88671875" style="406" bestFit="1" customWidth="1"/>
    <col min="11277" max="11520" width="8.88671875" style="406"/>
    <col min="11521" max="11521" width="3.6640625" style="406" bestFit="1" customWidth="1"/>
    <col min="11522" max="11522" width="8.33203125" style="406" customWidth="1"/>
    <col min="11523" max="11523" width="46.109375" style="406" customWidth="1"/>
    <col min="11524" max="11524" width="11" style="406" customWidth="1"/>
    <col min="11525" max="11525" width="12.5546875" style="406" customWidth="1"/>
    <col min="11526" max="11526" width="10.88671875" style="406" customWidth="1"/>
    <col min="11527" max="11527" width="16.109375" style="406" customWidth="1"/>
    <col min="11528" max="11528" width="0" style="406" hidden="1" customWidth="1"/>
    <col min="11529" max="11529" width="15.44140625" style="406" customWidth="1"/>
    <col min="11530" max="11530" width="12.88671875" style="406" bestFit="1" customWidth="1"/>
    <col min="11531" max="11531" width="8.88671875" style="406"/>
    <col min="11532" max="11532" width="12.88671875" style="406" bestFit="1" customWidth="1"/>
    <col min="11533" max="11776" width="8.88671875" style="406"/>
    <col min="11777" max="11777" width="3.6640625" style="406" bestFit="1" customWidth="1"/>
    <col min="11778" max="11778" width="8.33203125" style="406" customWidth="1"/>
    <col min="11779" max="11779" width="46.109375" style="406" customWidth="1"/>
    <col min="11780" max="11780" width="11" style="406" customWidth="1"/>
    <col min="11781" max="11781" width="12.5546875" style="406" customWidth="1"/>
    <col min="11782" max="11782" width="10.88671875" style="406" customWidth="1"/>
    <col min="11783" max="11783" width="16.109375" style="406" customWidth="1"/>
    <col min="11784" max="11784" width="0" style="406" hidden="1" customWidth="1"/>
    <col min="11785" max="11785" width="15.44140625" style="406" customWidth="1"/>
    <col min="11786" max="11786" width="12.88671875" style="406" bestFit="1" customWidth="1"/>
    <col min="11787" max="11787" width="8.88671875" style="406"/>
    <col min="11788" max="11788" width="12.88671875" style="406" bestFit="1" customWidth="1"/>
    <col min="11789" max="12032" width="8.88671875" style="406"/>
    <col min="12033" max="12033" width="3.6640625" style="406" bestFit="1" customWidth="1"/>
    <col min="12034" max="12034" width="8.33203125" style="406" customWidth="1"/>
    <col min="12035" max="12035" width="46.109375" style="406" customWidth="1"/>
    <col min="12036" max="12036" width="11" style="406" customWidth="1"/>
    <col min="12037" max="12037" width="12.5546875" style="406" customWidth="1"/>
    <col min="12038" max="12038" width="10.88671875" style="406" customWidth="1"/>
    <col min="12039" max="12039" width="16.109375" style="406" customWidth="1"/>
    <col min="12040" max="12040" width="0" style="406" hidden="1" customWidth="1"/>
    <col min="12041" max="12041" width="15.44140625" style="406" customWidth="1"/>
    <col min="12042" max="12042" width="12.88671875" style="406" bestFit="1" customWidth="1"/>
    <col min="12043" max="12043" width="8.88671875" style="406"/>
    <col min="12044" max="12044" width="12.88671875" style="406" bestFit="1" customWidth="1"/>
    <col min="12045" max="12288" width="8.88671875" style="406"/>
    <col min="12289" max="12289" width="3.6640625" style="406" bestFit="1" customWidth="1"/>
    <col min="12290" max="12290" width="8.33203125" style="406" customWidth="1"/>
    <col min="12291" max="12291" width="46.109375" style="406" customWidth="1"/>
    <col min="12292" max="12292" width="11" style="406" customWidth="1"/>
    <col min="12293" max="12293" width="12.5546875" style="406" customWidth="1"/>
    <col min="12294" max="12294" width="10.88671875" style="406" customWidth="1"/>
    <col min="12295" max="12295" width="16.109375" style="406" customWidth="1"/>
    <col min="12296" max="12296" width="0" style="406" hidden="1" customWidth="1"/>
    <col min="12297" max="12297" width="15.44140625" style="406" customWidth="1"/>
    <col min="12298" max="12298" width="12.88671875" style="406" bestFit="1" customWidth="1"/>
    <col min="12299" max="12299" width="8.88671875" style="406"/>
    <col min="12300" max="12300" width="12.88671875" style="406" bestFit="1" customWidth="1"/>
    <col min="12301" max="12544" width="8.88671875" style="406"/>
    <col min="12545" max="12545" width="3.6640625" style="406" bestFit="1" customWidth="1"/>
    <col min="12546" max="12546" width="8.33203125" style="406" customWidth="1"/>
    <col min="12547" max="12547" width="46.109375" style="406" customWidth="1"/>
    <col min="12548" max="12548" width="11" style="406" customWidth="1"/>
    <col min="12549" max="12549" width="12.5546875" style="406" customWidth="1"/>
    <col min="12550" max="12550" width="10.88671875" style="406" customWidth="1"/>
    <col min="12551" max="12551" width="16.109375" style="406" customWidth="1"/>
    <col min="12552" max="12552" width="0" style="406" hidden="1" customWidth="1"/>
    <col min="12553" max="12553" width="15.44140625" style="406" customWidth="1"/>
    <col min="12554" max="12554" width="12.88671875" style="406" bestFit="1" customWidth="1"/>
    <col min="12555" max="12555" width="8.88671875" style="406"/>
    <col min="12556" max="12556" width="12.88671875" style="406" bestFit="1" customWidth="1"/>
    <col min="12557" max="12800" width="8.88671875" style="406"/>
    <col min="12801" max="12801" width="3.6640625" style="406" bestFit="1" customWidth="1"/>
    <col min="12802" max="12802" width="8.33203125" style="406" customWidth="1"/>
    <col min="12803" max="12803" width="46.109375" style="406" customWidth="1"/>
    <col min="12804" max="12804" width="11" style="406" customWidth="1"/>
    <col min="12805" max="12805" width="12.5546875" style="406" customWidth="1"/>
    <col min="12806" max="12806" width="10.88671875" style="406" customWidth="1"/>
    <col min="12807" max="12807" width="16.109375" style="406" customWidth="1"/>
    <col min="12808" max="12808" width="0" style="406" hidden="1" customWidth="1"/>
    <col min="12809" max="12809" width="15.44140625" style="406" customWidth="1"/>
    <col min="12810" max="12810" width="12.88671875" style="406" bestFit="1" customWidth="1"/>
    <col min="12811" max="12811" width="8.88671875" style="406"/>
    <col min="12812" max="12812" width="12.88671875" style="406" bestFit="1" customWidth="1"/>
    <col min="12813" max="13056" width="8.88671875" style="406"/>
    <col min="13057" max="13057" width="3.6640625" style="406" bestFit="1" customWidth="1"/>
    <col min="13058" max="13058" width="8.33203125" style="406" customWidth="1"/>
    <col min="13059" max="13059" width="46.109375" style="406" customWidth="1"/>
    <col min="13060" max="13060" width="11" style="406" customWidth="1"/>
    <col min="13061" max="13061" width="12.5546875" style="406" customWidth="1"/>
    <col min="13062" max="13062" width="10.88671875" style="406" customWidth="1"/>
    <col min="13063" max="13063" width="16.109375" style="406" customWidth="1"/>
    <col min="13064" max="13064" width="0" style="406" hidden="1" customWidth="1"/>
    <col min="13065" max="13065" width="15.44140625" style="406" customWidth="1"/>
    <col min="13066" max="13066" width="12.88671875" style="406" bestFit="1" customWidth="1"/>
    <col min="13067" max="13067" width="8.88671875" style="406"/>
    <col min="13068" max="13068" width="12.88671875" style="406" bestFit="1" customWidth="1"/>
    <col min="13069" max="13312" width="8.88671875" style="406"/>
    <col min="13313" max="13313" width="3.6640625" style="406" bestFit="1" customWidth="1"/>
    <col min="13314" max="13314" width="8.33203125" style="406" customWidth="1"/>
    <col min="13315" max="13315" width="46.109375" style="406" customWidth="1"/>
    <col min="13316" max="13316" width="11" style="406" customWidth="1"/>
    <col min="13317" max="13317" width="12.5546875" style="406" customWidth="1"/>
    <col min="13318" max="13318" width="10.88671875" style="406" customWidth="1"/>
    <col min="13319" max="13319" width="16.109375" style="406" customWidth="1"/>
    <col min="13320" max="13320" width="0" style="406" hidden="1" customWidth="1"/>
    <col min="13321" max="13321" width="15.44140625" style="406" customWidth="1"/>
    <col min="13322" max="13322" width="12.88671875" style="406" bestFit="1" customWidth="1"/>
    <col min="13323" max="13323" width="8.88671875" style="406"/>
    <col min="13324" max="13324" width="12.88671875" style="406" bestFit="1" customWidth="1"/>
    <col min="13325" max="13568" width="8.88671875" style="406"/>
    <col min="13569" max="13569" width="3.6640625" style="406" bestFit="1" customWidth="1"/>
    <col min="13570" max="13570" width="8.33203125" style="406" customWidth="1"/>
    <col min="13571" max="13571" width="46.109375" style="406" customWidth="1"/>
    <col min="13572" max="13572" width="11" style="406" customWidth="1"/>
    <col min="13573" max="13573" width="12.5546875" style="406" customWidth="1"/>
    <col min="13574" max="13574" width="10.88671875" style="406" customWidth="1"/>
    <col min="13575" max="13575" width="16.109375" style="406" customWidth="1"/>
    <col min="13576" max="13576" width="0" style="406" hidden="1" customWidth="1"/>
    <col min="13577" max="13577" width="15.44140625" style="406" customWidth="1"/>
    <col min="13578" max="13578" width="12.88671875" style="406" bestFit="1" customWidth="1"/>
    <col min="13579" max="13579" width="8.88671875" style="406"/>
    <col min="13580" max="13580" width="12.88671875" style="406" bestFit="1" customWidth="1"/>
    <col min="13581" max="13824" width="8.88671875" style="406"/>
    <col min="13825" max="13825" width="3.6640625" style="406" bestFit="1" customWidth="1"/>
    <col min="13826" max="13826" width="8.33203125" style="406" customWidth="1"/>
    <col min="13827" max="13827" width="46.109375" style="406" customWidth="1"/>
    <col min="13828" max="13828" width="11" style="406" customWidth="1"/>
    <col min="13829" max="13829" width="12.5546875" style="406" customWidth="1"/>
    <col min="13830" max="13830" width="10.88671875" style="406" customWidth="1"/>
    <col min="13831" max="13831" width="16.109375" style="406" customWidth="1"/>
    <col min="13832" max="13832" width="0" style="406" hidden="1" customWidth="1"/>
    <col min="13833" max="13833" width="15.44140625" style="406" customWidth="1"/>
    <col min="13834" max="13834" width="12.88671875" style="406" bestFit="1" customWidth="1"/>
    <col min="13835" max="13835" width="8.88671875" style="406"/>
    <col min="13836" max="13836" width="12.88671875" style="406" bestFit="1" customWidth="1"/>
    <col min="13837" max="14080" width="8.88671875" style="406"/>
    <col min="14081" max="14081" width="3.6640625" style="406" bestFit="1" customWidth="1"/>
    <col min="14082" max="14082" width="8.33203125" style="406" customWidth="1"/>
    <col min="14083" max="14083" width="46.109375" style="406" customWidth="1"/>
    <col min="14084" max="14084" width="11" style="406" customWidth="1"/>
    <col min="14085" max="14085" width="12.5546875" style="406" customWidth="1"/>
    <col min="14086" max="14086" width="10.88671875" style="406" customWidth="1"/>
    <col min="14087" max="14087" width="16.109375" style="406" customWidth="1"/>
    <col min="14088" max="14088" width="0" style="406" hidden="1" customWidth="1"/>
    <col min="14089" max="14089" width="15.44140625" style="406" customWidth="1"/>
    <col min="14090" max="14090" width="12.88671875" style="406" bestFit="1" customWidth="1"/>
    <col min="14091" max="14091" width="8.88671875" style="406"/>
    <col min="14092" max="14092" width="12.88671875" style="406" bestFit="1" customWidth="1"/>
    <col min="14093" max="14336" width="8.88671875" style="406"/>
    <col min="14337" max="14337" width="3.6640625" style="406" bestFit="1" customWidth="1"/>
    <col min="14338" max="14338" width="8.33203125" style="406" customWidth="1"/>
    <col min="14339" max="14339" width="46.109375" style="406" customWidth="1"/>
    <col min="14340" max="14340" width="11" style="406" customWidth="1"/>
    <col min="14341" max="14341" width="12.5546875" style="406" customWidth="1"/>
    <col min="14342" max="14342" width="10.88671875" style="406" customWidth="1"/>
    <col min="14343" max="14343" width="16.109375" style="406" customWidth="1"/>
    <col min="14344" max="14344" width="0" style="406" hidden="1" customWidth="1"/>
    <col min="14345" max="14345" width="15.44140625" style="406" customWidth="1"/>
    <col min="14346" max="14346" width="12.88671875" style="406" bestFit="1" customWidth="1"/>
    <col min="14347" max="14347" width="8.88671875" style="406"/>
    <col min="14348" max="14348" width="12.88671875" style="406" bestFit="1" customWidth="1"/>
    <col min="14349" max="14592" width="8.88671875" style="406"/>
    <col min="14593" max="14593" width="3.6640625" style="406" bestFit="1" customWidth="1"/>
    <col min="14594" max="14594" width="8.33203125" style="406" customWidth="1"/>
    <col min="14595" max="14595" width="46.109375" style="406" customWidth="1"/>
    <col min="14596" max="14596" width="11" style="406" customWidth="1"/>
    <col min="14597" max="14597" width="12.5546875" style="406" customWidth="1"/>
    <col min="14598" max="14598" width="10.88671875" style="406" customWidth="1"/>
    <col min="14599" max="14599" width="16.109375" style="406" customWidth="1"/>
    <col min="14600" max="14600" width="0" style="406" hidden="1" customWidth="1"/>
    <col min="14601" max="14601" width="15.44140625" style="406" customWidth="1"/>
    <col min="14602" max="14602" width="12.88671875" style="406" bestFit="1" customWidth="1"/>
    <col min="14603" max="14603" width="8.88671875" style="406"/>
    <col min="14604" max="14604" width="12.88671875" style="406" bestFit="1" customWidth="1"/>
    <col min="14605" max="14848" width="8.88671875" style="406"/>
    <col min="14849" max="14849" width="3.6640625" style="406" bestFit="1" customWidth="1"/>
    <col min="14850" max="14850" width="8.33203125" style="406" customWidth="1"/>
    <col min="14851" max="14851" width="46.109375" style="406" customWidth="1"/>
    <col min="14852" max="14852" width="11" style="406" customWidth="1"/>
    <col min="14853" max="14853" width="12.5546875" style="406" customWidth="1"/>
    <col min="14854" max="14854" width="10.88671875" style="406" customWidth="1"/>
    <col min="14855" max="14855" width="16.109375" style="406" customWidth="1"/>
    <col min="14856" max="14856" width="0" style="406" hidden="1" customWidth="1"/>
    <col min="14857" max="14857" width="15.44140625" style="406" customWidth="1"/>
    <col min="14858" max="14858" width="12.88671875" style="406" bestFit="1" customWidth="1"/>
    <col min="14859" max="14859" width="8.88671875" style="406"/>
    <col min="14860" max="14860" width="12.88671875" style="406" bestFit="1" customWidth="1"/>
    <col min="14861" max="15104" width="8.88671875" style="406"/>
    <col min="15105" max="15105" width="3.6640625" style="406" bestFit="1" customWidth="1"/>
    <col min="15106" max="15106" width="8.33203125" style="406" customWidth="1"/>
    <col min="15107" max="15107" width="46.109375" style="406" customWidth="1"/>
    <col min="15108" max="15108" width="11" style="406" customWidth="1"/>
    <col min="15109" max="15109" width="12.5546875" style="406" customWidth="1"/>
    <col min="15110" max="15110" width="10.88671875" style="406" customWidth="1"/>
    <col min="15111" max="15111" width="16.109375" style="406" customWidth="1"/>
    <col min="15112" max="15112" width="0" style="406" hidden="1" customWidth="1"/>
    <col min="15113" max="15113" width="15.44140625" style="406" customWidth="1"/>
    <col min="15114" max="15114" width="12.88671875" style="406" bestFit="1" customWidth="1"/>
    <col min="15115" max="15115" width="8.88671875" style="406"/>
    <col min="15116" max="15116" width="12.88671875" style="406" bestFit="1" customWidth="1"/>
    <col min="15117" max="15360" width="8.88671875" style="406"/>
    <col min="15361" max="15361" width="3.6640625" style="406" bestFit="1" customWidth="1"/>
    <col min="15362" max="15362" width="8.33203125" style="406" customWidth="1"/>
    <col min="15363" max="15363" width="46.109375" style="406" customWidth="1"/>
    <col min="15364" max="15364" width="11" style="406" customWidth="1"/>
    <col min="15365" max="15365" width="12.5546875" style="406" customWidth="1"/>
    <col min="15366" max="15366" width="10.88671875" style="406" customWidth="1"/>
    <col min="15367" max="15367" width="16.109375" style="406" customWidth="1"/>
    <col min="15368" max="15368" width="0" style="406" hidden="1" customWidth="1"/>
    <col min="15369" max="15369" width="15.44140625" style="406" customWidth="1"/>
    <col min="15370" max="15370" width="12.88671875" style="406" bestFit="1" customWidth="1"/>
    <col min="15371" max="15371" width="8.88671875" style="406"/>
    <col min="15372" max="15372" width="12.88671875" style="406" bestFit="1" customWidth="1"/>
    <col min="15373" max="15616" width="8.88671875" style="406"/>
    <col min="15617" max="15617" width="3.6640625" style="406" bestFit="1" customWidth="1"/>
    <col min="15618" max="15618" width="8.33203125" style="406" customWidth="1"/>
    <col min="15619" max="15619" width="46.109375" style="406" customWidth="1"/>
    <col min="15620" max="15620" width="11" style="406" customWidth="1"/>
    <col min="15621" max="15621" width="12.5546875" style="406" customWidth="1"/>
    <col min="15622" max="15622" width="10.88671875" style="406" customWidth="1"/>
    <col min="15623" max="15623" width="16.109375" style="406" customWidth="1"/>
    <col min="15624" max="15624" width="0" style="406" hidden="1" customWidth="1"/>
    <col min="15625" max="15625" width="15.44140625" style="406" customWidth="1"/>
    <col min="15626" max="15626" width="12.88671875" style="406" bestFit="1" customWidth="1"/>
    <col min="15627" max="15627" width="8.88671875" style="406"/>
    <col min="15628" max="15628" width="12.88671875" style="406" bestFit="1" customWidth="1"/>
    <col min="15629" max="15872" width="8.88671875" style="406"/>
    <col min="15873" max="15873" width="3.6640625" style="406" bestFit="1" customWidth="1"/>
    <col min="15874" max="15874" width="8.33203125" style="406" customWidth="1"/>
    <col min="15875" max="15875" width="46.109375" style="406" customWidth="1"/>
    <col min="15876" max="15876" width="11" style="406" customWidth="1"/>
    <col min="15877" max="15877" width="12.5546875" style="406" customWidth="1"/>
    <col min="15878" max="15878" width="10.88671875" style="406" customWidth="1"/>
    <col min="15879" max="15879" width="16.109375" style="406" customWidth="1"/>
    <col min="15880" max="15880" width="0" style="406" hidden="1" customWidth="1"/>
    <col min="15881" max="15881" width="15.44140625" style="406" customWidth="1"/>
    <col min="15882" max="15882" width="12.88671875" style="406" bestFit="1" customWidth="1"/>
    <col min="15883" max="15883" width="8.88671875" style="406"/>
    <col min="15884" max="15884" width="12.88671875" style="406" bestFit="1" customWidth="1"/>
    <col min="15885" max="16128" width="8.88671875" style="406"/>
    <col min="16129" max="16129" width="3.6640625" style="406" bestFit="1" customWidth="1"/>
    <col min="16130" max="16130" width="8.33203125" style="406" customWidth="1"/>
    <col min="16131" max="16131" width="46.109375" style="406" customWidth="1"/>
    <col min="16132" max="16132" width="11" style="406" customWidth="1"/>
    <col min="16133" max="16133" width="12.5546875" style="406" customWidth="1"/>
    <col min="16134" max="16134" width="10.88671875" style="406" customWidth="1"/>
    <col min="16135" max="16135" width="16.109375" style="406" customWidth="1"/>
    <col min="16136" max="16136" width="0" style="406" hidden="1" customWidth="1"/>
    <col min="16137" max="16137" width="15.44140625" style="406" customWidth="1"/>
    <col min="16138" max="16138" width="12.88671875" style="406" bestFit="1" customWidth="1"/>
    <col min="16139" max="16139" width="8.88671875" style="406"/>
    <col min="16140" max="16140" width="12.88671875" style="406" bestFit="1" customWidth="1"/>
    <col min="16141" max="16384" width="8.88671875" style="406"/>
  </cols>
  <sheetData>
    <row r="1" spans="1:11" s="27" customFormat="1" ht="45.6" customHeight="1">
      <c r="A1" s="602" t="s">
        <v>599</v>
      </c>
      <c r="B1" s="603"/>
      <c r="C1" s="604"/>
      <c r="D1" s="726" t="s">
        <v>1160</v>
      </c>
      <c r="E1" s="727"/>
      <c r="F1" s="727"/>
      <c r="G1" s="728"/>
      <c r="H1" s="361"/>
    </row>
    <row r="2" spans="1:11" s="27" customFormat="1" ht="18" customHeight="1">
      <c r="A2" s="729" t="s">
        <v>13</v>
      </c>
      <c r="B2" s="731" t="s">
        <v>14</v>
      </c>
      <c r="C2" s="733" t="s">
        <v>8</v>
      </c>
      <c r="D2" s="733" t="s">
        <v>15</v>
      </c>
      <c r="E2" s="733" t="s">
        <v>16</v>
      </c>
      <c r="F2" s="734" t="s">
        <v>17</v>
      </c>
      <c r="G2" s="735" t="s">
        <v>18</v>
      </c>
      <c r="H2" s="361"/>
      <c r="K2" s="362">
        <f>11*150000</f>
        <v>1650000</v>
      </c>
    </row>
    <row r="3" spans="1:11" s="27" customFormat="1" ht="18" customHeight="1">
      <c r="A3" s="730"/>
      <c r="B3" s="732"/>
      <c r="C3" s="733"/>
      <c r="D3" s="733"/>
      <c r="E3" s="733"/>
      <c r="F3" s="734"/>
      <c r="G3" s="735"/>
      <c r="H3" s="363"/>
    </row>
    <row r="4" spans="1:11" s="365" customFormat="1" ht="24" customHeight="1">
      <c r="A4" s="605">
        <v>1.1000000000000001</v>
      </c>
      <c r="B4" s="46"/>
      <c r="C4" s="364" t="s">
        <v>600</v>
      </c>
      <c r="D4" s="46"/>
      <c r="E4" s="46"/>
      <c r="F4" s="57"/>
      <c r="G4" s="606"/>
      <c r="H4" s="361" t="e">
        <f>SUM(#REF!)</f>
        <v>#REF!</v>
      </c>
      <c r="I4" s="365">
        <v>12400000</v>
      </c>
    </row>
    <row r="5" spans="1:11" s="365" customFormat="1" ht="24.9" customHeight="1">
      <c r="A5" s="607" t="s">
        <v>601</v>
      </c>
      <c r="B5" s="46" t="s">
        <v>602</v>
      </c>
      <c r="C5" s="366" t="s">
        <v>603</v>
      </c>
      <c r="D5" s="46" t="s">
        <v>347</v>
      </c>
      <c r="E5" s="46"/>
      <c r="F5" s="57"/>
      <c r="G5" s="606"/>
      <c r="H5" s="361">
        <f>G5/35</f>
        <v>0</v>
      </c>
      <c r="J5" s="367">
        <v>14743590.707278688</v>
      </c>
    </row>
    <row r="6" spans="1:11" s="365" customFormat="1" ht="24.9" customHeight="1">
      <c r="A6" s="607" t="s">
        <v>604</v>
      </c>
      <c r="B6" s="46" t="s">
        <v>605</v>
      </c>
      <c r="C6" s="366" t="s">
        <v>606</v>
      </c>
      <c r="D6" s="46" t="s">
        <v>347</v>
      </c>
      <c r="E6" s="46"/>
      <c r="F6" s="57"/>
      <c r="G6" s="606"/>
      <c r="H6" s="361">
        <f>G6/35</f>
        <v>0</v>
      </c>
      <c r="J6" s="367">
        <v>6112122.6142076496</v>
      </c>
    </row>
    <row r="7" spans="1:11" s="365" customFormat="1" ht="24.9" customHeight="1">
      <c r="A7" s="607" t="s">
        <v>607</v>
      </c>
      <c r="B7" s="46" t="s">
        <v>608</v>
      </c>
      <c r="C7" s="368" t="s">
        <v>609</v>
      </c>
      <c r="D7" s="46" t="s">
        <v>610</v>
      </c>
      <c r="E7" s="46">
        <v>12</v>
      </c>
      <c r="F7" s="57"/>
      <c r="G7" s="606"/>
      <c r="H7" s="361">
        <f>F7/35</f>
        <v>0</v>
      </c>
      <c r="J7" s="367">
        <v>4431104.9945355197</v>
      </c>
    </row>
    <row r="8" spans="1:11" s="365" customFormat="1" ht="24" customHeight="1">
      <c r="A8" s="605">
        <v>1.2</v>
      </c>
      <c r="B8" s="46"/>
      <c r="C8" s="364" t="s">
        <v>611</v>
      </c>
      <c r="D8" s="46"/>
      <c r="E8" s="46"/>
      <c r="F8" s="57"/>
      <c r="G8" s="606"/>
      <c r="H8" s="361"/>
      <c r="J8" s="367"/>
    </row>
    <row r="9" spans="1:11" s="365" customFormat="1" ht="24.9" customHeight="1">
      <c r="A9" s="607" t="s">
        <v>612</v>
      </c>
      <c r="B9" s="46" t="s">
        <v>613</v>
      </c>
      <c r="C9" s="366" t="s">
        <v>614</v>
      </c>
      <c r="D9" s="46" t="s">
        <v>610</v>
      </c>
      <c r="E9" s="46">
        <v>12</v>
      </c>
      <c r="F9" s="57"/>
      <c r="G9" s="606"/>
      <c r="H9" s="361"/>
      <c r="J9" s="367">
        <v>287972.33606557379</v>
      </c>
    </row>
    <row r="10" spans="1:11" s="365" customFormat="1" ht="35.1" customHeight="1">
      <c r="A10" s="607" t="s">
        <v>615</v>
      </c>
      <c r="B10" s="46" t="s">
        <v>616</v>
      </c>
      <c r="C10" s="368" t="s">
        <v>617</v>
      </c>
      <c r="D10" s="369" t="s">
        <v>618</v>
      </c>
      <c r="E10" s="46"/>
      <c r="F10" s="57"/>
      <c r="G10" s="608">
        <v>200000</v>
      </c>
      <c r="H10" s="361"/>
      <c r="J10" s="367"/>
    </row>
    <row r="11" spans="1:11" s="365" customFormat="1" ht="38.4" customHeight="1">
      <c r="A11" s="607" t="s">
        <v>619</v>
      </c>
      <c r="B11" s="46"/>
      <c r="C11" s="368" t="s">
        <v>620</v>
      </c>
      <c r="D11" s="46" t="s">
        <v>621</v>
      </c>
      <c r="E11" s="370" t="s">
        <v>700</v>
      </c>
      <c r="F11" s="371"/>
      <c r="G11" s="606"/>
      <c r="H11" s="361"/>
      <c r="I11" s="372">
        <f>G49/1837000000</f>
        <v>0</v>
      </c>
      <c r="J11" s="367"/>
    </row>
    <row r="12" spans="1:11" s="365" customFormat="1" ht="38.4" customHeight="1">
      <c r="A12" s="605">
        <v>1.3</v>
      </c>
      <c r="B12" s="46"/>
      <c r="C12" s="364" t="s">
        <v>622</v>
      </c>
      <c r="D12" s="46"/>
      <c r="E12" s="46"/>
      <c r="F12" s="57"/>
      <c r="G12" s="606"/>
      <c r="H12" s="361"/>
      <c r="J12" s="367"/>
    </row>
    <row r="13" spans="1:11" s="365" customFormat="1" ht="38.4" customHeight="1">
      <c r="A13" s="607" t="s">
        <v>623</v>
      </c>
      <c r="B13" s="46" t="s">
        <v>624</v>
      </c>
      <c r="C13" s="366" t="s">
        <v>625</v>
      </c>
      <c r="D13" s="46" t="s">
        <v>92</v>
      </c>
      <c r="E13" s="46"/>
      <c r="F13" s="57"/>
      <c r="G13" s="606"/>
      <c r="H13" s="361"/>
      <c r="J13" s="367">
        <v>646247.56557377044</v>
      </c>
    </row>
    <row r="14" spans="1:11" s="365" customFormat="1" ht="38.4" customHeight="1">
      <c r="A14" s="607" t="s">
        <v>626</v>
      </c>
      <c r="B14" s="46" t="s">
        <v>627</v>
      </c>
      <c r="C14" s="366" t="s">
        <v>628</v>
      </c>
      <c r="D14" s="369" t="s">
        <v>618</v>
      </c>
      <c r="E14" s="46"/>
      <c r="F14" s="373"/>
      <c r="G14" s="393">
        <v>600000</v>
      </c>
      <c r="H14" s="361"/>
      <c r="J14" s="367"/>
    </row>
    <row r="15" spans="1:11" s="365" customFormat="1" ht="38.4" customHeight="1">
      <c r="A15" s="607" t="s">
        <v>629</v>
      </c>
      <c r="B15" s="46"/>
      <c r="C15" s="366" t="s">
        <v>630</v>
      </c>
      <c r="D15" s="46" t="s">
        <v>621</v>
      </c>
      <c r="E15" s="370" t="s">
        <v>700</v>
      </c>
      <c r="F15" s="374"/>
      <c r="G15" s="390"/>
      <c r="H15" s="361"/>
      <c r="J15" s="367"/>
    </row>
    <row r="16" spans="1:11" s="365" customFormat="1" ht="38.4" customHeight="1">
      <c r="A16" s="609">
        <v>1.4</v>
      </c>
      <c r="B16" s="46"/>
      <c r="C16" s="375" t="s">
        <v>631</v>
      </c>
      <c r="D16" s="46"/>
      <c r="E16" s="46"/>
      <c r="F16" s="373"/>
      <c r="G16" s="390"/>
      <c r="H16" s="361"/>
      <c r="J16" s="367"/>
    </row>
    <row r="17" spans="1:10" s="365" customFormat="1" ht="38.4" customHeight="1">
      <c r="A17" s="610" t="s">
        <v>632</v>
      </c>
      <c r="B17" s="46" t="s">
        <v>633</v>
      </c>
      <c r="C17" s="376" t="s">
        <v>634</v>
      </c>
      <c r="D17" s="369" t="s">
        <v>618</v>
      </c>
      <c r="E17" s="46"/>
      <c r="F17" s="373"/>
      <c r="G17" s="393">
        <v>1000000</v>
      </c>
      <c r="H17" s="361"/>
      <c r="J17" s="367"/>
    </row>
    <row r="18" spans="1:10" s="365" customFormat="1" ht="38.4" customHeight="1">
      <c r="A18" s="610" t="s">
        <v>635</v>
      </c>
      <c r="B18" s="46"/>
      <c r="C18" s="377" t="s">
        <v>636</v>
      </c>
      <c r="D18" s="46" t="s">
        <v>621</v>
      </c>
      <c r="E18" s="370" t="s">
        <v>700</v>
      </c>
      <c r="F18" s="374"/>
      <c r="G18" s="390"/>
      <c r="H18" s="361"/>
      <c r="J18" s="367">
        <f>800000*1.2</f>
        <v>960000</v>
      </c>
    </row>
    <row r="19" spans="1:10" s="365" customFormat="1" ht="38.4" customHeight="1">
      <c r="A19" s="605">
        <v>1.5</v>
      </c>
      <c r="B19" s="46"/>
      <c r="C19" s="378" t="s">
        <v>637</v>
      </c>
      <c r="D19" s="46"/>
      <c r="E19" s="46"/>
      <c r="F19" s="57"/>
      <c r="G19" s="606"/>
      <c r="H19" s="361"/>
      <c r="J19" s="367"/>
    </row>
    <row r="20" spans="1:10" s="365" customFormat="1" ht="38.4" customHeight="1">
      <c r="A20" s="607" t="s">
        <v>638</v>
      </c>
      <c r="B20" s="46" t="s">
        <v>639</v>
      </c>
      <c r="C20" s="376" t="s">
        <v>640</v>
      </c>
      <c r="D20" s="46" t="s">
        <v>347</v>
      </c>
      <c r="E20" s="46"/>
      <c r="F20" s="57"/>
      <c r="G20" s="606"/>
      <c r="H20" s="361"/>
      <c r="J20" s="367">
        <v>3284842.0901639345</v>
      </c>
    </row>
    <row r="21" spans="1:10" s="365" customFormat="1" ht="34.799999999999997" customHeight="1">
      <c r="A21" s="605">
        <v>1.6</v>
      </c>
      <c r="B21" s="46"/>
      <c r="C21" s="364" t="s">
        <v>641</v>
      </c>
      <c r="D21" s="46"/>
      <c r="E21" s="46"/>
      <c r="F21" s="57"/>
      <c r="G21" s="606"/>
      <c r="H21" s="379"/>
      <c r="J21" s="367"/>
    </row>
    <row r="22" spans="1:10" s="365" customFormat="1" ht="34.799999999999997" customHeight="1">
      <c r="A22" s="607" t="s">
        <v>642</v>
      </c>
      <c r="B22" s="46" t="s">
        <v>643</v>
      </c>
      <c r="C22" s="366" t="s">
        <v>644</v>
      </c>
      <c r="D22" s="46" t="s">
        <v>347</v>
      </c>
      <c r="E22" s="46"/>
      <c r="F22" s="57"/>
      <c r="G22" s="606"/>
      <c r="H22" s="379"/>
      <c r="J22" s="367">
        <v>921101.9147540984</v>
      </c>
    </row>
    <row r="23" spans="1:10" s="365" customFormat="1" ht="34.799999999999997" customHeight="1">
      <c r="A23" s="607" t="s">
        <v>645</v>
      </c>
      <c r="B23" s="46" t="s">
        <v>646</v>
      </c>
      <c r="C23" s="368" t="s">
        <v>647</v>
      </c>
      <c r="D23" s="46" t="s">
        <v>347</v>
      </c>
      <c r="E23" s="46"/>
      <c r="F23" s="57"/>
      <c r="G23" s="606"/>
      <c r="H23" s="379"/>
      <c r="J23" s="367">
        <v>2032745.9016393442</v>
      </c>
    </row>
    <row r="24" spans="1:10" s="365" customFormat="1" ht="34.799999999999997" customHeight="1">
      <c r="A24" s="607" t="s">
        <v>648</v>
      </c>
      <c r="B24" s="46" t="s">
        <v>649</v>
      </c>
      <c r="C24" s="368" t="s">
        <v>935</v>
      </c>
      <c r="D24" s="369" t="s">
        <v>618</v>
      </c>
      <c r="E24" s="46"/>
      <c r="F24" s="57"/>
      <c r="G24" s="393">
        <f>'[4]EHSH -1.6 7C'!$F$40</f>
        <v>1070000</v>
      </c>
      <c r="H24" s="379"/>
      <c r="J24" s="367"/>
    </row>
    <row r="25" spans="1:10" s="365" customFormat="1" ht="34.799999999999997" customHeight="1">
      <c r="A25" s="607" t="s">
        <v>650</v>
      </c>
      <c r="B25" s="46"/>
      <c r="C25" s="366" t="s">
        <v>936</v>
      </c>
      <c r="D25" s="46" t="s">
        <v>621</v>
      </c>
      <c r="E25" s="387" t="s">
        <v>700</v>
      </c>
      <c r="F25" s="371"/>
      <c r="G25" s="390"/>
      <c r="H25" s="379"/>
      <c r="J25" s="367">
        <f>13*1500*30</f>
        <v>585000</v>
      </c>
    </row>
    <row r="26" spans="1:10" s="365" customFormat="1" ht="34.799999999999997" customHeight="1">
      <c r="A26" s="607" t="s">
        <v>933</v>
      </c>
      <c r="B26" s="46" t="s">
        <v>934</v>
      </c>
      <c r="C26" s="366" t="s">
        <v>1176</v>
      </c>
      <c r="D26" s="46" t="s">
        <v>610</v>
      </c>
      <c r="E26" s="387"/>
      <c r="F26" s="371"/>
      <c r="G26" s="390"/>
      <c r="H26" s="379"/>
      <c r="J26" s="367"/>
    </row>
    <row r="27" spans="1:10" s="365" customFormat="1" ht="37.200000000000003" customHeight="1">
      <c r="A27" s="607" t="s">
        <v>1177</v>
      </c>
      <c r="B27" s="46" t="s">
        <v>1178</v>
      </c>
      <c r="C27" s="366" t="s">
        <v>1179</v>
      </c>
      <c r="D27" s="46" t="s">
        <v>347</v>
      </c>
      <c r="E27" s="387"/>
      <c r="F27" s="371"/>
      <c r="G27" s="390"/>
      <c r="H27" s="379"/>
      <c r="J27" s="367"/>
    </row>
    <row r="28" spans="1:10" s="365" customFormat="1">
      <c r="A28" s="605">
        <v>1.7</v>
      </c>
      <c r="B28" s="46"/>
      <c r="C28" s="364" t="s">
        <v>651</v>
      </c>
      <c r="D28" s="46"/>
      <c r="E28" s="46"/>
      <c r="F28" s="373"/>
      <c r="G28" s="390"/>
      <c r="H28" s="379"/>
      <c r="J28" s="367">
        <f>1000*4*30</f>
        <v>120000</v>
      </c>
    </row>
    <row r="29" spans="1:10" s="365" customFormat="1" ht="39.6">
      <c r="A29" s="607" t="s">
        <v>652</v>
      </c>
      <c r="B29" s="46" t="s">
        <v>653</v>
      </c>
      <c r="C29" s="366" t="s">
        <v>654</v>
      </c>
      <c r="D29" s="46" t="s">
        <v>610</v>
      </c>
      <c r="E29" s="46"/>
      <c r="F29" s="57"/>
      <c r="G29" s="606"/>
      <c r="H29" s="379">
        <f>140000*1.15</f>
        <v>161000</v>
      </c>
      <c r="J29" s="367">
        <v>1532464.5491803279</v>
      </c>
    </row>
    <row r="30" spans="1:10" s="365" customFormat="1" ht="24" customHeight="1">
      <c r="A30" s="611">
        <v>1.8</v>
      </c>
      <c r="B30" s="46"/>
      <c r="C30" s="364" t="s">
        <v>655</v>
      </c>
      <c r="D30" s="46"/>
      <c r="E30" s="46"/>
      <c r="F30" s="57"/>
      <c r="G30" s="606"/>
      <c r="H30" s="379"/>
      <c r="J30" s="367"/>
    </row>
    <row r="31" spans="1:10" s="365" customFormat="1" ht="35.1" customHeight="1">
      <c r="A31" s="607" t="s">
        <v>656</v>
      </c>
      <c r="B31" s="52" t="s">
        <v>657</v>
      </c>
      <c r="C31" s="376" t="s">
        <v>658</v>
      </c>
      <c r="D31" s="46" t="s">
        <v>610</v>
      </c>
      <c r="E31" s="46"/>
      <c r="F31" s="57"/>
      <c r="G31" s="606"/>
      <c r="H31" s="361"/>
      <c r="J31" s="367"/>
    </row>
    <row r="32" spans="1:10" s="365" customFormat="1" ht="24.9" customHeight="1">
      <c r="A32" s="607" t="s">
        <v>659</v>
      </c>
      <c r="B32" s="52" t="s">
        <v>660</v>
      </c>
      <c r="C32" s="377" t="s">
        <v>661</v>
      </c>
      <c r="D32" s="369" t="s">
        <v>618</v>
      </c>
      <c r="E32" s="383"/>
      <c r="F32" s="57"/>
      <c r="G32" s="393">
        <v>120000</v>
      </c>
      <c r="H32" s="361"/>
      <c r="J32" s="367"/>
    </row>
    <row r="33" spans="1:13" s="365" customFormat="1" ht="31.5" customHeight="1">
      <c r="A33" s="607" t="s">
        <v>662</v>
      </c>
      <c r="B33" s="52"/>
      <c r="C33" s="377" t="s">
        <v>663</v>
      </c>
      <c r="D33" s="46" t="s">
        <v>621</v>
      </c>
      <c r="E33" s="675" t="s">
        <v>700</v>
      </c>
      <c r="F33" s="380"/>
      <c r="G33" s="390"/>
      <c r="H33" s="361"/>
      <c r="J33" s="367"/>
    </row>
    <row r="34" spans="1:13" s="365" customFormat="1" ht="24.9" customHeight="1">
      <c r="A34" s="611">
        <v>1.9</v>
      </c>
      <c r="B34" s="46"/>
      <c r="C34" s="66" t="s">
        <v>664</v>
      </c>
      <c r="D34" s="46"/>
      <c r="E34" s="248"/>
      <c r="F34" s="57"/>
      <c r="G34" s="606"/>
      <c r="H34" s="361"/>
      <c r="I34" s="381" t="s">
        <v>665</v>
      </c>
      <c r="J34" s="382">
        <v>1</v>
      </c>
      <c r="K34" s="381" t="s">
        <v>666</v>
      </c>
      <c r="L34" s="381">
        <f>M34*J34</f>
        <v>500000</v>
      </c>
      <c r="M34" s="365">
        <v>500000</v>
      </c>
    </row>
    <row r="35" spans="1:13" s="365" customFormat="1" ht="35.25" customHeight="1">
      <c r="A35" s="612" t="s">
        <v>667</v>
      </c>
      <c r="B35" s="383" t="s">
        <v>668</v>
      </c>
      <c r="C35" s="377" t="s">
        <v>669</v>
      </c>
      <c r="D35" s="384" t="s">
        <v>618</v>
      </c>
      <c r="E35" s="385"/>
      <c r="F35" s="386"/>
      <c r="G35" s="393">
        <v>1000000</v>
      </c>
      <c r="H35" s="361"/>
      <c r="I35" s="381" t="s">
        <v>670</v>
      </c>
      <c r="J35" s="382">
        <v>1</v>
      </c>
      <c r="K35" s="381" t="s">
        <v>666</v>
      </c>
      <c r="L35" s="381">
        <f>J35*M35</f>
        <v>350000</v>
      </c>
      <c r="M35" s="365">
        <v>350000</v>
      </c>
    </row>
    <row r="36" spans="1:13" s="365" customFormat="1" ht="41.25" customHeight="1">
      <c r="A36" s="612" t="s">
        <v>671</v>
      </c>
      <c r="B36" s="383"/>
      <c r="C36" s="377" t="s">
        <v>672</v>
      </c>
      <c r="D36" s="383" t="s">
        <v>621</v>
      </c>
      <c r="E36" s="387" t="s">
        <v>700</v>
      </c>
      <c r="F36" s="388"/>
      <c r="G36" s="390"/>
      <c r="H36" s="361"/>
      <c r="I36" s="381" t="s">
        <v>673</v>
      </c>
      <c r="J36" s="382">
        <v>1</v>
      </c>
      <c r="K36" s="381"/>
      <c r="L36" s="381">
        <f>M36*J36</f>
        <v>120000</v>
      </c>
      <c r="M36" s="365">
        <v>120000</v>
      </c>
    </row>
    <row r="37" spans="1:13" s="365" customFormat="1" ht="24" customHeight="1">
      <c r="A37" s="611" t="s">
        <v>674</v>
      </c>
      <c r="B37" s="46"/>
      <c r="C37" s="66" t="s">
        <v>675</v>
      </c>
      <c r="D37" s="46"/>
      <c r="E37" s="46"/>
      <c r="F37" s="57"/>
      <c r="G37" s="606"/>
      <c r="H37" s="379"/>
      <c r="I37" s="381" t="s">
        <v>676</v>
      </c>
      <c r="J37" s="382">
        <v>6</v>
      </c>
      <c r="K37" s="381" t="s">
        <v>666</v>
      </c>
      <c r="L37" s="381">
        <f>J37*M37</f>
        <v>1200000</v>
      </c>
      <c r="M37" s="365">
        <v>200000</v>
      </c>
    </row>
    <row r="38" spans="1:13" s="365" customFormat="1" ht="35.1" customHeight="1">
      <c r="A38" s="612" t="s">
        <v>677</v>
      </c>
      <c r="B38" s="383" t="s">
        <v>678</v>
      </c>
      <c r="C38" s="377" t="s">
        <v>679</v>
      </c>
      <c r="D38" s="383" t="s">
        <v>610</v>
      </c>
      <c r="E38" s="383">
        <v>12</v>
      </c>
      <c r="F38" s="257"/>
      <c r="G38" s="613"/>
      <c r="H38" s="361"/>
      <c r="I38" s="381" t="s">
        <v>680</v>
      </c>
      <c r="J38" s="382">
        <v>1</v>
      </c>
      <c r="K38" s="381" t="s">
        <v>666</v>
      </c>
      <c r="L38" s="381">
        <f>J38*M38</f>
        <v>90000</v>
      </c>
      <c r="M38" s="365">
        <v>90000</v>
      </c>
    </row>
    <row r="39" spans="1:13" s="365" customFormat="1" ht="25.95" customHeight="1">
      <c r="A39" s="614" t="s">
        <v>681</v>
      </c>
      <c r="B39" s="46"/>
      <c r="C39" s="66" t="s">
        <v>682</v>
      </c>
      <c r="D39" s="46"/>
      <c r="E39" s="389"/>
      <c r="F39" s="57"/>
      <c r="G39" s="390"/>
      <c r="H39" s="361"/>
      <c r="I39" s="381" t="s">
        <v>683</v>
      </c>
      <c r="J39" s="382">
        <v>1</v>
      </c>
      <c r="K39" s="381" t="s">
        <v>666</v>
      </c>
      <c r="L39" s="381">
        <f>J39*M39</f>
        <v>80000</v>
      </c>
      <c r="M39" s="365">
        <v>80000</v>
      </c>
    </row>
    <row r="40" spans="1:13" s="365" customFormat="1" ht="35.1" customHeight="1">
      <c r="A40" s="612" t="s">
        <v>684</v>
      </c>
      <c r="B40" s="46" t="s">
        <v>685</v>
      </c>
      <c r="C40" s="377" t="s">
        <v>686</v>
      </c>
      <c r="D40" s="369" t="s">
        <v>618</v>
      </c>
      <c r="E40" s="391"/>
      <c r="F40" s="392"/>
      <c r="G40" s="393">
        <f>1000000*5</f>
        <v>5000000</v>
      </c>
      <c r="H40" s="361"/>
      <c r="I40" s="381" t="s">
        <v>687</v>
      </c>
      <c r="J40" s="382">
        <v>6</v>
      </c>
      <c r="K40" s="381" t="s">
        <v>666</v>
      </c>
      <c r="L40" s="381">
        <f>J40*M40</f>
        <v>510000</v>
      </c>
      <c r="M40" s="365">
        <v>85000</v>
      </c>
    </row>
    <row r="41" spans="1:13" s="365" customFormat="1" ht="35.1" customHeight="1">
      <c r="A41" s="612" t="s">
        <v>688</v>
      </c>
      <c r="B41" s="46"/>
      <c r="C41" s="377" t="s">
        <v>689</v>
      </c>
      <c r="D41" s="46" t="s">
        <v>690</v>
      </c>
      <c r="E41" s="387" t="s">
        <v>700</v>
      </c>
      <c r="F41" s="394"/>
      <c r="G41" s="615"/>
      <c r="H41" s="361"/>
      <c r="I41" s="381"/>
      <c r="J41" s="382"/>
      <c r="K41" s="381"/>
      <c r="L41" s="381">
        <f t="shared" ref="L41:L49" si="0">J41*M41</f>
        <v>0</v>
      </c>
    </row>
    <row r="42" spans="1:13" s="365" customFormat="1" ht="35.1" customHeight="1">
      <c r="A42" s="612" t="s">
        <v>691</v>
      </c>
      <c r="B42" s="46" t="s">
        <v>692</v>
      </c>
      <c r="C42" s="47" t="s">
        <v>693</v>
      </c>
      <c r="D42" s="46" t="s">
        <v>610</v>
      </c>
      <c r="E42" s="389">
        <v>12</v>
      </c>
      <c r="F42" s="57"/>
      <c r="G42" s="613"/>
      <c r="H42" s="361"/>
      <c r="I42" s="381" t="s">
        <v>694</v>
      </c>
      <c r="J42" s="395">
        <v>2</v>
      </c>
      <c r="K42" s="381" t="s">
        <v>666</v>
      </c>
      <c r="L42" s="381">
        <f t="shared" si="0"/>
        <v>240000</v>
      </c>
      <c r="M42" s="365">
        <v>120000</v>
      </c>
    </row>
    <row r="43" spans="1:13" s="365" customFormat="1" ht="24.6" customHeight="1">
      <c r="A43" s="614" t="s">
        <v>695</v>
      </c>
      <c r="B43" s="46"/>
      <c r="C43" s="251" t="s">
        <v>318</v>
      </c>
      <c r="D43" s="46"/>
      <c r="E43" s="389"/>
      <c r="F43" s="57"/>
      <c r="G43" s="613"/>
      <c r="H43" s="361"/>
      <c r="I43" s="381"/>
      <c r="J43" s="395"/>
      <c r="K43" s="381"/>
      <c r="L43" s="381"/>
    </row>
    <row r="44" spans="1:13" s="365" customFormat="1" ht="28.8" customHeight="1">
      <c r="A44" s="612" t="s">
        <v>696</v>
      </c>
      <c r="B44" s="46"/>
      <c r="C44" s="396" t="s">
        <v>697</v>
      </c>
      <c r="D44" s="397" t="s">
        <v>618</v>
      </c>
      <c r="E44" s="398"/>
      <c r="F44" s="386"/>
      <c r="G44" s="393">
        <v>1000000</v>
      </c>
      <c r="H44" s="361"/>
      <c r="I44" s="381"/>
      <c r="J44" s="395"/>
      <c r="K44" s="381"/>
      <c r="L44" s="381"/>
    </row>
    <row r="45" spans="1:13" s="365" customFormat="1" ht="35.1" customHeight="1">
      <c r="A45" s="612" t="s">
        <v>698</v>
      </c>
      <c r="B45" s="46"/>
      <c r="C45" s="396" t="s">
        <v>699</v>
      </c>
      <c r="D45" s="254" t="s">
        <v>621</v>
      </c>
      <c r="E45" s="387" t="s">
        <v>700</v>
      </c>
      <c r="F45" s="388"/>
      <c r="G45" s="390"/>
      <c r="H45" s="361"/>
      <c r="I45" s="381"/>
      <c r="J45" s="395"/>
      <c r="K45" s="381"/>
      <c r="L45" s="381"/>
    </row>
    <row r="46" spans="1:13" s="365" customFormat="1" ht="28.2" customHeight="1">
      <c r="A46" s="614" t="s">
        <v>701</v>
      </c>
      <c r="B46" s="399"/>
      <c r="C46" s="400" t="s">
        <v>1180</v>
      </c>
      <c r="D46" s="250"/>
      <c r="E46" s="387"/>
      <c r="F46" s="388"/>
      <c r="G46" s="615"/>
      <c r="H46" s="361"/>
      <c r="I46" s="381"/>
      <c r="J46" s="395"/>
      <c r="K46" s="381"/>
      <c r="L46" s="381"/>
    </row>
    <row r="47" spans="1:13" s="365" customFormat="1" ht="67.8" customHeight="1">
      <c r="A47" s="616" t="s">
        <v>702</v>
      </c>
      <c r="B47" s="399"/>
      <c r="C47" s="253" t="s">
        <v>1181</v>
      </c>
      <c r="D47" s="401" t="s">
        <v>618</v>
      </c>
      <c r="E47" s="402"/>
      <c r="F47" s="388"/>
      <c r="G47" s="617">
        <v>1000000</v>
      </c>
      <c r="H47" s="361"/>
      <c r="I47" s="381"/>
      <c r="J47" s="395"/>
      <c r="K47" s="381"/>
      <c r="L47" s="381"/>
    </row>
    <row r="48" spans="1:13" s="365" customFormat="1" ht="35.1" customHeight="1">
      <c r="A48" s="616" t="s">
        <v>703</v>
      </c>
      <c r="B48" s="399"/>
      <c r="C48" s="396" t="s">
        <v>1182</v>
      </c>
      <c r="D48" s="403" t="s">
        <v>621</v>
      </c>
      <c r="E48" s="387" t="s">
        <v>700</v>
      </c>
      <c r="F48" s="388"/>
      <c r="G48" s="390"/>
      <c r="H48" s="361"/>
      <c r="I48" s="381"/>
      <c r="J48" s="395"/>
      <c r="K48" s="381"/>
      <c r="L48" s="381"/>
    </row>
    <row r="49" spans="1:12" ht="30" customHeight="1" thickBot="1">
      <c r="A49" s="618"/>
      <c r="B49" s="725" t="s">
        <v>704</v>
      </c>
      <c r="C49" s="725"/>
      <c r="D49" s="725"/>
      <c r="E49" s="725"/>
      <c r="F49" s="725"/>
      <c r="G49" s="619"/>
      <c r="I49" s="381"/>
      <c r="J49" s="395"/>
      <c r="K49" s="381"/>
      <c r="L49" s="381">
        <f t="shared" si="0"/>
        <v>0</v>
      </c>
    </row>
    <row r="50" spans="1:12">
      <c r="C50" s="27"/>
      <c r="D50" s="407"/>
      <c r="E50" s="407"/>
      <c r="F50" s="408"/>
      <c r="G50" s="408"/>
      <c r="I50" s="381"/>
      <c r="J50" s="395"/>
      <c r="K50" s="381"/>
      <c r="L50" s="381"/>
    </row>
    <row r="51" spans="1:12">
      <c r="I51" s="411"/>
      <c r="J51" s="411"/>
      <c r="K51" s="411"/>
      <c r="L51" s="411"/>
    </row>
    <row r="52" spans="1:12">
      <c r="I52" s="411"/>
      <c r="J52" s="411"/>
      <c r="K52" s="411"/>
      <c r="L52" s="411"/>
    </row>
    <row r="53" spans="1:12" hidden="1"/>
    <row r="54" spans="1:12" hidden="1"/>
    <row r="55" spans="1:12" ht="15.6" hidden="1">
      <c r="C55" s="406">
        <f>G49*0.92</f>
        <v>0</v>
      </c>
      <c r="G55" s="404"/>
      <c r="I55" s="412"/>
      <c r="J55" s="412"/>
      <c r="K55" s="411"/>
      <c r="L55" s="411"/>
    </row>
    <row r="56" spans="1:12" ht="15.6" hidden="1">
      <c r="I56" s="413"/>
      <c r="J56" s="414"/>
      <c r="K56" s="415"/>
      <c r="L56" s="416"/>
    </row>
    <row r="57" spans="1:12" ht="15.6" hidden="1">
      <c r="C57" s="406">
        <f>G40+G35+G32+G24+G17+G14+G10</f>
        <v>8990000</v>
      </c>
      <c r="I57" s="417"/>
      <c r="J57" s="418"/>
      <c r="K57" s="419"/>
      <c r="L57" s="419"/>
    </row>
    <row r="58" spans="1:12" ht="15.6" hidden="1">
      <c r="C58" s="420">
        <f>G49/'[5]G. Sum'!$C$14</f>
        <v>0</v>
      </c>
      <c r="G58" s="421"/>
      <c r="I58" s="417"/>
      <c r="J58" s="417"/>
      <c r="K58" s="419"/>
      <c r="L58" s="419"/>
    </row>
    <row r="59" spans="1:12" hidden="1">
      <c r="I59" s="422"/>
      <c r="J59" s="422"/>
      <c r="K59" s="422"/>
      <c r="L59" s="422"/>
    </row>
    <row r="60" spans="1:12" hidden="1"/>
    <row r="80" spans="1:16140" s="405" customFormat="1">
      <c r="A80" s="407"/>
      <c r="B80" s="407"/>
      <c r="C80" s="406"/>
      <c r="D80" s="409"/>
      <c r="E80" s="409"/>
      <c r="F80" s="410"/>
      <c r="G80" s="423"/>
      <c r="I80" s="406"/>
      <c r="J80" s="406"/>
      <c r="K80" s="406"/>
      <c r="L80" s="406"/>
      <c r="M80" s="406"/>
      <c r="N80" s="406"/>
      <c r="O80" s="406"/>
      <c r="P80" s="406"/>
      <c r="Q80" s="406"/>
      <c r="R80" s="406"/>
      <c r="S80" s="406"/>
      <c r="T80" s="406"/>
      <c r="U80" s="406"/>
      <c r="V80" s="406"/>
      <c r="W80" s="406"/>
      <c r="X80" s="406"/>
      <c r="Y80" s="406"/>
      <c r="Z80" s="406"/>
      <c r="AA80" s="406"/>
      <c r="AB80" s="406"/>
      <c r="AC80" s="406"/>
      <c r="AD80" s="406"/>
      <c r="AE80" s="406"/>
      <c r="AF80" s="406"/>
      <c r="AG80" s="406"/>
      <c r="AH80" s="406"/>
      <c r="AI80" s="406"/>
      <c r="AJ80" s="406"/>
      <c r="AK80" s="406"/>
      <c r="AL80" s="406"/>
      <c r="AM80" s="406"/>
      <c r="AN80" s="406"/>
      <c r="AO80" s="406"/>
      <c r="AP80" s="406"/>
      <c r="AQ80" s="406"/>
      <c r="AR80" s="406"/>
      <c r="AS80" s="406"/>
      <c r="AT80" s="406"/>
      <c r="AU80" s="406"/>
      <c r="AV80" s="406"/>
      <c r="AW80" s="406"/>
      <c r="AX80" s="406"/>
      <c r="AY80" s="406"/>
      <c r="AZ80" s="406"/>
      <c r="BA80" s="406"/>
      <c r="BB80" s="406"/>
      <c r="BC80" s="406"/>
      <c r="BD80" s="406"/>
      <c r="BE80" s="406"/>
      <c r="BF80" s="406"/>
      <c r="BG80" s="406"/>
      <c r="BH80" s="406"/>
      <c r="BI80" s="406"/>
      <c r="BJ80" s="406"/>
      <c r="BK80" s="406"/>
      <c r="BL80" s="406"/>
      <c r="BM80" s="406"/>
      <c r="BN80" s="406"/>
      <c r="BO80" s="406"/>
      <c r="BP80" s="406"/>
      <c r="BQ80" s="406"/>
      <c r="BR80" s="406"/>
      <c r="BS80" s="406"/>
      <c r="BT80" s="406"/>
      <c r="BU80" s="406"/>
      <c r="BV80" s="406"/>
      <c r="BW80" s="406"/>
      <c r="BX80" s="406"/>
      <c r="BY80" s="406"/>
      <c r="BZ80" s="406"/>
      <c r="CA80" s="406"/>
      <c r="CB80" s="406"/>
      <c r="CC80" s="406"/>
      <c r="CD80" s="406"/>
      <c r="CE80" s="406"/>
      <c r="CF80" s="406"/>
      <c r="CG80" s="406"/>
      <c r="CH80" s="406"/>
      <c r="CI80" s="406"/>
      <c r="CJ80" s="406"/>
      <c r="CK80" s="406"/>
      <c r="CL80" s="406"/>
      <c r="CM80" s="406"/>
      <c r="CN80" s="406"/>
      <c r="CO80" s="406"/>
      <c r="CP80" s="406"/>
      <c r="CQ80" s="406"/>
      <c r="CR80" s="406"/>
      <c r="CS80" s="406"/>
      <c r="CT80" s="406"/>
      <c r="CU80" s="406"/>
      <c r="CV80" s="406"/>
      <c r="CW80" s="406"/>
      <c r="CX80" s="406"/>
      <c r="CY80" s="406"/>
      <c r="CZ80" s="406"/>
      <c r="DA80" s="406"/>
      <c r="DB80" s="406"/>
      <c r="DC80" s="406"/>
      <c r="DD80" s="406"/>
      <c r="DE80" s="406"/>
      <c r="DF80" s="406"/>
      <c r="DG80" s="406"/>
      <c r="DH80" s="406"/>
      <c r="DI80" s="406"/>
      <c r="DJ80" s="406"/>
      <c r="DK80" s="406"/>
      <c r="DL80" s="406"/>
      <c r="DM80" s="406"/>
      <c r="DN80" s="406"/>
      <c r="DO80" s="406"/>
      <c r="DP80" s="406"/>
      <c r="DQ80" s="406"/>
      <c r="DR80" s="406"/>
      <c r="DS80" s="406"/>
      <c r="DT80" s="406"/>
      <c r="DU80" s="406"/>
      <c r="DV80" s="406"/>
      <c r="DW80" s="406"/>
      <c r="DX80" s="406"/>
      <c r="DY80" s="406"/>
      <c r="DZ80" s="406"/>
      <c r="EA80" s="406"/>
      <c r="EB80" s="406"/>
      <c r="EC80" s="406"/>
      <c r="ED80" s="406"/>
      <c r="EE80" s="406"/>
      <c r="EF80" s="406"/>
      <c r="EG80" s="406"/>
      <c r="EH80" s="406"/>
      <c r="EI80" s="406"/>
      <c r="EJ80" s="406"/>
      <c r="EK80" s="406"/>
      <c r="EL80" s="406"/>
      <c r="EM80" s="406"/>
      <c r="EN80" s="406"/>
      <c r="EO80" s="406"/>
      <c r="EP80" s="406"/>
      <c r="EQ80" s="406"/>
      <c r="ER80" s="406"/>
      <c r="ES80" s="406"/>
      <c r="ET80" s="406"/>
      <c r="EU80" s="406"/>
      <c r="EV80" s="406"/>
      <c r="EW80" s="406"/>
      <c r="EX80" s="406"/>
      <c r="EY80" s="406"/>
      <c r="EZ80" s="406"/>
      <c r="FA80" s="406"/>
      <c r="FB80" s="406"/>
      <c r="FC80" s="406"/>
      <c r="FD80" s="406"/>
      <c r="FE80" s="406"/>
      <c r="FF80" s="406"/>
      <c r="FG80" s="406"/>
      <c r="FH80" s="406"/>
      <c r="FI80" s="406"/>
      <c r="FJ80" s="406"/>
      <c r="FK80" s="406"/>
      <c r="FL80" s="406"/>
      <c r="FM80" s="406"/>
      <c r="FN80" s="406"/>
      <c r="FO80" s="406"/>
      <c r="FP80" s="406"/>
      <c r="FQ80" s="406"/>
      <c r="FR80" s="406"/>
      <c r="FS80" s="406"/>
      <c r="FT80" s="406"/>
      <c r="FU80" s="406"/>
      <c r="FV80" s="406"/>
      <c r="FW80" s="406"/>
      <c r="FX80" s="406"/>
      <c r="FY80" s="406"/>
      <c r="FZ80" s="406"/>
      <c r="GA80" s="406"/>
      <c r="GB80" s="406"/>
      <c r="GC80" s="406"/>
      <c r="GD80" s="406"/>
      <c r="GE80" s="406"/>
      <c r="GF80" s="406"/>
      <c r="GG80" s="406"/>
      <c r="GH80" s="406"/>
      <c r="GI80" s="406"/>
      <c r="GJ80" s="406"/>
      <c r="GK80" s="406"/>
      <c r="GL80" s="406"/>
      <c r="GM80" s="406"/>
      <c r="GN80" s="406"/>
      <c r="GO80" s="406"/>
      <c r="GP80" s="406"/>
      <c r="GQ80" s="406"/>
      <c r="GR80" s="406"/>
      <c r="GS80" s="406"/>
      <c r="GT80" s="406"/>
      <c r="GU80" s="406"/>
      <c r="GV80" s="406"/>
      <c r="GW80" s="406"/>
      <c r="GX80" s="406"/>
      <c r="GY80" s="406"/>
      <c r="GZ80" s="406"/>
      <c r="HA80" s="406"/>
      <c r="HB80" s="406"/>
      <c r="HC80" s="406"/>
      <c r="HD80" s="406"/>
      <c r="HE80" s="406"/>
      <c r="HF80" s="406"/>
      <c r="HG80" s="406"/>
      <c r="HH80" s="406"/>
      <c r="HI80" s="406"/>
      <c r="HJ80" s="406"/>
      <c r="HK80" s="406"/>
      <c r="HL80" s="406"/>
      <c r="HM80" s="406"/>
      <c r="HN80" s="406"/>
      <c r="HO80" s="406"/>
      <c r="HP80" s="406"/>
      <c r="HQ80" s="406"/>
      <c r="HR80" s="406"/>
      <c r="HS80" s="406"/>
      <c r="HT80" s="406"/>
      <c r="HU80" s="406"/>
      <c r="HV80" s="406"/>
      <c r="HW80" s="406"/>
      <c r="HX80" s="406"/>
      <c r="HY80" s="406"/>
      <c r="HZ80" s="406"/>
      <c r="IA80" s="406"/>
      <c r="IB80" s="406"/>
      <c r="IC80" s="406"/>
      <c r="ID80" s="406"/>
      <c r="IE80" s="406"/>
      <c r="IF80" s="406"/>
      <c r="IG80" s="406"/>
      <c r="IH80" s="406"/>
      <c r="II80" s="406"/>
      <c r="IJ80" s="406"/>
      <c r="IK80" s="406"/>
      <c r="IL80" s="406"/>
      <c r="IM80" s="406"/>
      <c r="IN80" s="406"/>
      <c r="IO80" s="406"/>
      <c r="IP80" s="406"/>
      <c r="IQ80" s="406"/>
      <c r="IR80" s="406"/>
      <c r="IS80" s="406"/>
      <c r="IT80" s="406"/>
      <c r="IU80" s="406"/>
      <c r="IV80" s="406"/>
      <c r="IW80" s="406"/>
      <c r="IX80" s="406"/>
      <c r="IY80" s="406"/>
      <c r="IZ80" s="406"/>
      <c r="JA80" s="406"/>
      <c r="JB80" s="406"/>
      <c r="JC80" s="406"/>
      <c r="JD80" s="406"/>
      <c r="JE80" s="406"/>
      <c r="JF80" s="406"/>
      <c r="JG80" s="406"/>
      <c r="JH80" s="406"/>
      <c r="JI80" s="406"/>
      <c r="JJ80" s="406"/>
      <c r="JK80" s="406"/>
      <c r="JL80" s="406"/>
      <c r="JM80" s="406"/>
      <c r="JN80" s="406"/>
      <c r="JO80" s="406"/>
      <c r="JP80" s="406"/>
      <c r="JQ80" s="406"/>
      <c r="JR80" s="406"/>
      <c r="JS80" s="406"/>
      <c r="JT80" s="406"/>
      <c r="JU80" s="406"/>
      <c r="JV80" s="406"/>
      <c r="JW80" s="406"/>
      <c r="JX80" s="406"/>
      <c r="JY80" s="406"/>
      <c r="JZ80" s="406"/>
      <c r="KA80" s="406"/>
      <c r="KB80" s="406"/>
      <c r="KC80" s="406"/>
      <c r="KD80" s="406"/>
      <c r="KE80" s="406"/>
      <c r="KF80" s="406"/>
      <c r="KG80" s="406"/>
      <c r="KH80" s="406"/>
      <c r="KI80" s="406"/>
      <c r="KJ80" s="406"/>
      <c r="KK80" s="406"/>
      <c r="KL80" s="406"/>
      <c r="KM80" s="406"/>
      <c r="KN80" s="406"/>
      <c r="KO80" s="406"/>
      <c r="KP80" s="406"/>
      <c r="KQ80" s="406"/>
      <c r="KR80" s="406"/>
      <c r="KS80" s="406"/>
      <c r="KT80" s="406"/>
      <c r="KU80" s="406"/>
      <c r="KV80" s="406"/>
      <c r="KW80" s="406"/>
      <c r="KX80" s="406"/>
      <c r="KY80" s="406"/>
      <c r="KZ80" s="406"/>
      <c r="LA80" s="406"/>
      <c r="LB80" s="406"/>
      <c r="LC80" s="406"/>
      <c r="LD80" s="406"/>
      <c r="LE80" s="406"/>
      <c r="LF80" s="406"/>
      <c r="LG80" s="406"/>
      <c r="LH80" s="406"/>
      <c r="LI80" s="406"/>
      <c r="LJ80" s="406"/>
      <c r="LK80" s="406"/>
      <c r="LL80" s="406"/>
      <c r="LM80" s="406"/>
      <c r="LN80" s="406"/>
      <c r="LO80" s="406"/>
      <c r="LP80" s="406"/>
      <c r="LQ80" s="406"/>
      <c r="LR80" s="406"/>
      <c r="LS80" s="406"/>
      <c r="LT80" s="406"/>
      <c r="LU80" s="406"/>
      <c r="LV80" s="406"/>
      <c r="LW80" s="406"/>
      <c r="LX80" s="406"/>
      <c r="LY80" s="406"/>
      <c r="LZ80" s="406"/>
      <c r="MA80" s="406"/>
      <c r="MB80" s="406"/>
      <c r="MC80" s="406"/>
      <c r="MD80" s="406"/>
      <c r="ME80" s="406"/>
      <c r="MF80" s="406"/>
      <c r="MG80" s="406"/>
      <c r="MH80" s="406"/>
      <c r="MI80" s="406"/>
      <c r="MJ80" s="406"/>
      <c r="MK80" s="406"/>
      <c r="ML80" s="406"/>
      <c r="MM80" s="406"/>
      <c r="MN80" s="406"/>
      <c r="MO80" s="406"/>
      <c r="MP80" s="406"/>
      <c r="MQ80" s="406"/>
      <c r="MR80" s="406"/>
      <c r="MS80" s="406"/>
      <c r="MT80" s="406"/>
      <c r="MU80" s="406"/>
      <c r="MV80" s="406"/>
      <c r="MW80" s="406"/>
      <c r="MX80" s="406"/>
      <c r="MY80" s="406"/>
      <c r="MZ80" s="406"/>
      <c r="NA80" s="406"/>
      <c r="NB80" s="406"/>
      <c r="NC80" s="406"/>
      <c r="ND80" s="406"/>
      <c r="NE80" s="406"/>
      <c r="NF80" s="406"/>
      <c r="NG80" s="406"/>
      <c r="NH80" s="406"/>
      <c r="NI80" s="406"/>
      <c r="NJ80" s="406"/>
      <c r="NK80" s="406"/>
      <c r="NL80" s="406"/>
      <c r="NM80" s="406"/>
      <c r="NN80" s="406"/>
      <c r="NO80" s="406"/>
      <c r="NP80" s="406"/>
      <c r="NQ80" s="406"/>
      <c r="NR80" s="406"/>
      <c r="NS80" s="406"/>
      <c r="NT80" s="406"/>
      <c r="NU80" s="406"/>
      <c r="NV80" s="406"/>
      <c r="NW80" s="406"/>
      <c r="NX80" s="406"/>
      <c r="NY80" s="406"/>
      <c r="NZ80" s="406"/>
      <c r="OA80" s="406"/>
      <c r="OB80" s="406"/>
      <c r="OC80" s="406"/>
      <c r="OD80" s="406"/>
      <c r="OE80" s="406"/>
      <c r="OF80" s="406"/>
      <c r="OG80" s="406"/>
      <c r="OH80" s="406"/>
      <c r="OI80" s="406"/>
      <c r="OJ80" s="406"/>
      <c r="OK80" s="406"/>
      <c r="OL80" s="406"/>
      <c r="OM80" s="406"/>
      <c r="ON80" s="406"/>
      <c r="OO80" s="406"/>
      <c r="OP80" s="406"/>
      <c r="OQ80" s="406"/>
      <c r="OR80" s="406"/>
      <c r="OS80" s="406"/>
      <c r="OT80" s="406"/>
      <c r="OU80" s="406"/>
      <c r="OV80" s="406"/>
      <c r="OW80" s="406"/>
      <c r="OX80" s="406"/>
      <c r="OY80" s="406"/>
      <c r="OZ80" s="406"/>
      <c r="PA80" s="406"/>
      <c r="PB80" s="406"/>
      <c r="PC80" s="406"/>
      <c r="PD80" s="406"/>
      <c r="PE80" s="406"/>
      <c r="PF80" s="406"/>
      <c r="PG80" s="406"/>
      <c r="PH80" s="406"/>
      <c r="PI80" s="406"/>
      <c r="PJ80" s="406"/>
      <c r="PK80" s="406"/>
      <c r="PL80" s="406"/>
      <c r="PM80" s="406"/>
      <c r="PN80" s="406"/>
      <c r="PO80" s="406"/>
      <c r="PP80" s="406"/>
      <c r="PQ80" s="406"/>
      <c r="PR80" s="406"/>
      <c r="PS80" s="406"/>
      <c r="PT80" s="406"/>
      <c r="PU80" s="406"/>
      <c r="PV80" s="406"/>
      <c r="PW80" s="406"/>
      <c r="PX80" s="406"/>
      <c r="PY80" s="406"/>
      <c r="PZ80" s="406"/>
      <c r="QA80" s="406"/>
      <c r="QB80" s="406"/>
      <c r="QC80" s="406"/>
      <c r="QD80" s="406"/>
      <c r="QE80" s="406"/>
      <c r="QF80" s="406"/>
      <c r="QG80" s="406"/>
      <c r="QH80" s="406"/>
      <c r="QI80" s="406"/>
      <c r="QJ80" s="406"/>
      <c r="QK80" s="406"/>
      <c r="QL80" s="406"/>
      <c r="QM80" s="406"/>
      <c r="QN80" s="406"/>
      <c r="QO80" s="406"/>
      <c r="QP80" s="406"/>
      <c r="QQ80" s="406"/>
      <c r="QR80" s="406"/>
      <c r="QS80" s="406"/>
      <c r="QT80" s="406"/>
      <c r="QU80" s="406"/>
      <c r="QV80" s="406"/>
      <c r="QW80" s="406"/>
      <c r="QX80" s="406"/>
      <c r="QY80" s="406"/>
      <c r="QZ80" s="406"/>
      <c r="RA80" s="406"/>
      <c r="RB80" s="406"/>
      <c r="RC80" s="406"/>
      <c r="RD80" s="406"/>
      <c r="RE80" s="406"/>
      <c r="RF80" s="406"/>
      <c r="RG80" s="406"/>
      <c r="RH80" s="406"/>
      <c r="RI80" s="406"/>
      <c r="RJ80" s="406"/>
      <c r="RK80" s="406"/>
      <c r="RL80" s="406"/>
      <c r="RM80" s="406"/>
      <c r="RN80" s="406"/>
      <c r="RO80" s="406"/>
      <c r="RP80" s="406"/>
      <c r="RQ80" s="406"/>
      <c r="RR80" s="406"/>
      <c r="RS80" s="406"/>
      <c r="RT80" s="406"/>
      <c r="RU80" s="406"/>
      <c r="RV80" s="406"/>
      <c r="RW80" s="406"/>
      <c r="RX80" s="406"/>
      <c r="RY80" s="406"/>
      <c r="RZ80" s="406"/>
      <c r="SA80" s="406"/>
      <c r="SB80" s="406"/>
      <c r="SC80" s="406"/>
      <c r="SD80" s="406"/>
      <c r="SE80" s="406"/>
      <c r="SF80" s="406"/>
      <c r="SG80" s="406"/>
      <c r="SH80" s="406"/>
      <c r="SI80" s="406"/>
      <c r="SJ80" s="406"/>
      <c r="SK80" s="406"/>
      <c r="SL80" s="406"/>
      <c r="SM80" s="406"/>
      <c r="SN80" s="406"/>
      <c r="SO80" s="406"/>
      <c r="SP80" s="406"/>
      <c r="SQ80" s="406"/>
      <c r="SR80" s="406"/>
      <c r="SS80" s="406"/>
      <c r="ST80" s="406"/>
      <c r="SU80" s="406"/>
      <c r="SV80" s="406"/>
      <c r="SW80" s="406"/>
      <c r="SX80" s="406"/>
      <c r="SY80" s="406"/>
      <c r="SZ80" s="406"/>
      <c r="TA80" s="406"/>
      <c r="TB80" s="406"/>
      <c r="TC80" s="406"/>
      <c r="TD80" s="406"/>
      <c r="TE80" s="406"/>
      <c r="TF80" s="406"/>
      <c r="TG80" s="406"/>
      <c r="TH80" s="406"/>
      <c r="TI80" s="406"/>
      <c r="TJ80" s="406"/>
      <c r="TK80" s="406"/>
      <c r="TL80" s="406"/>
      <c r="TM80" s="406"/>
      <c r="TN80" s="406"/>
      <c r="TO80" s="406"/>
      <c r="TP80" s="406"/>
      <c r="TQ80" s="406"/>
      <c r="TR80" s="406"/>
      <c r="TS80" s="406"/>
      <c r="TT80" s="406"/>
      <c r="TU80" s="406"/>
      <c r="TV80" s="406"/>
      <c r="TW80" s="406"/>
      <c r="TX80" s="406"/>
      <c r="TY80" s="406"/>
      <c r="TZ80" s="406"/>
      <c r="UA80" s="406"/>
      <c r="UB80" s="406"/>
      <c r="UC80" s="406"/>
      <c r="UD80" s="406"/>
      <c r="UE80" s="406"/>
      <c r="UF80" s="406"/>
      <c r="UG80" s="406"/>
      <c r="UH80" s="406"/>
      <c r="UI80" s="406"/>
      <c r="UJ80" s="406"/>
      <c r="UK80" s="406"/>
      <c r="UL80" s="406"/>
      <c r="UM80" s="406"/>
      <c r="UN80" s="406"/>
      <c r="UO80" s="406"/>
      <c r="UP80" s="406"/>
      <c r="UQ80" s="406"/>
      <c r="UR80" s="406"/>
      <c r="US80" s="406"/>
      <c r="UT80" s="406"/>
      <c r="UU80" s="406"/>
      <c r="UV80" s="406"/>
      <c r="UW80" s="406"/>
      <c r="UX80" s="406"/>
      <c r="UY80" s="406"/>
      <c r="UZ80" s="406"/>
      <c r="VA80" s="406"/>
      <c r="VB80" s="406"/>
      <c r="VC80" s="406"/>
      <c r="VD80" s="406"/>
      <c r="VE80" s="406"/>
      <c r="VF80" s="406"/>
      <c r="VG80" s="406"/>
      <c r="VH80" s="406"/>
      <c r="VI80" s="406"/>
      <c r="VJ80" s="406"/>
      <c r="VK80" s="406"/>
      <c r="VL80" s="406"/>
      <c r="VM80" s="406"/>
      <c r="VN80" s="406"/>
      <c r="VO80" s="406"/>
      <c r="VP80" s="406"/>
      <c r="VQ80" s="406"/>
      <c r="VR80" s="406"/>
      <c r="VS80" s="406"/>
      <c r="VT80" s="406"/>
      <c r="VU80" s="406"/>
      <c r="VV80" s="406"/>
      <c r="VW80" s="406"/>
      <c r="VX80" s="406"/>
      <c r="VY80" s="406"/>
      <c r="VZ80" s="406"/>
      <c r="WA80" s="406"/>
      <c r="WB80" s="406"/>
      <c r="WC80" s="406"/>
      <c r="WD80" s="406"/>
      <c r="WE80" s="406"/>
      <c r="WF80" s="406"/>
      <c r="WG80" s="406"/>
      <c r="WH80" s="406"/>
      <c r="WI80" s="406"/>
      <c r="WJ80" s="406"/>
      <c r="WK80" s="406"/>
      <c r="WL80" s="406"/>
      <c r="WM80" s="406"/>
      <c r="WN80" s="406"/>
      <c r="WO80" s="406"/>
      <c r="WP80" s="406"/>
      <c r="WQ80" s="406"/>
      <c r="WR80" s="406"/>
      <c r="WS80" s="406"/>
      <c r="WT80" s="406"/>
      <c r="WU80" s="406"/>
      <c r="WV80" s="406"/>
      <c r="WW80" s="406"/>
      <c r="WX80" s="406"/>
      <c r="WY80" s="406"/>
      <c r="WZ80" s="406"/>
      <c r="XA80" s="406"/>
      <c r="XB80" s="406"/>
      <c r="XC80" s="406"/>
      <c r="XD80" s="406"/>
      <c r="XE80" s="406"/>
      <c r="XF80" s="406"/>
      <c r="XG80" s="406"/>
      <c r="XH80" s="406"/>
      <c r="XI80" s="406"/>
      <c r="XJ80" s="406"/>
      <c r="XK80" s="406"/>
      <c r="XL80" s="406"/>
      <c r="XM80" s="406"/>
      <c r="XN80" s="406"/>
      <c r="XO80" s="406"/>
      <c r="XP80" s="406"/>
      <c r="XQ80" s="406"/>
      <c r="XR80" s="406"/>
      <c r="XS80" s="406"/>
      <c r="XT80" s="406"/>
      <c r="XU80" s="406"/>
      <c r="XV80" s="406"/>
      <c r="XW80" s="406"/>
      <c r="XX80" s="406"/>
      <c r="XY80" s="406"/>
      <c r="XZ80" s="406"/>
      <c r="YA80" s="406"/>
      <c r="YB80" s="406"/>
      <c r="YC80" s="406"/>
      <c r="YD80" s="406"/>
      <c r="YE80" s="406"/>
      <c r="YF80" s="406"/>
      <c r="YG80" s="406"/>
      <c r="YH80" s="406"/>
      <c r="YI80" s="406"/>
      <c r="YJ80" s="406"/>
      <c r="YK80" s="406"/>
      <c r="YL80" s="406"/>
      <c r="YM80" s="406"/>
      <c r="YN80" s="406"/>
      <c r="YO80" s="406"/>
      <c r="YP80" s="406"/>
      <c r="YQ80" s="406"/>
      <c r="YR80" s="406"/>
      <c r="YS80" s="406"/>
      <c r="YT80" s="406"/>
      <c r="YU80" s="406"/>
      <c r="YV80" s="406"/>
      <c r="YW80" s="406"/>
      <c r="YX80" s="406"/>
      <c r="YY80" s="406"/>
      <c r="YZ80" s="406"/>
      <c r="ZA80" s="406"/>
      <c r="ZB80" s="406"/>
      <c r="ZC80" s="406"/>
      <c r="ZD80" s="406"/>
      <c r="ZE80" s="406"/>
      <c r="ZF80" s="406"/>
      <c r="ZG80" s="406"/>
      <c r="ZH80" s="406"/>
      <c r="ZI80" s="406"/>
      <c r="ZJ80" s="406"/>
      <c r="ZK80" s="406"/>
      <c r="ZL80" s="406"/>
      <c r="ZM80" s="406"/>
      <c r="ZN80" s="406"/>
      <c r="ZO80" s="406"/>
      <c r="ZP80" s="406"/>
      <c r="ZQ80" s="406"/>
      <c r="ZR80" s="406"/>
      <c r="ZS80" s="406"/>
      <c r="ZT80" s="406"/>
      <c r="ZU80" s="406"/>
      <c r="ZV80" s="406"/>
      <c r="ZW80" s="406"/>
      <c r="ZX80" s="406"/>
      <c r="ZY80" s="406"/>
      <c r="ZZ80" s="406"/>
      <c r="AAA80" s="406"/>
      <c r="AAB80" s="406"/>
      <c r="AAC80" s="406"/>
      <c r="AAD80" s="406"/>
      <c r="AAE80" s="406"/>
      <c r="AAF80" s="406"/>
      <c r="AAG80" s="406"/>
      <c r="AAH80" s="406"/>
      <c r="AAI80" s="406"/>
      <c r="AAJ80" s="406"/>
      <c r="AAK80" s="406"/>
      <c r="AAL80" s="406"/>
      <c r="AAM80" s="406"/>
      <c r="AAN80" s="406"/>
      <c r="AAO80" s="406"/>
      <c r="AAP80" s="406"/>
      <c r="AAQ80" s="406"/>
      <c r="AAR80" s="406"/>
      <c r="AAS80" s="406"/>
      <c r="AAT80" s="406"/>
      <c r="AAU80" s="406"/>
      <c r="AAV80" s="406"/>
      <c r="AAW80" s="406"/>
      <c r="AAX80" s="406"/>
      <c r="AAY80" s="406"/>
      <c r="AAZ80" s="406"/>
      <c r="ABA80" s="406"/>
      <c r="ABB80" s="406"/>
      <c r="ABC80" s="406"/>
      <c r="ABD80" s="406"/>
      <c r="ABE80" s="406"/>
      <c r="ABF80" s="406"/>
      <c r="ABG80" s="406"/>
      <c r="ABH80" s="406"/>
      <c r="ABI80" s="406"/>
      <c r="ABJ80" s="406"/>
      <c r="ABK80" s="406"/>
      <c r="ABL80" s="406"/>
      <c r="ABM80" s="406"/>
      <c r="ABN80" s="406"/>
      <c r="ABO80" s="406"/>
      <c r="ABP80" s="406"/>
      <c r="ABQ80" s="406"/>
      <c r="ABR80" s="406"/>
      <c r="ABS80" s="406"/>
      <c r="ABT80" s="406"/>
      <c r="ABU80" s="406"/>
      <c r="ABV80" s="406"/>
      <c r="ABW80" s="406"/>
      <c r="ABX80" s="406"/>
      <c r="ABY80" s="406"/>
      <c r="ABZ80" s="406"/>
      <c r="ACA80" s="406"/>
      <c r="ACB80" s="406"/>
      <c r="ACC80" s="406"/>
      <c r="ACD80" s="406"/>
      <c r="ACE80" s="406"/>
      <c r="ACF80" s="406"/>
      <c r="ACG80" s="406"/>
      <c r="ACH80" s="406"/>
      <c r="ACI80" s="406"/>
      <c r="ACJ80" s="406"/>
      <c r="ACK80" s="406"/>
      <c r="ACL80" s="406"/>
      <c r="ACM80" s="406"/>
      <c r="ACN80" s="406"/>
      <c r="ACO80" s="406"/>
      <c r="ACP80" s="406"/>
      <c r="ACQ80" s="406"/>
      <c r="ACR80" s="406"/>
      <c r="ACS80" s="406"/>
      <c r="ACT80" s="406"/>
      <c r="ACU80" s="406"/>
      <c r="ACV80" s="406"/>
      <c r="ACW80" s="406"/>
      <c r="ACX80" s="406"/>
      <c r="ACY80" s="406"/>
      <c r="ACZ80" s="406"/>
      <c r="ADA80" s="406"/>
      <c r="ADB80" s="406"/>
      <c r="ADC80" s="406"/>
      <c r="ADD80" s="406"/>
      <c r="ADE80" s="406"/>
      <c r="ADF80" s="406"/>
      <c r="ADG80" s="406"/>
      <c r="ADH80" s="406"/>
      <c r="ADI80" s="406"/>
      <c r="ADJ80" s="406"/>
      <c r="ADK80" s="406"/>
      <c r="ADL80" s="406"/>
      <c r="ADM80" s="406"/>
      <c r="ADN80" s="406"/>
      <c r="ADO80" s="406"/>
      <c r="ADP80" s="406"/>
      <c r="ADQ80" s="406"/>
      <c r="ADR80" s="406"/>
      <c r="ADS80" s="406"/>
      <c r="ADT80" s="406"/>
      <c r="ADU80" s="406"/>
      <c r="ADV80" s="406"/>
      <c r="ADW80" s="406"/>
      <c r="ADX80" s="406"/>
      <c r="ADY80" s="406"/>
      <c r="ADZ80" s="406"/>
      <c r="AEA80" s="406"/>
      <c r="AEB80" s="406"/>
      <c r="AEC80" s="406"/>
      <c r="AED80" s="406"/>
      <c r="AEE80" s="406"/>
      <c r="AEF80" s="406"/>
      <c r="AEG80" s="406"/>
      <c r="AEH80" s="406"/>
      <c r="AEI80" s="406"/>
      <c r="AEJ80" s="406"/>
      <c r="AEK80" s="406"/>
      <c r="AEL80" s="406"/>
      <c r="AEM80" s="406"/>
      <c r="AEN80" s="406"/>
      <c r="AEO80" s="406"/>
      <c r="AEP80" s="406"/>
      <c r="AEQ80" s="406"/>
      <c r="AER80" s="406"/>
      <c r="AES80" s="406"/>
      <c r="AET80" s="406"/>
      <c r="AEU80" s="406"/>
      <c r="AEV80" s="406"/>
      <c r="AEW80" s="406"/>
      <c r="AEX80" s="406"/>
      <c r="AEY80" s="406"/>
      <c r="AEZ80" s="406"/>
      <c r="AFA80" s="406"/>
      <c r="AFB80" s="406"/>
      <c r="AFC80" s="406"/>
      <c r="AFD80" s="406"/>
      <c r="AFE80" s="406"/>
      <c r="AFF80" s="406"/>
      <c r="AFG80" s="406"/>
      <c r="AFH80" s="406"/>
      <c r="AFI80" s="406"/>
      <c r="AFJ80" s="406"/>
      <c r="AFK80" s="406"/>
      <c r="AFL80" s="406"/>
      <c r="AFM80" s="406"/>
      <c r="AFN80" s="406"/>
      <c r="AFO80" s="406"/>
      <c r="AFP80" s="406"/>
      <c r="AFQ80" s="406"/>
      <c r="AFR80" s="406"/>
      <c r="AFS80" s="406"/>
      <c r="AFT80" s="406"/>
      <c r="AFU80" s="406"/>
      <c r="AFV80" s="406"/>
      <c r="AFW80" s="406"/>
      <c r="AFX80" s="406"/>
      <c r="AFY80" s="406"/>
      <c r="AFZ80" s="406"/>
      <c r="AGA80" s="406"/>
      <c r="AGB80" s="406"/>
      <c r="AGC80" s="406"/>
      <c r="AGD80" s="406"/>
      <c r="AGE80" s="406"/>
      <c r="AGF80" s="406"/>
      <c r="AGG80" s="406"/>
      <c r="AGH80" s="406"/>
      <c r="AGI80" s="406"/>
      <c r="AGJ80" s="406"/>
      <c r="AGK80" s="406"/>
      <c r="AGL80" s="406"/>
      <c r="AGM80" s="406"/>
      <c r="AGN80" s="406"/>
      <c r="AGO80" s="406"/>
      <c r="AGP80" s="406"/>
      <c r="AGQ80" s="406"/>
      <c r="AGR80" s="406"/>
      <c r="AGS80" s="406"/>
      <c r="AGT80" s="406"/>
      <c r="AGU80" s="406"/>
      <c r="AGV80" s="406"/>
      <c r="AGW80" s="406"/>
      <c r="AGX80" s="406"/>
      <c r="AGY80" s="406"/>
      <c r="AGZ80" s="406"/>
      <c r="AHA80" s="406"/>
      <c r="AHB80" s="406"/>
      <c r="AHC80" s="406"/>
      <c r="AHD80" s="406"/>
      <c r="AHE80" s="406"/>
      <c r="AHF80" s="406"/>
      <c r="AHG80" s="406"/>
      <c r="AHH80" s="406"/>
      <c r="AHI80" s="406"/>
      <c r="AHJ80" s="406"/>
      <c r="AHK80" s="406"/>
      <c r="AHL80" s="406"/>
      <c r="AHM80" s="406"/>
      <c r="AHN80" s="406"/>
      <c r="AHO80" s="406"/>
      <c r="AHP80" s="406"/>
      <c r="AHQ80" s="406"/>
      <c r="AHR80" s="406"/>
      <c r="AHS80" s="406"/>
      <c r="AHT80" s="406"/>
      <c r="AHU80" s="406"/>
      <c r="AHV80" s="406"/>
      <c r="AHW80" s="406"/>
      <c r="AHX80" s="406"/>
      <c r="AHY80" s="406"/>
      <c r="AHZ80" s="406"/>
      <c r="AIA80" s="406"/>
      <c r="AIB80" s="406"/>
      <c r="AIC80" s="406"/>
      <c r="AID80" s="406"/>
      <c r="AIE80" s="406"/>
      <c r="AIF80" s="406"/>
      <c r="AIG80" s="406"/>
      <c r="AIH80" s="406"/>
      <c r="AII80" s="406"/>
      <c r="AIJ80" s="406"/>
      <c r="AIK80" s="406"/>
      <c r="AIL80" s="406"/>
      <c r="AIM80" s="406"/>
      <c r="AIN80" s="406"/>
      <c r="AIO80" s="406"/>
      <c r="AIP80" s="406"/>
      <c r="AIQ80" s="406"/>
      <c r="AIR80" s="406"/>
      <c r="AIS80" s="406"/>
      <c r="AIT80" s="406"/>
      <c r="AIU80" s="406"/>
      <c r="AIV80" s="406"/>
      <c r="AIW80" s="406"/>
      <c r="AIX80" s="406"/>
      <c r="AIY80" s="406"/>
      <c r="AIZ80" s="406"/>
      <c r="AJA80" s="406"/>
      <c r="AJB80" s="406"/>
      <c r="AJC80" s="406"/>
      <c r="AJD80" s="406"/>
      <c r="AJE80" s="406"/>
      <c r="AJF80" s="406"/>
      <c r="AJG80" s="406"/>
      <c r="AJH80" s="406"/>
      <c r="AJI80" s="406"/>
      <c r="AJJ80" s="406"/>
      <c r="AJK80" s="406"/>
      <c r="AJL80" s="406"/>
      <c r="AJM80" s="406"/>
      <c r="AJN80" s="406"/>
      <c r="AJO80" s="406"/>
      <c r="AJP80" s="406"/>
      <c r="AJQ80" s="406"/>
      <c r="AJR80" s="406"/>
      <c r="AJS80" s="406"/>
      <c r="AJT80" s="406"/>
      <c r="AJU80" s="406"/>
      <c r="AJV80" s="406"/>
      <c r="AJW80" s="406"/>
      <c r="AJX80" s="406"/>
      <c r="AJY80" s="406"/>
      <c r="AJZ80" s="406"/>
      <c r="AKA80" s="406"/>
      <c r="AKB80" s="406"/>
      <c r="AKC80" s="406"/>
      <c r="AKD80" s="406"/>
      <c r="AKE80" s="406"/>
      <c r="AKF80" s="406"/>
      <c r="AKG80" s="406"/>
      <c r="AKH80" s="406"/>
      <c r="AKI80" s="406"/>
      <c r="AKJ80" s="406"/>
      <c r="AKK80" s="406"/>
      <c r="AKL80" s="406"/>
      <c r="AKM80" s="406"/>
      <c r="AKN80" s="406"/>
      <c r="AKO80" s="406"/>
      <c r="AKP80" s="406"/>
      <c r="AKQ80" s="406"/>
      <c r="AKR80" s="406"/>
      <c r="AKS80" s="406"/>
      <c r="AKT80" s="406"/>
      <c r="AKU80" s="406"/>
      <c r="AKV80" s="406"/>
      <c r="AKW80" s="406"/>
      <c r="AKX80" s="406"/>
      <c r="AKY80" s="406"/>
      <c r="AKZ80" s="406"/>
      <c r="ALA80" s="406"/>
      <c r="ALB80" s="406"/>
      <c r="ALC80" s="406"/>
      <c r="ALD80" s="406"/>
      <c r="ALE80" s="406"/>
      <c r="ALF80" s="406"/>
      <c r="ALG80" s="406"/>
      <c r="ALH80" s="406"/>
      <c r="ALI80" s="406"/>
      <c r="ALJ80" s="406"/>
      <c r="ALK80" s="406"/>
      <c r="ALL80" s="406"/>
      <c r="ALM80" s="406"/>
      <c r="ALN80" s="406"/>
      <c r="ALO80" s="406"/>
      <c r="ALP80" s="406"/>
      <c r="ALQ80" s="406"/>
      <c r="ALR80" s="406"/>
      <c r="ALS80" s="406"/>
      <c r="ALT80" s="406"/>
      <c r="ALU80" s="406"/>
      <c r="ALV80" s="406"/>
      <c r="ALW80" s="406"/>
      <c r="ALX80" s="406"/>
      <c r="ALY80" s="406"/>
      <c r="ALZ80" s="406"/>
      <c r="AMA80" s="406"/>
      <c r="AMB80" s="406"/>
      <c r="AMC80" s="406"/>
      <c r="AMD80" s="406"/>
      <c r="AME80" s="406"/>
      <c r="AMF80" s="406"/>
      <c r="AMG80" s="406"/>
      <c r="AMH80" s="406"/>
      <c r="AMI80" s="406"/>
      <c r="AMJ80" s="406"/>
      <c r="AMK80" s="406"/>
      <c r="AML80" s="406"/>
      <c r="AMM80" s="406"/>
      <c r="AMN80" s="406"/>
      <c r="AMO80" s="406"/>
      <c r="AMP80" s="406"/>
      <c r="AMQ80" s="406"/>
      <c r="AMR80" s="406"/>
      <c r="AMS80" s="406"/>
      <c r="AMT80" s="406"/>
      <c r="AMU80" s="406"/>
      <c r="AMV80" s="406"/>
      <c r="AMW80" s="406"/>
      <c r="AMX80" s="406"/>
      <c r="AMY80" s="406"/>
      <c r="AMZ80" s="406"/>
      <c r="ANA80" s="406"/>
      <c r="ANB80" s="406"/>
      <c r="ANC80" s="406"/>
      <c r="AND80" s="406"/>
      <c r="ANE80" s="406"/>
      <c r="ANF80" s="406"/>
      <c r="ANG80" s="406"/>
      <c r="ANH80" s="406"/>
      <c r="ANI80" s="406"/>
      <c r="ANJ80" s="406"/>
      <c r="ANK80" s="406"/>
      <c r="ANL80" s="406"/>
      <c r="ANM80" s="406"/>
      <c r="ANN80" s="406"/>
      <c r="ANO80" s="406"/>
      <c r="ANP80" s="406"/>
      <c r="ANQ80" s="406"/>
      <c r="ANR80" s="406"/>
      <c r="ANS80" s="406"/>
      <c r="ANT80" s="406"/>
      <c r="ANU80" s="406"/>
      <c r="ANV80" s="406"/>
      <c r="ANW80" s="406"/>
      <c r="ANX80" s="406"/>
      <c r="ANY80" s="406"/>
      <c r="ANZ80" s="406"/>
      <c r="AOA80" s="406"/>
      <c r="AOB80" s="406"/>
      <c r="AOC80" s="406"/>
      <c r="AOD80" s="406"/>
      <c r="AOE80" s="406"/>
      <c r="AOF80" s="406"/>
      <c r="AOG80" s="406"/>
      <c r="AOH80" s="406"/>
      <c r="AOI80" s="406"/>
      <c r="AOJ80" s="406"/>
      <c r="AOK80" s="406"/>
      <c r="AOL80" s="406"/>
      <c r="AOM80" s="406"/>
      <c r="AON80" s="406"/>
      <c r="AOO80" s="406"/>
      <c r="AOP80" s="406"/>
      <c r="AOQ80" s="406"/>
      <c r="AOR80" s="406"/>
      <c r="AOS80" s="406"/>
      <c r="AOT80" s="406"/>
      <c r="AOU80" s="406"/>
      <c r="AOV80" s="406"/>
      <c r="AOW80" s="406"/>
      <c r="AOX80" s="406"/>
      <c r="AOY80" s="406"/>
      <c r="AOZ80" s="406"/>
      <c r="APA80" s="406"/>
      <c r="APB80" s="406"/>
      <c r="APC80" s="406"/>
      <c r="APD80" s="406"/>
      <c r="APE80" s="406"/>
      <c r="APF80" s="406"/>
      <c r="APG80" s="406"/>
      <c r="APH80" s="406"/>
      <c r="API80" s="406"/>
      <c r="APJ80" s="406"/>
      <c r="APK80" s="406"/>
      <c r="APL80" s="406"/>
      <c r="APM80" s="406"/>
      <c r="APN80" s="406"/>
      <c r="APO80" s="406"/>
      <c r="APP80" s="406"/>
      <c r="APQ80" s="406"/>
      <c r="APR80" s="406"/>
      <c r="APS80" s="406"/>
      <c r="APT80" s="406"/>
      <c r="APU80" s="406"/>
      <c r="APV80" s="406"/>
      <c r="APW80" s="406"/>
      <c r="APX80" s="406"/>
      <c r="APY80" s="406"/>
      <c r="APZ80" s="406"/>
      <c r="AQA80" s="406"/>
      <c r="AQB80" s="406"/>
      <c r="AQC80" s="406"/>
      <c r="AQD80" s="406"/>
      <c r="AQE80" s="406"/>
      <c r="AQF80" s="406"/>
      <c r="AQG80" s="406"/>
      <c r="AQH80" s="406"/>
      <c r="AQI80" s="406"/>
      <c r="AQJ80" s="406"/>
      <c r="AQK80" s="406"/>
      <c r="AQL80" s="406"/>
      <c r="AQM80" s="406"/>
      <c r="AQN80" s="406"/>
      <c r="AQO80" s="406"/>
      <c r="AQP80" s="406"/>
      <c r="AQQ80" s="406"/>
      <c r="AQR80" s="406"/>
      <c r="AQS80" s="406"/>
      <c r="AQT80" s="406"/>
      <c r="AQU80" s="406"/>
      <c r="AQV80" s="406"/>
      <c r="AQW80" s="406"/>
      <c r="AQX80" s="406"/>
      <c r="AQY80" s="406"/>
      <c r="AQZ80" s="406"/>
      <c r="ARA80" s="406"/>
      <c r="ARB80" s="406"/>
      <c r="ARC80" s="406"/>
      <c r="ARD80" s="406"/>
      <c r="ARE80" s="406"/>
      <c r="ARF80" s="406"/>
      <c r="ARG80" s="406"/>
      <c r="ARH80" s="406"/>
      <c r="ARI80" s="406"/>
      <c r="ARJ80" s="406"/>
      <c r="ARK80" s="406"/>
      <c r="ARL80" s="406"/>
      <c r="ARM80" s="406"/>
      <c r="ARN80" s="406"/>
      <c r="ARO80" s="406"/>
      <c r="ARP80" s="406"/>
      <c r="ARQ80" s="406"/>
      <c r="ARR80" s="406"/>
      <c r="ARS80" s="406"/>
      <c r="ART80" s="406"/>
      <c r="ARU80" s="406"/>
      <c r="ARV80" s="406"/>
      <c r="ARW80" s="406"/>
      <c r="ARX80" s="406"/>
      <c r="ARY80" s="406"/>
      <c r="ARZ80" s="406"/>
      <c r="ASA80" s="406"/>
      <c r="ASB80" s="406"/>
      <c r="ASC80" s="406"/>
      <c r="ASD80" s="406"/>
      <c r="ASE80" s="406"/>
      <c r="ASF80" s="406"/>
      <c r="ASG80" s="406"/>
      <c r="ASH80" s="406"/>
      <c r="ASI80" s="406"/>
      <c r="ASJ80" s="406"/>
      <c r="ASK80" s="406"/>
      <c r="ASL80" s="406"/>
      <c r="ASM80" s="406"/>
      <c r="ASN80" s="406"/>
      <c r="ASO80" s="406"/>
      <c r="ASP80" s="406"/>
      <c r="ASQ80" s="406"/>
      <c r="ASR80" s="406"/>
      <c r="ASS80" s="406"/>
      <c r="AST80" s="406"/>
      <c r="ASU80" s="406"/>
      <c r="ASV80" s="406"/>
      <c r="ASW80" s="406"/>
      <c r="ASX80" s="406"/>
      <c r="ASY80" s="406"/>
      <c r="ASZ80" s="406"/>
      <c r="ATA80" s="406"/>
      <c r="ATB80" s="406"/>
      <c r="ATC80" s="406"/>
      <c r="ATD80" s="406"/>
      <c r="ATE80" s="406"/>
      <c r="ATF80" s="406"/>
      <c r="ATG80" s="406"/>
      <c r="ATH80" s="406"/>
      <c r="ATI80" s="406"/>
      <c r="ATJ80" s="406"/>
      <c r="ATK80" s="406"/>
      <c r="ATL80" s="406"/>
      <c r="ATM80" s="406"/>
      <c r="ATN80" s="406"/>
      <c r="ATO80" s="406"/>
      <c r="ATP80" s="406"/>
      <c r="ATQ80" s="406"/>
      <c r="ATR80" s="406"/>
      <c r="ATS80" s="406"/>
      <c r="ATT80" s="406"/>
      <c r="ATU80" s="406"/>
      <c r="ATV80" s="406"/>
      <c r="ATW80" s="406"/>
      <c r="ATX80" s="406"/>
      <c r="ATY80" s="406"/>
      <c r="ATZ80" s="406"/>
      <c r="AUA80" s="406"/>
      <c r="AUB80" s="406"/>
      <c r="AUC80" s="406"/>
      <c r="AUD80" s="406"/>
      <c r="AUE80" s="406"/>
      <c r="AUF80" s="406"/>
      <c r="AUG80" s="406"/>
      <c r="AUH80" s="406"/>
      <c r="AUI80" s="406"/>
      <c r="AUJ80" s="406"/>
      <c r="AUK80" s="406"/>
      <c r="AUL80" s="406"/>
      <c r="AUM80" s="406"/>
      <c r="AUN80" s="406"/>
      <c r="AUO80" s="406"/>
      <c r="AUP80" s="406"/>
      <c r="AUQ80" s="406"/>
      <c r="AUR80" s="406"/>
      <c r="AUS80" s="406"/>
      <c r="AUT80" s="406"/>
      <c r="AUU80" s="406"/>
      <c r="AUV80" s="406"/>
      <c r="AUW80" s="406"/>
      <c r="AUX80" s="406"/>
      <c r="AUY80" s="406"/>
      <c r="AUZ80" s="406"/>
      <c r="AVA80" s="406"/>
      <c r="AVB80" s="406"/>
      <c r="AVC80" s="406"/>
      <c r="AVD80" s="406"/>
      <c r="AVE80" s="406"/>
      <c r="AVF80" s="406"/>
      <c r="AVG80" s="406"/>
      <c r="AVH80" s="406"/>
      <c r="AVI80" s="406"/>
      <c r="AVJ80" s="406"/>
      <c r="AVK80" s="406"/>
      <c r="AVL80" s="406"/>
      <c r="AVM80" s="406"/>
      <c r="AVN80" s="406"/>
      <c r="AVO80" s="406"/>
      <c r="AVP80" s="406"/>
      <c r="AVQ80" s="406"/>
      <c r="AVR80" s="406"/>
      <c r="AVS80" s="406"/>
      <c r="AVT80" s="406"/>
      <c r="AVU80" s="406"/>
      <c r="AVV80" s="406"/>
      <c r="AVW80" s="406"/>
      <c r="AVX80" s="406"/>
      <c r="AVY80" s="406"/>
      <c r="AVZ80" s="406"/>
      <c r="AWA80" s="406"/>
      <c r="AWB80" s="406"/>
      <c r="AWC80" s="406"/>
      <c r="AWD80" s="406"/>
      <c r="AWE80" s="406"/>
      <c r="AWF80" s="406"/>
      <c r="AWG80" s="406"/>
      <c r="AWH80" s="406"/>
      <c r="AWI80" s="406"/>
      <c r="AWJ80" s="406"/>
      <c r="AWK80" s="406"/>
      <c r="AWL80" s="406"/>
      <c r="AWM80" s="406"/>
      <c r="AWN80" s="406"/>
      <c r="AWO80" s="406"/>
      <c r="AWP80" s="406"/>
      <c r="AWQ80" s="406"/>
      <c r="AWR80" s="406"/>
      <c r="AWS80" s="406"/>
      <c r="AWT80" s="406"/>
      <c r="AWU80" s="406"/>
      <c r="AWV80" s="406"/>
      <c r="AWW80" s="406"/>
      <c r="AWX80" s="406"/>
      <c r="AWY80" s="406"/>
      <c r="AWZ80" s="406"/>
      <c r="AXA80" s="406"/>
      <c r="AXB80" s="406"/>
      <c r="AXC80" s="406"/>
      <c r="AXD80" s="406"/>
      <c r="AXE80" s="406"/>
      <c r="AXF80" s="406"/>
      <c r="AXG80" s="406"/>
      <c r="AXH80" s="406"/>
      <c r="AXI80" s="406"/>
      <c r="AXJ80" s="406"/>
      <c r="AXK80" s="406"/>
      <c r="AXL80" s="406"/>
      <c r="AXM80" s="406"/>
      <c r="AXN80" s="406"/>
      <c r="AXO80" s="406"/>
      <c r="AXP80" s="406"/>
      <c r="AXQ80" s="406"/>
      <c r="AXR80" s="406"/>
      <c r="AXS80" s="406"/>
      <c r="AXT80" s="406"/>
      <c r="AXU80" s="406"/>
      <c r="AXV80" s="406"/>
      <c r="AXW80" s="406"/>
      <c r="AXX80" s="406"/>
      <c r="AXY80" s="406"/>
      <c r="AXZ80" s="406"/>
      <c r="AYA80" s="406"/>
      <c r="AYB80" s="406"/>
      <c r="AYC80" s="406"/>
      <c r="AYD80" s="406"/>
      <c r="AYE80" s="406"/>
      <c r="AYF80" s="406"/>
      <c r="AYG80" s="406"/>
      <c r="AYH80" s="406"/>
      <c r="AYI80" s="406"/>
      <c r="AYJ80" s="406"/>
      <c r="AYK80" s="406"/>
      <c r="AYL80" s="406"/>
      <c r="AYM80" s="406"/>
      <c r="AYN80" s="406"/>
      <c r="AYO80" s="406"/>
      <c r="AYP80" s="406"/>
      <c r="AYQ80" s="406"/>
      <c r="AYR80" s="406"/>
      <c r="AYS80" s="406"/>
      <c r="AYT80" s="406"/>
      <c r="AYU80" s="406"/>
      <c r="AYV80" s="406"/>
      <c r="AYW80" s="406"/>
      <c r="AYX80" s="406"/>
      <c r="AYY80" s="406"/>
      <c r="AYZ80" s="406"/>
      <c r="AZA80" s="406"/>
      <c r="AZB80" s="406"/>
      <c r="AZC80" s="406"/>
      <c r="AZD80" s="406"/>
      <c r="AZE80" s="406"/>
      <c r="AZF80" s="406"/>
      <c r="AZG80" s="406"/>
      <c r="AZH80" s="406"/>
      <c r="AZI80" s="406"/>
      <c r="AZJ80" s="406"/>
      <c r="AZK80" s="406"/>
      <c r="AZL80" s="406"/>
      <c r="AZM80" s="406"/>
      <c r="AZN80" s="406"/>
      <c r="AZO80" s="406"/>
      <c r="AZP80" s="406"/>
      <c r="AZQ80" s="406"/>
      <c r="AZR80" s="406"/>
      <c r="AZS80" s="406"/>
      <c r="AZT80" s="406"/>
      <c r="AZU80" s="406"/>
      <c r="AZV80" s="406"/>
      <c r="AZW80" s="406"/>
      <c r="AZX80" s="406"/>
      <c r="AZY80" s="406"/>
      <c r="AZZ80" s="406"/>
      <c r="BAA80" s="406"/>
      <c r="BAB80" s="406"/>
      <c r="BAC80" s="406"/>
      <c r="BAD80" s="406"/>
      <c r="BAE80" s="406"/>
      <c r="BAF80" s="406"/>
      <c r="BAG80" s="406"/>
      <c r="BAH80" s="406"/>
      <c r="BAI80" s="406"/>
      <c r="BAJ80" s="406"/>
      <c r="BAK80" s="406"/>
      <c r="BAL80" s="406"/>
      <c r="BAM80" s="406"/>
      <c r="BAN80" s="406"/>
      <c r="BAO80" s="406"/>
      <c r="BAP80" s="406"/>
      <c r="BAQ80" s="406"/>
      <c r="BAR80" s="406"/>
      <c r="BAS80" s="406"/>
      <c r="BAT80" s="406"/>
      <c r="BAU80" s="406"/>
      <c r="BAV80" s="406"/>
      <c r="BAW80" s="406"/>
      <c r="BAX80" s="406"/>
      <c r="BAY80" s="406"/>
      <c r="BAZ80" s="406"/>
      <c r="BBA80" s="406"/>
      <c r="BBB80" s="406"/>
      <c r="BBC80" s="406"/>
      <c r="BBD80" s="406"/>
      <c r="BBE80" s="406"/>
      <c r="BBF80" s="406"/>
      <c r="BBG80" s="406"/>
      <c r="BBH80" s="406"/>
      <c r="BBI80" s="406"/>
      <c r="BBJ80" s="406"/>
      <c r="BBK80" s="406"/>
      <c r="BBL80" s="406"/>
      <c r="BBM80" s="406"/>
      <c r="BBN80" s="406"/>
      <c r="BBO80" s="406"/>
      <c r="BBP80" s="406"/>
      <c r="BBQ80" s="406"/>
      <c r="BBR80" s="406"/>
      <c r="BBS80" s="406"/>
      <c r="BBT80" s="406"/>
      <c r="BBU80" s="406"/>
      <c r="BBV80" s="406"/>
      <c r="BBW80" s="406"/>
      <c r="BBX80" s="406"/>
      <c r="BBY80" s="406"/>
      <c r="BBZ80" s="406"/>
      <c r="BCA80" s="406"/>
      <c r="BCB80" s="406"/>
      <c r="BCC80" s="406"/>
      <c r="BCD80" s="406"/>
      <c r="BCE80" s="406"/>
      <c r="BCF80" s="406"/>
      <c r="BCG80" s="406"/>
      <c r="BCH80" s="406"/>
      <c r="BCI80" s="406"/>
      <c r="BCJ80" s="406"/>
      <c r="BCK80" s="406"/>
      <c r="BCL80" s="406"/>
      <c r="BCM80" s="406"/>
      <c r="BCN80" s="406"/>
      <c r="BCO80" s="406"/>
      <c r="BCP80" s="406"/>
      <c r="BCQ80" s="406"/>
      <c r="BCR80" s="406"/>
      <c r="BCS80" s="406"/>
      <c r="BCT80" s="406"/>
      <c r="BCU80" s="406"/>
      <c r="BCV80" s="406"/>
      <c r="BCW80" s="406"/>
      <c r="BCX80" s="406"/>
      <c r="BCY80" s="406"/>
      <c r="BCZ80" s="406"/>
      <c r="BDA80" s="406"/>
      <c r="BDB80" s="406"/>
      <c r="BDC80" s="406"/>
      <c r="BDD80" s="406"/>
      <c r="BDE80" s="406"/>
      <c r="BDF80" s="406"/>
      <c r="BDG80" s="406"/>
      <c r="BDH80" s="406"/>
      <c r="BDI80" s="406"/>
      <c r="BDJ80" s="406"/>
      <c r="BDK80" s="406"/>
      <c r="BDL80" s="406"/>
      <c r="BDM80" s="406"/>
      <c r="BDN80" s="406"/>
      <c r="BDO80" s="406"/>
      <c r="BDP80" s="406"/>
      <c r="BDQ80" s="406"/>
      <c r="BDR80" s="406"/>
      <c r="BDS80" s="406"/>
      <c r="BDT80" s="406"/>
      <c r="BDU80" s="406"/>
      <c r="BDV80" s="406"/>
      <c r="BDW80" s="406"/>
      <c r="BDX80" s="406"/>
      <c r="BDY80" s="406"/>
      <c r="BDZ80" s="406"/>
      <c r="BEA80" s="406"/>
      <c r="BEB80" s="406"/>
      <c r="BEC80" s="406"/>
      <c r="BED80" s="406"/>
      <c r="BEE80" s="406"/>
      <c r="BEF80" s="406"/>
      <c r="BEG80" s="406"/>
      <c r="BEH80" s="406"/>
      <c r="BEI80" s="406"/>
      <c r="BEJ80" s="406"/>
      <c r="BEK80" s="406"/>
      <c r="BEL80" s="406"/>
      <c r="BEM80" s="406"/>
      <c r="BEN80" s="406"/>
      <c r="BEO80" s="406"/>
      <c r="BEP80" s="406"/>
      <c r="BEQ80" s="406"/>
      <c r="BER80" s="406"/>
      <c r="BES80" s="406"/>
      <c r="BET80" s="406"/>
      <c r="BEU80" s="406"/>
      <c r="BEV80" s="406"/>
      <c r="BEW80" s="406"/>
      <c r="BEX80" s="406"/>
      <c r="BEY80" s="406"/>
      <c r="BEZ80" s="406"/>
      <c r="BFA80" s="406"/>
      <c r="BFB80" s="406"/>
      <c r="BFC80" s="406"/>
      <c r="BFD80" s="406"/>
      <c r="BFE80" s="406"/>
      <c r="BFF80" s="406"/>
      <c r="BFG80" s="406"/>
      <c r="BFH80" s="406"/>
      <c r="BFI80" s="406"/>
      <c r="BFJ80" s="406"/>
      <c r="BFK80" s="406"/>
      <c r="BFL80" s="406"/>
      <c r="BFM80" s="406"/>
      <c r="BFN80" s="406"/>
      <c r="BFO80" s="406"/>
      <c r="BFP80" s="406"/>
      <c r="BFQ80" s="406"/>
      <c r="BFR80" s="406"/>
      <c r="BFS80" s="406"/>
      <c r="BFT80" s="406"/>
      <c r="BFU80" s="406"/>
      <c r="BFV80" s="406"/>
      <c r="BFW80" s="406"/>
      <c r="BFX80" s="406"/>
      <c r="BFY80" s="406"/>
      <c r="BFZ80" s="406"/>
      <c r="BGA80" s="406"/>
      <c r="BGB80" s="406"/>
      <c r="BGC80" s="406"/>
      <c r="BGD80" s="406"/>
      <c r="BGE80" s="406"/>
      <c r="BGF80" s="406"/>
      <c r="BGG80" s="406"/>
      <c r="BGH80" s="406"/>
      <c r="BGI80" s="406"/>
      <c r="BGJ80" s="406"/>
      <c r="BGK80" s="406"/>
      <c r="BGL80" s="406"/>
      <c r="BGM80" s="406"/>
      <c r="BGN80" s="406"/>
      <c r="BGO80" s="406"/>
      <c r="BGP80" s="406"/>
      <c r="BGQ80" s="406"/>
      <c r="BGR80" s="406"/>
      <c r="BGS80" s="406"/>
      <c r="BGT80" s="406"/>
      <c r="BGU80" s="406"/>
      <c r="BGV80" s="406"/>
      <c r="BGW80" s="406"/>
      <c r="BGX80" s="406"/>
      <c r="BGY80" s="406"/>
      <c r="BGZ80" s="406"/>
      <c r="BHA80" s="406"/>
      <c r="BHB80" s="406"/>
      <c r="BHC80" s="406"/>
      <c r="BHD80" s="406"/>
      <c r="BHE80" s="406"/>
      <c r="BHF80" s="406"/>
      <c r="BHG80" s="406"/>
      <c r="BHH80" s="406"/>
      <c r="BHI80" s="406"/>
      <c r="BHJ80" s="406"/>
      <c r="BHK80" s="406"/>
      <c r="BHL80" s="406"/>
      <c r="BHM80" s="406"/>
      <c r="BHN80" s="406"/>
      <c r="BHO80" s="406"/>
      <c r="BHP80" s="406"/>
      <c r="BHQ80" s="406"/>
      <c r="BHR80" s="406"/>
      <c r="BHS80" s="406"/>
      <c r="BHT80" s="406"/>
      <c r="BHU80" s="406"/>
      <c r="BHV80" s="406"/>
      <c r="BHW80" s="406"/>
      <c r="BHX80" s="406"/>
      <c r="BHY80" s="406"/>
      <c r="BHZ80" s="406"/>
      <c r="BIA80" s="406"/>
      <c r="BIB80" s="406"/>
      <c r="BIC80" s="406"/>
      <c r="BID80" s="406"/>
      <c r="BIE80" s="406"/>
      <c r="BIF80" s="406"/>
      <c r="BIG80" s="406"/>
      <c r="BIH80" s="406"/>
      <c r="BII80" s="406"/>
      <c r="BIJ80" s="406"/>
      <c r="BIK80" s="406"/>
      <c r="BIL80" s="406"/>
      <c r="BIM80" s="406"/>
      <c r="BIN80" s="406"/>
      <c r="BIO80" s="406"/>
      <c r="BIP80" s="406"/>
      <c r="BIQ80" s="406"/>
      <c r="BIR80" s="406"/>
      <c r="BIS80" s="406"/>
      <c r="BIT80" s="406"/>
      <c r="BIU80" s="406"/>
      <c r="BIV80" s="406"/>
      <c r="BIW80" s="406"/>
      <c r="BIX80" s="406"/>
      <c r="BIY80" s="406"/>
      <c r="BIZ80" s="406"/>
      <c r="BJA80" s="406"/>
      <c r="BJB80" s="406"/>
      <c r="BJC80" s="406"/>
      <c r="BJD80" s="406"/>
      <c r="BJE80" s="406"/>
      <c r="BJF80" s="406"/>
      <c r="BJG80" s="406"/>
      <c r="BJH80" s="406"/>
      <c r="BJI80" s="406"/>
      <c r="BJJ80" s="406"/>
      <c r="BJK80" s="406"/>
      <c r="BJL80" s="406"/>
      <c r="BJM80" s="406"/>
      <c r="BJN80" s="406"/>
      <c r="BJO80" s="406"/>
      <c r="BJP80" s="406"/>
      <c r="BJQ80" s="406"/>
      <c r="BJR80" s="406"/>
      <c r="BJS80" s="406"/>
      <c r="BJT80" s="406"/>
      <c r="BJU80" s="406"/>
      <c r="BJV80" s="406"/>
      <c r="BJW80" s="406"/>
      <c r="BJX80" s="406"/>
      <c r="BJY80" s="406"/>
      <c r="BJZ80" s="406"/>
      <c r="BKA80" s="406"/>
      <c r="BKB80" s="406"/>
      <c r="BKC80" s="406"/>
      <c r="BKD80" s="406"/>
      <c r="BKE80" s="406"/>
      <c r="BKF80" s="406"/>
      <c r="BKG80" s="406"/>
      <c r="BKH80" s="406"/>
      <c r="BKI80" s="406"/>
      <c r="BKJ80" s="406"/>
      <c r="BKK80" s="406"/>
      <c r="BKL80" s="406"/>
      <c r="BKM80" s="406"/>
      <c r="BKN80" s="406"/>
      <c r="BKO80" s="406"/>
      <c r="BKP80" s="406"/>
      <c r="BKQ80" s="406"/>
      <c r="BKR80" s="406"/>
      <c r="BKS80" s="406"/>
      <c r="BKT80" s="406"/>
      <c r="BKU80" s="406"/>
      <c r="BKV80" s="406"/>
      <c r="BKW80" s="406"/>
      <c r="BKX80" s="406"/>
      <c r="BKY80" s="406"/>
      <c r="BKZ80" s="406"/>
      <c r="BLA80" s="406"/>
      <c r="BLB80" s="406"/>
      <c r="BLC80" s="406"/>
      <c r="BLD80" s="406"/>
      <c r="BLE80" s="406"/>
      <c r="BLF80" s="406"/>
      <c r="BLG80" s="406"/>
      <c r="BLH80" s="406"/>
      <c r="BLI80" s="406"/>
      <c r="BLJ80" s="406"/>
      <c r="BLK80" s="406"/>
      <c r="BLL80" s="406"/>
      <c r="BLM80" s="406"/>
      <c r="BLN80" s="406"/>
      <c r="BLO80" s="406"/>
      <c r="BLP80" s="406"/>
      <c r="BLQ80" s="406"/>
      <c r="BLR80" s="406"/>
      <c r="BLS80" s="406"/>
      <c r="BLT80" s="406"/>
      <c r="BLU80" s="406"/>
      <c r="BLV80" s="406"/>
      <c r="BLW80" s="406"/>
      <c r="BLX80" s="406"/>
      <c r="BLY80" s="406"/>
      <c r="BLZ80" s="406"/>
      <c r="BMA80" s="406"/>
      <c r="BMB80" s="406"/>
      <c r="BMC80" s="406"/>
      <c r="BMD80" s="406"/>
      <c r="BME80" s="406"/>
      <c r="BMF80" s="406"/>
      <c r="BMG80" s="406"/>
      <c r="BMH80" s="406"/>
      <c r="BMI80" s="406"/>
      <c r="BMJ80" s="406"/>
      <c r="BMK80" s="406"/>
      <c r="BML80" s="406"/>
      <c r="BMM80" s="406"/>
      <c r="BMN80" s="406"/>
      <c r="BMO80" s="406"/>
      <c r="BMP80" s="406"/>
      <c r="BMQ80" s="406"/>
      <c r="BMR80" s="406"/>
      <c r="BMS80" s="406"/>
      <c r="BMT80" s="406"/>
      <c r="BMU80" s="406"/>
      <c r="BMV80" s="406"/>
      <c r="BMW80" s="406"/>
      <c r="BMX80" s="406"/>
      <c r="BMY80" s="406"/>
      <c r="BMZ80" s="406"/>
      <c r="BNA80" s="406"/>
      <c r="BNB80" s="406"/>
      <c r="BNC80" s="406"/>
      <c r="BND80" s="406"/>
      <c r="BNE80" s="406"/>
      <c r="BNF80" s="406"/>
      <c r="BNG80" s="406"/>
      <c r="BNH80" s="406"/>
      <c r="BNI80" s="406"/>
      <c r="BNJ80" s="406"/>
      <c r="BNK80" s="406"/>
      <c r="BNL80" s="406"/>
      <c r="BNM80" s="406"/>
      <c r="BNN80" s="406"/>
      <c r="BNO80" s="406"/>
      <c r="BNP80" s="406"/>
      <c r="BNQ80" s="406"/>
      <c r="BNR80" s="406"/>
      <c r="BNS80" s="406"/>
      <c r="BNT80" s="406"/>
      <c r="BNU80" s="406"/>
      <c r="BNV80" s="406"/>
      <c r="BNW80" s="406"/>
      <c r="BNX80" s="406"/>
      <c r="BNY80" s="406"/>
      <c r="BNZ80" s="406"/>
      <c r="BOA80" s="406"/>
      <c r="BOB80" s="406"/>
      <c r="BOC80" s="406"/>
      <c r="BOD80" s="406"/>
      <c r="BOE80" s="406"/>
      <c r="BOF80" s="406"/>
      <c r="BOG80" s="406"/>
      <c r="BOH80" s="406"/>
      <c r="BOI80" s="406"/>
      <c r="BOJ80" s="406"/>
      <c r="BOK80" s="406"/>
      <c r="BOL80" s="406"/>
      <c r="BOM80" s="406"/>
      <c r="BON80" s="406"/>
      <c r="BOO80" s="406"/>
      <c r="BOP80" s="406"/>
      <c r="BOQ80" s="406"/>
      <c r="BOR80" s="406"/>
      <c r="BOS80" s="406"/>
      <c r="BOT80" s="406"/>
      <c r="BOU80" s="406"/>
      <c r="BOV80" s="406"/>
      <c r="BOW80" s="406"/>
      <c r="BOX80" s="406"/>
      <c r="BOY80" s="406"/>
      <c r="BOZ80" s="406"/>
      <c r="BPA80" s="406"/>
      <c r="BPB80" s="406"/>
      <c r="BPC80" s="406"/>
      <c r="BPD80" s="406"/>
      <c r="BPE80" s="406"/>
      <c r="BPF80" s="406"/>
      <c r="BPG80" s="406"/>
      <c r="BPH80" s="406"/>
      <c r="BPI80" s="406"/>
      <c r="BPJ80" s="406"/>
      <c r="BPK80" s="406"/>
      <c r="BPL80" s="406"/>
      <c r="BPM80" s="406"/>
      <c r="BPN80" s="406"/>
      <c r="BPO80" s="406"/>
      <c r="BPP80" s="406"/>
      <c r="BPQ80" s="406"/>
      <c r="BPR80" s="406"/>
      <c r="BPS80" s="406"/>
      <c r="BPT80" s="406"/>
      <c r="BPU80" s="406"/>
      <c r="BPV80" s="406"/>
      <c r="BPW80" s="406"/>
      <c r="BPX80" s="406"/>
      <c r="BPY80" s="406"/>
      <c r="BPZ80" s="406"/>
      <c r="BQA80" s="406"/>
      <c r="BQB80" s="406"/>
      <c r="BQC80" s="406"/>
      <c r="BQD80" s="406"/>
      <c r="BQE80" s="406"/>
      <c r="BQF80" s="406"/>
      <c r="BQG80" s="406"/>
      <c r="BQH80" s="406"/>
      <c r="BQI80" s="406"/>
      <c r="BQJ80" s="406"/>
      <c r="BQK80" s="406"/>
      <c r="BQL80" s="406"/>
      <c r="BQM80" s="406"/>
      <c r="BQN80" s="406"/>
      <c r="BQO80" s="406"/>
      <c r="BQP80" s="406"/>
      <c r="BQQ80" s="406"/>
      <c r="BQR80" s="406"/>
      <c r="BQS80" s="406"/>
      <c r="BQT80" s="406"/>
      <c r="BQU80" s="406"/>
      <c r="BQV80" s="406"/>
      <c r="BQW80" s="406"/>
      <c r="BQX80" s="406"/>
      <c r="BQY80" s="406"/>
      <c r="BQZ80" s="406"/>
      <c r="BRA80" s="406"/>
      <c r="BRB80" s="406"/>
      <c r="BRC80" s="406"/>
      <c r="BRD80" s="406"/>
      <c r="BRE80" s="406"/>
      <c r="BRF80" s="406"/>
      <c r="BRG80" s="406"/>
      <c r="BRH80" s="406"/>
      <c r="BRI80" s="406"/>
      <c r="BRJ80" s="406"/>
      <c r="BRK80" s="406"/>
      <c r="BRL80" s="406"/>
      <c r="BRM80" s="406"/>
      <c r="BRN80" s="406"/>
      <c r="BRO80" s="406"/>
      <c r="BRP80" s="406"/>
      <c r="BRQ80" s="406"/>
      <c r="BRR80" s="406"/>
      <c r="BRS80" s="406"/>
      <c r="BRT80" s="406"/>
      <c r="BRU80" s="406"/>
      <c r="BRV80" s="406"/>
      <c r="BRW80" s="406"/>
      <c r="BRX80" s="406"/>
      <c r="BRY80" s="406"/>
      <c r="BRZ80" s="406"/>
      <c r="BSA80" s="406"/>
      <c r="BSB80" s="406"/>
      <c r="BSC80" s="406"/>
      <c r="BSD80" s="406"/>
      <c r="BSE80" s="406"/>
      <c r="BSF80" s="406"/>
      <c r="BSG80" s="406"/>
      <c r="BSH80" s="406"/>
      <c r="BSI80" s="406"/>
      <c r="BSJ80" s="406"/>
      <c r="BSK80" s="406"/>
      <c r="BSL80" s="406"/>
      <c r="BSM80" s="406"/>
      <c r="BSN80" s="406"/>
      <c r="BSO80" s="406"/>
      <c r="BSP80" s="406"/>
      <c r="BSQ80" s="406"/>
      <c r="BSR80" s="406"/>
      <c r="BSS80" s="406"/>
      <c r="BST80" s="406"/>
      <c r="BSU80" s="406"/>
      <c r="BSV80" s="406"/>
      <c r="BSW80" s="406"/>
      <c r="BSX80" s="406"/>
      <c r="BSY80" s="406"/>
      <c r="BSZ80" s="406"/>
      <c r="BTA80" s="406"/>
      <c r="BTB80" s="406"/>
      <c r="BTC80" s="406"/>
      <c r="BTD80" s="406"/>
      <c r="BTE80" s="406"/>
      <c r="BTF80" s="406"/>
      <c r="BTG80" s="406"/>
      <c r="BTH80" s="406"/>
      <c r="BTI80" s="406"/>
      <c r="BTJ80" s="406"/>
      <c r="BTK80" s="406"/>
      <c r="BTL80" s="406"/>
      <c r="BTM80" s="406"/>
      <c r="BTN80" s="406"/>
      <c r="BTO80" s="406"/>
      <c r="BTP80" s="406"/>
      <c r="BTQ80" s="406"/>
      <c r="BTR80" s="406"/>
      <c r="BTS80" s="406"/>
      <c r="BTT80" s="406"/>
      <c r="BTU80" s="406"/>
      <c r="BTV80" s="406"/>
      <c r="BTW80" s="406"/>
      <c r="BTX80" s="406"/>
      <c r="BTY80" s="406"/>
      <c r="BTZ80" s="406"/>
      <c r="BUA80" s="406"/>
      <c r="BUB80" s="406"/>
      <c r="BUC80" s="406"/>
      <c r="BUD80" s="406"/>
      <c r="BUE80" s="406"/>
      <c r="BUF80" s="406"/>
      <c r="BUG80" s="406"/>
      <c r="BUH80" s="406"/>
      <c r="BUI80" s="406"/>
      <c r="BUJ80" s="406"/>
      <c r="BUK80" s="406"/>
      <c r="BUL80" s="406"/>
      <c r="BUM80" s="406"/>
      <c r="BUN80" s="406"/>
      <c r="BUO80" s="406"/>
      <c r="BUP80" s="406"/>
      <c r="BUQ80" s="406"/>
      <c r="BUR80" s="406"/>
      <c r="BUS80" s="406"/>
      <c r="BUT80" s="406"/>
      <c r="BUU80" s="406"/>
      <c r="BUV80" s="406"/>
      <c r="BUW80" s="406"/>
      <c r="BUX80" s="406"/>
      <c r="BUY80" s="406"/>
      <c r="BUZ80" s="406"/>
      <c r="BVA80" s="406"/>
      <c r="BVB80" s="406"/>
      <c r="BVC80" s="406"/>
      <c r="BVD80" s="406"/>
      <c r="BVE80" s="406"/>
      <c r="BVF80" s="406"/>
      <c r="BVG80" s="406"/>
      <c r="BVH80" s="406"/>
      <c r="BVI80" s="406"/>
      <c r="BVJ80" s="406"/>
      <c r="BVK80" s="406"/>
      <c r="BVL80" s="406"/>
      <c r="BVM80" s="406"/>
      <c r="BVN80" s="406"/>
      <c r="BVO80" s="406"/>
      <c r="BVP80" s="406"/>
      <c r="BVQ80" s="406"/>
      <c r="BVR80" s="406"/>
      <c r="BVS80" s="406"/>
      <c r="BVT80" s="406"/>
      <c r="BVU80" s="406"/>
      <c r="BVV80" s="406"/>
      <c r="BVW80" s="406"/>
      <c r="BVX80" s="406"/>
      <c r="BVY80" s="406"/>
      <c r="BVZ80" s="406"/>
      <c r="BWA80" s="406"/>
      <c r="BWB80" s="406"/>
      <c r="BWC80" s="406"/>
      <c r="BWD80" s="406"/>
      <c r="BWE80" s="406"/>
      <c r="BWF80" s="406"/>
      <c r="BWG80" s="406"/>
      <c r="BWH80" s="406"/>
      <c r="BWI80" s="406"/>
      <c r="BWJ80" s="406"/>
      <c r="BWK80" s="406"/>
      <c r="BWL80" s="406"/>
      <c r="BWM80" s="406"/>
      <c r="BWN80" s="406"/>
      <c r="BWO80" s="406"/>
      <c r="BWP80" s="406"/>
      <c r="BWQ80" s="406"/>
      <c r="BWR80" s="406"/>
      <c r="BWS80" s="406"/>
      <c r="BWT80" s="406"/>
      <c r="BWU80" s="406"/>
      <c r="BWV80" s="406"/>
      <c r="BWW80" s="406"/>
      <c r="BWX80" s="406"/>
      <c r="BWY80" s="406"/>
      <c r="BWZ80" s="406"/>
      <c r="BXA80" s="406"/>
      <c r="BXB80" s="406"/>
      <c r="BXC80" s="406"/>
      <c r="BXD80" s="406"/>
      <c r="BXE80" s="406"/>
      <c r="BXF80" s="406"/>
      <c r="BXG80" s="406"/>
      <c r="BXH80" s="406"/>
      <c r="BXI80" s="406"/>
      <c r="BXJ80" s="406"/>
      <c r="BXK80" s="406"/>
      <c r="BXL80" s="406"/>
      <c r="BXM80" s="406"/>
      <c r="BXN80" s="406"/>
      <c r="BXO80" s="406"/>
      <c r="BXP80" s="406"/>
      <c r="BXQ80" s="406"/>
      <c r="BXR80" s="406"/>
      <c r="BXS80" s="406"/>
      <c r="BXT80" s="406"/>
      <c r="BXU80" s="406"/>
      <c r="BXV80" s="406"/>
      <c r="BXW80" s="406"/>
      <c r="BXX80" s="406"/>
      <c r="BXY80" s="406"/>
      <c r="BXZ80" s="406"/>
      <c r="BYA80" s="406"/>
      <c r="BYB80" s="406"/>
      <c r="BYC80" s="406"/>
      <c r="BYD80" s="406"/>
      <c r="BYE80" s="406"/>
      <c r="BYF80" s="406"/>
      <c r="BYG80" s="406"/>
      <c r="BYH80" s="406"/>
      <c r="BYI80" s="406"/>
      <c r="BYJ80" s="406"/>
      <c r="BYK80" s="406"/>
      <c r="BYL80" s="406"/>
      <c r="BYM80" s="406"/>
      <c r="BYN80" s="406"/>
      <c r="BYO80" s="406"/>
      <c r="BYP80" s="406"/>
      <c r="BYQ80" s="406"/>
      <c r="BYR80" s="406"/>
      <c r="BYS80" s="406"/>
      <c r="BYT80" s="406"/>
      <c r="BYU80" s="406"/>
      <c r="BYV80" s="406"/>
      <c r="BYW80" s="406"/>
      <c r="BYX80" s="406"/>
      <c r="BYY80" s="406"/>
      <c r="BYZ80" s="406"/>
      <c r="BZA80" s="406"/>
      <c r="BZB80" s="406"/>
      <c r="BZC80" s="406"/>
      <c r="BZD80" s="406"/>
      <c r="BZE80" s="406"/>
      <c r="BZF80" s="406"/>
      <c r="BZG80" s="406"/>
      <c r="BZH80" s="406"/>
      <c r="BZI80" s="406"/>
      <c r="BZJ80" s="406"/>
      <c r="BZK80" s="406"/>
      <c r="BZL80" s="406"/>
      <c r="BZM80" s="406"/>
      <c r="BZN80" s="406"/>
      <c r="BZO80" s="406"/>
      <c r="BZP80" s="406"/>
      <c r="BZQ80" s="406"/>
      <c r="BZR80" s="406"/>
      <c r="BZS80" s="406"/>
      <c r="BZT80" s="406"/>
      <c r="BZU80" s="406"/>
      <c r="BZV80" s="406"/>
      <c r="BZW80" s="406"/>
      <c r="BZX80" s="406"/>
      <c r="BZY80" s="406"/>
      <c r="BZZ80" s="406"/>
      <c r="CAA80" s="406"/>
      <c r="CAB80" s="406"/>
      <c r="CAC80" s="406"/>
      <c r="CAD80" s="406"/>
      <c r="CAE80" s="406"/>
      <c r="CAF80" s="406"/>
      <c r="CAG80" s="406"/>
      <c r="CAH80" s="406"/>
      <c r="CAI80" s="406"/>
      <c r="CAJ80" s="406"/>
      <c r="CAK80" s="406"/>
      <c r="CAL80" s="406"/>
      <c r="CAM80" s="406"/>
      <c r="CAN80" s="406"/>
      <c r="CAO80" s="406"/>
      <c r="CAP80" s="406"/>
      <c r="CAQ80" s="406"/>
      <c r="CAR80" s="406"/>
      <c r="CAS80" s="406"/>
      <c r="CAT80" s="406"/>
      <c r="CAU80" s="406"/>
      <c r="CAV80" s="406"/>
      <c r="CAW80" s="406"/>
      <c r="CAX80" s="406"/>
      <c r="CAY80" s="406"/>
      <c r="CAZ80" s="406"/>
      <c r="CBA80" s="406"/>
      <c r="CBB80" s="406"/>
      <c r="CBC80" s="406"/>
      <c r="CBD80" s="406"/>
      <c r="CBE80" s="406"/>
      <c r="CBF80" s="406"/>
      <c r="CBG80" s="406"/>
      <c r="CBH80" s="406"/>
      <c r="CBI80" s="406"/>
      <c r="CBJ80" s="406"/>
      <c r="CBK80" s="406"/>
      <c r="CBL80" s="406"/>
      <c r="CBM80" s="406"/>
      <c r="CBN80" s="406"/>
      <c r="CBO80" s="406"/>
      <c r="CBP80" s="406"/>
      <c r="CBQ80" s="406"/>
      <c r="CBR80" s="406"/>
      <c r="CBS80" s="406"/>
      <c r="CBT80" s="406"/>
      <c r="CBU80" s="406"/>
      <c r="CBV80" s="406"/>
      <c r="CBW80" s="406"/>
      <c r="CBX80" s="406"/>
      <c r="CBY80" s="406"/>
      <c r="CBZ80" s="406"/>
      <c r="CCA80" s="406"/>
      <c r="CCB80" s="406"/>
      <c r="CCC80" s="406"/>
      <c r="CCD80" s="406"/>
      <c r="CCE80" s="406"/>
      <c r="CCF80" s="406"/>
      <c r="CCG80" s="406"/>
      <c r="CCH80" s="406"/>
      <c r="CCI80" s="406"/>
      <c r="CCJ80" s="406"/>
      <c r="CCK80" s="406"/>
      <c r="CCL80" s="406"/>
      <c r="CCM80" s="406"/>
      <c r="CCN80" s="406"/>
      <c r="CCO80" s="406"/>
      <c r="CCP80" s="406"/>
      <c r="CCQ80" s="406"/>
      <c r="CCR80" s="406"/>
      <c r="CCS80" s="406"/>
      <c r="CCT80" s="406"/>
      <c r="CCU80" s="406"/>
      <c r="CCV80" s="406"/>
      <c r="CCW80" s="406"/>
      <c r="CCX80" s="406"/>
      <c r="CCY80" s="406"/>
      <c r="CCZ80" s="406"/>
      <c r="CDA80" s="406"/>
      <c r="CDB80" s="406"/>
      <c r="CDC80" s="406"/>
      <c r="CDD80" s="406"/>
      <c r="CDE80" s="406"/>
      <c r="CDF80" s="406"/>
      <c r="CDG80" s="406"/>
      <c r="CDH80" s="406"/>
      <c r="CDI80" s="406"/>
      <c r="CDJ80" s="406"/>
      <c r="CDK80" s="406"/>
      <c r="CDL80" s="406"/>
      <c r="CDM80" s="406"/>
      <c r="CDN80" s="406"/>
      <c r="CDO80" s="406"/>
      <c r="CDP80" s="406"/>
      <c r="CDQ80" s="406"/>
      <c r="CDR80" s="406"/>
      <c r="CDS80" s="406"/>
      <c r="CDT80" s="406"/>
      <c r="CDU80" s="406"/>
      <c r="CDV80" s="406"/>
      <c r="CDW80" s="406"/>
      <c r="CDX80" s="406"/>
      <c r="CDY80" s="406"/>
      <c r="CDZ80" s="406"/>
      <c r="CEA80" s="406"/>
      <c r="CEB80" s="406"/>
      <c r="CEC80" s="406"/>
      <c r="CED80" s="406"/>
      <c r="CEE80" s="406"/>
      <c r="CEF80" s="406"/>
      <c r="CEG80" s="406"/>
      <c r="CEH80" s="406"/>
      <c r="CEI80" s="406"/>
      <c r="CEJ80" s="406"/>
      <c r="CEK80" s="406"/>
      <c r="CEL80" s="406"/>
      <c r="CEM80" s="406"/>
      <c r="CEN80" s="406"/>
      <c r="CEO80" s="406"/>
      <c r="CEP80" s="406"/>
      <c r="CEQ80" s="406"/>
      <c r="CER80" s="406"/>
      <c r="CES80" s="406"/>
      <c r="CET80" s="406"/>
      <c r="CEU80" s="406"/>
      <c r="CEV80" s="406"/>
      <c r="CEW80" s="406"/>
      <c r="CEX80" s="406"/>
      <c r="CEY80" s="406"/>
      <c r="CEZ80" s="406"/>
      <c r="CFA80" s="406"/>
      <c r="CFB80" s="406"/>
      <c r="CFC80" s="406"/>
      <c r="CFD80" s="406"/>
      <c r="CFE80" s="406"/>
      <c r="CFF80" s="406"/>
      <c r="CFG80" s="406"/>
      <c r="CFH80" s="406"/>
      <c r="CFI80" s="406"/>
      <c r="CFJ80" s="406"/>
      <c r="CFK80" s="406"/>
      <c r="CFL80" s="406"/>
      <c r="CFM80" s="406"/>
      <c r="CFN80" s="406"/>
      <c r="CFO80" s="406"/>
      <c r="CFP80" s="406"/>
      <c r="CFQ80" s="406"/>
      <c r="CFR80" s="406"/>
      <c r="CFS80" s="406"/>
      <c r="CFT80" s="406"/>
      <c r="CFU80" s="406"/>
      <c r="CFV80" s="406"/>
      <c r="CFW80" s="406"/>
      <c r="CFX80" s="406"/>
      <c r="CFY80" s="406"/>
      <c r="CFZ80" s="406"/>
      <c r="CGA80" s="406"/>
      <c r="CGB80" s="406"/>
      <c r="CGC80" s="406"/>
      <c r="CGD80" s="406"/>
      <c r="CGE80" s="406"/>
      <c r="CGF80" s="406"/>
      <c r="CGG80" s="406"/>
      <c r="CGH80" s="406"/>
      <c r="CGI80" s="406"/>
      <c r="CGJ80" s="406"/>
      <c r="CGK80" s="406"/>
      <c r="CGL80" s="406"/>
      <c r="CGM80" s="406"/>
      <c r="CGN80" s="406"/>
      <c r="CGO80" s="406"/>
      <c r="CGP80" s="406"/>
      <c r="CGQ80" s="406"/>
      <c r="CGR80" s="406"/>
      <c r="CGS80" s="406"/>
      <c r="CGT80" s="406"/>
      <c r="CGU80" s="406"/>
      <c r="CGV80" s="406"/>
      <c r="CGW80" s="406"/>
      <c r="CGX80" s="406"/>
      <c r="CGY80" s="406"/>
      <c r="CGZ80" s="406"/>
      <c r="CHA80" s="406"/>
      <c r="CHB80" s="406"/>
      <c r="CHC80" s="406"/>
      <c r="CHD80" s="406"/>
      <c r="CHE80" s="406"/>
      <c r="CHF80" s="406"/>
      <c r="CHG80" s="406"/>
      <c r="CHH80" s="406"/>
      <c r="CHI80" s="406"/>
      <c r="CHJ80" s="406"/>
      <c r="CHK80" s="406"/>
      <c r="CHL80" s="406"/>
      <c r="CHM80" s="406"/>
      <c r="CHN80" s="406"/>
      <c r="CHO80" s="406"/>
      <c r="CHP80" s="406"/>
      <c r="CHQ80" s="406"/>
      <c r="CHR80" s="406"/>
      <c r="CHS80" s="406"/>
      <c r="CHT80" s="406"/>
      <c r="CHU80" s="406"/>
      <c r="CHV80" s="406"/>
      <c r="CHW80" s="406"/>
      <c r="CHX80" s="406"/>
      <c r="CHY80" s="406"/>
      <c r="CHZ80" s="406"/>
      <c r="CIA80" s="406"/>
      <c r="CIB80" s="406"/>
      <c r="CIC80" s="406"/>
      <c r="CID80" s="406"/>
      <c r="CIE80" s="406"/>
      <c r="CIF80" s="406"/>
      <c r="CIG80" s="406"/>
      <c r="CIH80" s="406"/>
      <c r="CII80" s="406"/>
      <c r="CIJ80" s="406"/>
      <c r="CIK80" s="406"/>
      <c r="CIL80" s="406"/>
      <c r="CIM80" s="406"/>
      <c r="CIN80" s="406"/>
      <c r="CIO80" s="406"/>
      <c r="CIP80" s="406"/>
      <c r="CIQ80" s="406"/>
      <c r="CIR80" s="406"/>
      <c r="CIS80" s="406"/>
      <c r="CIT80" s="406"/>
      <c r="CIU80" s="406"/>
      <c r="CIV80" s="406"/>
      <c r="CIW80" s="406"/>
      <c r="CIX80" s="406"/>
      <c r="CIY80" s="406"/>
      <c r="CIZ80" s="406"/>
      <c r="CJA80" s="406"/>
      <c r="CJB80" s="406"/>
      <c r="CJC80" s="406"/>
      <c r="CJD80" s="406"/>
      <c r="CJE80" s="406"/>
      <c r="CJF80" s="406"/>
      <c r="CJG80" s="406"/>
      <c r="CJH80" s="406"/>
      <c r="CJI80" s="406"/>
      <c r="CJJ80" s="406"/>
      <c r="CJK80" s="406"/>
      <c r="CJL80" s="406"/>
      <c r="CJM80" s="406"/>
      <c r="CJN80" s="406"/>
      <c r="CJO80" s="406"/>
      <c r="CJP80" s="406"/>
      <c r="CJQ80" s="406"/>
      <c r="CJR80" s="406"/>
      <c r="CJS80" s="406"/>
      <c r="CJT80" s="406"/>
      <c r="CJU80" s="406"/>
      <c r="CJV80" s="406"/>
      <c r="CJW80" s="406"/>
      <c r="CJX80" s="406"/>
      <c r="CJY80" s="406"/>
      <c r="CJZ80" s="406"/>
      <c r="CKA80" s="406"/>
      <c r="CKB80" s="406"/>
      <c r="CKC80" s="406"/>
      <c r="CKD80" s="406"/>
      <c r="CKE80" s="406"/>
      <c r="CKF80" s="406"/>
      <c r="CKG80" s="406"/>
      <c r="CKH80" s="406"/>
      <c r="CKI80" s="406"/>
      <c r="CKJ80" s="406"/>
      <c r="CKK80" s="406"/>
      <c r="CKL80" s="406"/>
      <c r="CKM80" s="406"/>
      <c r="CKN80" s="406"/>
      <c r="CKO80" s="406"/>
      <c r="CKP80" s="406"/>
      <c r="CKQ80" s="406"/>
      <c r="CKR80" s="406"/>
      <c r="CKS80" s="406"/>
      <c r="CKT80" s="406"/>
      <c r="CKU80" s="406"/>
      <c r="CKV80" s="406"/>
      <c r="CKW80" s="406"/>
      <c r="CKX80" s="406"/>
      <c r="CKY80" s="406"/>
      <c r="CKZ80" s="406"/>
      <c r="CLA80" s="406"/>
      <c r="CLB80" s="406"/>
      <c r="CLC80" s="406"/>
      <c r="CLD80" s="406"/>
      <c r="CLE80" s="406"/>
      <c r="CLF80" s="406"/>
      <c r="CLG80" s="406"/>
      <c r="CLH80" s="406"/>
      <c r="CLI80" s="406"/>
      <c r="CLJ80" s="406"/>
      <c r="CLK80" s="406"/>
      <c r="CLL80" s="406"/>
      <c r="CLM80" s="406"/>
      <c r="CLN80" s="406"/>
      <c r="CLO80" s="406"/>
      <c r="CLP80" s="406"/>
      <c r="CLQ80" s="406"/>
      <c r="CLR80" s="406"/>
      <c r="CLS80" s="406"/>
      <c r="CLT80" s="406"/>
      <c r="CLU80" s="406"/>
      <c r="CLV80" s="406"/>
      <c r="CLW80" s="406"/>
      <c r="CLX80" s="406"/>
      <c r="CLY80" s="406"/>
      <c r="CLZ80" s="406"/>
      <c r="CMA80" s="406"/>
      <c r="CMB80" s="406"/>
      <c r="CMC80" s="406"/>
      <c r="CMD80" s="406"/>
      <c r="CME80" s="406"/>
      <c r="CMF80" s="406"/>
      <c r="CMG80" s="406"/>
      <c r="CMH80" s="406"/>
      <c r="CMI80" s="406"/>
      <c r="CMJ80" s="406"/>
      <c r="CMK80" s="406"/>
      <c r="CML80" s="406"/>
      <c r="CMM80" s="406"/>
      <c r="CMN80" s="406"/>
      <c r="CMO80" s="406"/>
      <c r="CMP80" s="406"/>
      <c r="CMQ80" s="406"/>
      <c r="CMR80" s="406"/>
      <c r="CMS80" s="406"/>
      <c r="CMT80" s="406"/>
      <c r="CMU80" s="406"/>
      <c r="CMV80" s="406"/>
      <c r="CMW80" s="406"/>
      <c r="CMX80" s="406"/>
      <c r="CMY80" s="406"/>
      <c r="CMZ80" s="406"/>
      <c r="CNA80" s="406"/>
      <c r="CNB80" s="406"/>
      <c r="CNC80" s="406"/>
      <c r="CND80" s="406"/>
      <c r="CNE80" s="406"/>
      <c r="CNF80" s="406"/>
      <c r="CNG80" s="406"/>
      <c r="CNH80" s="406"/>
      <c r="CNI80" s="406"/>
      <c r="CNJ80" s="406"/>
      <c r="CNK80" s="406"/>
      <c r="CNL80" s="406"/>
      <c r="CNM80" s="406"/>
      <c r="CNN80" s="406"/>
      <c r="CNO80" s="406"/>
      <c r="CNP80" s="406"/>
      <c r="CNQ80" s="406"/>
      <c r="CNR80" s="406"/>
      <c r="CNS80" s="406"/>
      <c r="CNT80" s="406"/>
      <c r="CNU80" s="406"/>
      <c r="CNV80" s="406"/>
      <c r="CNW80" s="406"/>
      <c r="CNX80" s="406"/>
      <c r="CNY80" s="406"/>
      <c r="CNZ80" s="406"/>
      <c r="COA80" s="406"/>
      <c r="COB80" s="406"/>
      <c r="COC80" s="406"/>
      <c r="COD80" s="406"/>
      <c r="COE80" s="406"/>
      <c r="COF80" s="406"/>
      <c r="COG80" s="406"/>
      <c r="COH80" s="406"/>
      <c r="COI80" s="406"/>
      <c r="COJ80" s="406"/>
      <c r="COK80" s="406"/>
      <c r="COL80" s="406"/>
      <c r="COM80" s="406"/>
      <c r="CON80" s="406"/>
      <c r="COO80" s="406"/>
      <c r="COP80" s="406"/>
      <c r="COQ80" s="406"/>
      <c r="COR80" s="406"/>
      <c r="COS80" s="406"/>
      <c r="COT80" s="406"/>
      <c r="COU80" s="406"/>
      <c r="COV80" s="406"/>
      <c r="COW80" s="406"/>
      <c r="COX80" s="406"/>
      <c r="COY80" s="406"/>
      <c r="COZ80" s="406"/>
      <c r="CPA80" s="406"/>
      <c r="CPB80" s="406"/>
      <c r="CPC80" s="406"/>
      <c r="CPD80" s="406"/>
      <c r="CPE80" s="406"/>
      <c r="CPF80" s="406"/>
      <c r="CPG80" s="406"/>
      <c r="CPH80" s="406"/>
      <c r="CPI80" s="406"/>
      <c r="CPJ80" s="406"/>
      <c r="CPK80" s="406"/>
      <c r="CPL80" s="406"/>
      <c r="CPM80" s="406"/>
      <c r="CPN80" s="406"/>
      <c r="CPO80" s="406"/>
      <c r="CPP80" s="406"/>
      <c r="CPQ80" s="406"/>
      <c r="CPR80" s="406"/>
      <c r="CPS80" s="406"/>
      <c r="CPT80" s="406"/>
      <c r="CPU80" s="406"/>
      <c r="CPV80" s="406"/>
      <c r="CPW80" s="406"/>
      <c r="CPX80" s="406"/>
      <c r="CPY80" s="406"/>
      <c r="CPZ80" s="406"/>
      <c r="CQA80" s="406"/>
      <c r="CQB80" s="406"/>
      <c r="CQC80" s="406"/>
      <c r="CQD80" s="406"/>
      <c r="CQE80" s="406"/>
      <c r="CQF80" s="406"/>
      <c r="CQG80" s="406"/>
      <c r="CQH80" s="406"/>
      <c r="CQI80" s="406"/>
      <c r="CQJ80" s="406"/>
      <c r="CQK80" s="406"/>
      <c r="CQL80" s="406"/>
      <c r="CQM80" s="406"/>
      <c r="CQN80" s="406"/>
      <c r="CQO80" s="406"/>
      <c r="CQP80" s="406"/>
      <c r="CQQ80" s="406"/>
      <c r="CQR80" s="406"/>
      <c r="CQS80" s="406"/>
      <c r="CQT80" s="406"/>
      <c r="CQU80" s="406"/>
      <c r="CQV80" s="406"/>
      <c r="CQW80" s="406"/>
      <c r="CQX80" s="406"/>
      <c r="CQY80" s="406"/>
      <c r="CQZ80" s="406"/>
      <c r="CRA80" s="406"/>
      <c r="CRB80" s="406"/>
      <c r="CRC80" s="406"/>
      <c r="CRD80" s="406"/>
      <c r="CRE80" s="406"/>
      <c r="CRF80" s="406"/>
      <c r="CRG80" s="406"/>
      <c r="CRH80" s="406"/>
      <c r="CRI80" s="406"/>
      <c r="CRJ80" s="406"/>
      <c r="CRK80" s="406"/>
      <c r="CRL80" s="406"/>
      <c r="CRM80" s="406"/>
      <c r="CRN80" s="406"/>
      <c r="CRO80" s="406"/>
      <c r="CRP80" s="406"/>
      <c r="CRQ80" s="406"/>
      <c r="CRR80" s="406"/>
      <c r="CRS80" s="406"/>
      <c r="CRT80" s="406"/>
      <c r="CRU80" s="406"/>
      <c r="CRV80" s="406"/>
      <c r="CRW80" s="406"/>
      <c r="CRX80" s="406"/>
      <c r="CRY80" s="406"/>
      <c r="CRZ80" s="406"/>
      <c r="CSA80" s="406"/>
      <c r="CSB80" s="406"/>
      <c r="CSC80" s="406"/>
      <c r="CSD80" s="406"/>
      <c r="CSE80" s="406"/>
      <c r="CSF80" s="406"/>
      <c r="CSG80" s="406"/>
      <c r="CSH80" s="406"/>
      <c r="CSI80" s="406"/>
      <c r="CSJ80" s="406"/>
      <c r="CSK80" s="406"/>
      <c r="CSL80" s="406"/>
      <c r="CSM80" s="406"/>
      <c r="CSN80" s="406"/>
      <c r="CSO80" s="406"/>
      <c r="CSP80" s="406"/>
      <c r="CSQ80" s="406"/>
      <c r="CSR80" s="406"/>
      <c r="CSS80" s="406"/>
      <c r="CST80" s="406"/>
      <c r="CSU80" s="406"/>
      <c r="CSV80" s="406"/>
      <c r="CSW80" s="406"/>
      <c r="CSX80" s="406"/>
      <c r="CSY80" s="406"/>
      <c r="CSZ80" s="406"/>
      <c r="CTA80" s="406"/>
      <c r="CTB80" s="406"/>
      <c r="CTC80" s="406"/>
      <c r="CTD80" s="406"/>
      <c r="CTE80" s="406"/>
      <c r="CTF80" s="406"/>
      <c r="CTG80" s="406"/>
      <c r="CTH80" s="406"/>
      <c r="CTI80" s="406"/>
      <c r="CTJ80" s="406"/>
      <c r="CTK80" s="406"/>
      <c r="CTL80" s="406"/>
      <c r="CTM80" s="406"/>
      <c r="CTN80" s="406"/>
      <c r="CTO80" s="406"/>
      <c r="CTP80" s="406"/>
      <c r="CTQ80" s="406"/>
      <c r="CTR80" s="406"/>
      <c r="CTS80" s="406"/>
      <c r="CTT80" s="406"/>
      <c r="CTU80" s="406"/>
      <c r="CTV80" s="406"/>
      <c r="CTW80" s="406"/>
      <c r="CTX80" s="406"/>
      <c r="CTY80" s="406"/>
      <c r="CTZ80" s="406"/>
      <c r="CUA80" s="406"/>
      <c r="CUB80" s="406"/>
      <c r="CUC80" s="406"/>
      <c r="CUD80" s="406"/>
      <c r="CUE80" s="406"/>
      <c r="CUF80" s="406"/>
      <c r="CUG80" s="406"/>
      <c r="CUH80" s="406"/>
      <c r="CUI80" s="406"/>
      <c r="CUJ80" s="406"/>
      <c r="CUK80" s="406"/>
      <c r="CUL80" s="406"/>
      <c r="CUM80" s="406"/>
      <c r="CUN80" s="406"/>
      <c r="CUO80" s="406"/>
      <c r="CUP80" s="406"/>
      <c r="CUQ80" s="406"/>
      <c r="CUR80" s="406"/>
      <c r="CUS80" s="406"/>
      <c r="CUT80" s="406"/>
      <c r="CUU80" s="406"/>
      <c r="CUV80" s="406"/>
      <c r="CUW80" s="406"/>
      <c r="CUX80" s="406"/>
      <c r="CUY80" s="406"/>
      <c r="CUZ80" s="406"/>
      <c r="CVA80" s="406"/>
      <c r="CVB80" s="406"/>
      <c r="CVC80" s="406"/>
      <c r="CVD80" s="406"/>
      <c r="CVE80" s="406"/>
      <c r="CVF80" s="406"/>
      <c r="CVG80" s="406"/>
      <c r="CVH80" s="406"/>
      <c r="CVI80" s="406"/>
      <c r="CVJ80" s="406"/>
      <c r="CVK80" s="406"/>
      <c r="CVL80" s="406"/>
      <c r="CVM80" s="406"/>
      <c r="CVN80" s="406"/>
      <c r="CVO80" s="406"/>
      <c r="CVP80" s="406"/>
      <c r="CVQ80" s="406"/>
      <c r="CVR80" s="406"/>
      <c r="CVS80" s="406"/>
      <c r="CVT80" s="406"/>
      <c r="CVU80" s="406"/>
      <c r="CVV80" s="406"/>
      <c r="CVW80" s="406"/>
      <c r="CVX80" s="406"/>
      <c r="CVY80" s="406"/>
      <c r="CVZ80" s="406"/>
      <c r="CWA80" s="406"/>
      <c r="CWB80" s="406"/>
      <c r="CWC80" s="406"/>
      <c r="CWD80" s="406"/>
      <c r="CWE80" s="406"/>
      <c r="CWF80" s="406"/>
      <c r="CWG80" s="406"/>
      <c r="CWH80" s="406"/>
      <c r="CWI80" s="406"/>
      <c r="CWJ80" s="406"/>
      <c r="CWK80" s="406"/>
      <c r="CWL80" s="406"/>
      <c r="CWM80" s="406"/>
      <c r="CWN80" s="406"/>
      <c r="CWO80" s="406"/>
      <c r="CWP80" s="406"/>
      <c r="CWQ80" s="406"/>
      <c r="CWR80" s="406"/>
      <c r="CWS80" s="406"/>
      <c r="CWT80" s="406"/>
      <c r="CWU80" s="406"/>
      <c r="CWV80" s="406"/>
      <c r="CWW80" s="406"/>
      <c r="CWX80" s="406"/>
      <c r="CWY80" s="406"/>
      <c r="CWZ80" s="406"/>
      <c r="CXA80" s="406"/>
      <c r="CXB80" s="406"/>
      <c r="CXC80" s="406"/>
      <c r="CXD80" s="406"/>
      <c r="CXE80" s="406"/>
      <c r="CXF80" s="406"/>
      <c r="CXG80" s="406"/>
      <c r="CXH80" s="406"/>
      <c r="CXI80" s="406"/>
      <c r="CXJ80" s="406"/>
      <c r="CXK80" s="406"/>
      <c r="CXL80" s="406"/>
      <c r="CXM80" s="406"/>
      <c r="CXN80" s="406"/>
      <c r="CXO80" s="406"/>
      <c r="CXP80" s="406"/>
      <c r="CXQ80" s="406"/>
      <c r="CXR80" s="406"/>
      <c r="CXS80" s="406"/>
      <c r="CXT80" s="406"/>
      <c r="CXU80" s="406"/>
      <c r="CXV80" s="406"/>
      <c r="CXW80" s="406"/>
      <c r="CXX80" s="406"/>
      <c r="CXY80" s="406"/>
      <c r="CXZ80" s="406"/>
      <c r="CYA80" s="406"/>
      <c r="CYB80" s="406"/>
      <c r="CYC80" s="406"/>
      <c r="CYD80" s="406"/>
      <c r="CYE80" s="406"/>
      <c r="CYF80" s="406"/>
      <c r="CYG80" s="406"/>
      <c r="CYH80" s="406"/>
      <c r="CYI80" s="406"/>
      <c r="CYJ80" s="406"/>
      <c r="CYK80" s="406"/>
      <c r="CYL80" s="406"/>
      <c r="CYM80" s="406"/>
      <c r="CYN80" s="406"/>
      <c r="CYO80" s="406"/>
      <c r="CYP80" s="406"/>
      <c r="CYQ80" s="406"/>
      <c r="CYR80" s="406"/>
      <c r="CYS80" s="406"/>
      <c r="CYT80" s="406"/>
      <c r="CYU80" s="406"/>
      <c r="CYV80" s="406"/>
      <c r="CYW80" s="406"/>
      <c r="CYX80" s="406"/>
      <c r="CYY80" s="406"/>
      <c r="CYZ80" s="406"/>
      <c r="CZA80" s="406"/>
      <c r="CZB80" s="406"/>
      <c r="CZC80" s="406"/>
      <c r="CZD80" s="406"/>
      <c r="CZE80" s="406"/>
      <c r="CZF80" s="406"/>
      <c r="CZG80" s="406"/>
      <c r="CZH80" s="406"/>
      <c r="CZI80" s="406"/>
      <c r="CZJ80" s="406"/>
      <c r="CZK80" s="406"/>
      <c r="CZL80" s="406"/>
      <c r="CZM80" s="406"/>
      <c r="CZN80" s="406"/>
      <c r="CZO80" s="406"/>
      <c r="CZP80" s="406"/>
      <c r="CZQ80" s="406"/>
      <c r="CZR80" s="406"/>
      <c r="CZS80" s="406"/>
      <c r="CZT80" s="406"/>
      <c r="CZU80" s="406"/>
      <c r="CZV80" s="406"/>
      <c r="CZW80" s="406"/>
      <c r="CZX80" s="406"/>
      <c r="CZY80" s="406"/>
      <c r="CZZ80" s="406"/>
      <c r="DAA80" s="406"/>
      <c r="DAB80" s="406"/>
      <c r="DAC80" s="406"/>
      <c r="DAD80" s="406"/>
      <c r="DAE80" s="406"/>
      <c r="DAF80" s="406"/>
      <c r="DAG80" s="406"/>
      <c r="DAH80" s="406"/>
      <c r="DAI80" s="406"/>
      <c r="DAJ80" s="406"/>
      <c r="DAK80" s="406"/>
      <c r="DAL80" s="406"/>
      <c r="DAM80" s="406"/>
      <c r="DAN80" s="406"/>
      <c r="DAO80" s="406"/>
      <c r="DAP80" s="406"/>
      <c r="DAQ80" s="406"/>
      <c r="DAR80" s="406"/>
      <c r="DAS80" s="406"/>
      <c r="DAT80" s="406"/>
      <c r="DAU80" s="406"/>
      <c r="DAV80" s="406"/>
      <c r="DAW80" s="406"/>
      <c r="DAX80" s="406"/>
      <c r="DAY80" s="406"/>
      <c r="DAZ80" s="406"/>
      <c r="DBA80" s="406"/>
      <c r="DBB80" s="406"/>
      <c r="DBC80" s="406"/>
      <c r="DBD80" s="406"/>
      <c r="DBE80" s="406"/>
      <c r="DBF80" s="406"/>
      <c r="DBG80" s="406"/>
      <c r="DBH80" s="406"/>
      <c r="DBI80" s="406"/>
      <c r="DBJ80" s="406"/>
      <c r="DBK80" s="406"/>
      <c r="DBL80" s="406"/>
      <c r="DBM80" s="406"/>
      <c r="DBN80" s="406"/>
      <c r="DBO80" s="406"/>
      <c r="DBP80" s="406"/>
      <c r="DBQ80" s="406"/>
      <c r="DBR80" s="406"/>
      <c r="DBS80" s="406"/>
      <c r="DBT80" s="406"/>
      <c r="DBU80" s="406"/>
      <c r="DBV80" s="406"/>
      <c r="DBW80" s="406"/>
      <c r="DBX80" s="406"/>
      <c r="DBY80" s="406"/>
      <c r="DBZ80" s="406"/>
      <c r="DCA80" s="406"/>
      <c r="DCB80" s="406"/>
      <c r="DCC80" s="406"/>
      <c r="DCD80" s="406"/>
      <c r="DCE80" s="406"/>
      <c r="DCF80" s="406"/>
      <c r="DCG80" s="406"/>
      <c r="DCH80" s="406"/>
      <c r="DCI80" s="406"/>
      <c r="DCJ80" s="406"/>
      <c r="DCK80" s="406"/>
      <c r="DCL80" s="406"/>
      <c r="DCM80" s="406"/>
      <c r="DCN80" s="406"/>
      <c r="DCO80" s="406"/>
      <c r="DCP80" s="406"/>
      <c r="DCQ80" s="406"/>
      <c r="DCR80" s="406"/>
      <c r="DCS80" s="406"/>
      <c r="DCT80" s="406"/>
      <c r="DCU80" s="406"/>
      <c r="DCV80" s="406"/>
      <c r="DCW80" s="406"/>
      <c r="DCX80" s="406"/>
      <c r="DCY80" s="406"/>
      <c r="DCZ80" s="406"/>
      <c r="DDA80" s="406"/>
      <c r="DDB80" s="406"/>
      <c r="DDC80" s="406"/>
      <c r="DDD80" s="406"/>
      <c r="DDE80" s="406"/>
      <c r="DDF80" s="406"/>
      <c r="DDG80" s="406"/>
      <c r="DDH80" s="406"/>
      <c r="DDI80" s="406"/>
      <c r="DDJ80" s="406"/>
      <c r="DDK80" s="406"/>
      <c r="DDL80" s="406"/>
      <c r="DDM80" s="406"/>
      <c r="DDN80" s="406"/>
      <c r="DDO80" s="406"/>
      <c r="DDP80" s="406"/>
      <c r="DDQ80" s="406"/>
      <c r="DDR80" s="406"/>
      <c r="DDS80" s="406"/>
      <c r="DDT80" s="406"/>
      <c r="DDU80" s="406"/>
      <c r="DDV80" s="406"/>
      <c r="DDW80" s="406"/>
      <c r="DDX80" s="406"/>
      <c r="DDY80" s="406"/>
      <c r="DDZ80" s="406"/>
      <c r="DEA80" s="406"/>
      <c r="DEB80" s="406"/>
      <c r="DEC80" s="406"/>
      <c r="DED80" s="406"/>
      <c r="DEE80" s="406"/>
      <c r="DEF80" s="406"/>
      <c r="DEG80" s="406"/>
      <c r="DEH80" s="406"/>
      <c r="DEI80" s="406"/>
      <c r="DEJ80" s="406"/>
      <c r="DEK80" s="406"/>
      <c r="DEL80" s="406"/>
      <c r="DEM80" s="406"/>
      <c r="DEN80" s="406"/>
      <c r="DEO80" s="406"/>
      <c r="DEP80" s="406"/>
      <c r="DEQ80" s="406"/>
      <c r="DER80" s="406"/>
      <c r="DES80" s="406"/>
      <c r="DET80" s="406"/>
      <c r="DEU80" s="406"/>
      <c r="DEV80" s="406"/>
      <c r="DEW80" s="406"/>
      <c r="DEX80" s="406"/>
      <c r="DEY80" s="406"/>
      <c r="DEZ80" s="406"/>
      <c r="DFA80" s="406"/>
      <c r="DFB80" s="406"/>
      <c r="DFC80" s="406"/>
      <c r="DFD80" s="406"/>
      <c r="DFE80" s="406"/>
      <c r="DFF80" s="406"/>
      <c r="DFG80" s="406"/>
      <c r="DFH80" s="406"/>
      <c r="DFI80" s="406"/>
      <c r="DFJ80" s="406"/>
      <c r="DFK80" s="406"/>
      <c r="DFL80" s="406"/>
      <c r="DFM80" s="406"/>
      <c r="DFN80" s="406"/>
      <c r="DFO80" s="406"/>
      <c r="DFP80" s="406"/>
      <c r="DFQ80" s="406"/>
      <c r="DFR80" s="406"/>
      <c r="DFS80" s="406"/>
      <c r="DFT80" s="406"/>
      <c r="DFU80" s="406"/>
      <c r="DFV80" s="406"/>
      <c r="DFW80" s="406"/>
      <c r="DFX80" s="406"/>
      <c r="DFY80" s="406"/>
      <c r="DFZ80" s="406"/>
      <c r="DGA80" s="406"/>
      <c r="DGB80" s="406"/>
      <c r="DGC80" s="406"/>
      <c r="DGD80" s="406"/>
      <c r="DGE80" s="406"/>
      <c r="DGF80" s="406"/>
      <c r="DGG80" s="406"/>
      <c r="DGH80" s="406"/>
      <c r="DGI80" s="406"/>
      <c r="DGJ80" s="406"/>
      <c r="DGK80" s="406"/>
      <c r="DGL80" s="406"/>
      <c r="DGM80" s="406"/>
      <c r="DGN80" s="406"/>
      <c r="DGO80" s="406"/>
      <c r="DGP80" s="406"/>
      <c r="DGQ80" s="406"/>
      <c r="DGR80" s="406"/>
      <c r="DGS80" s="406"/>
      <c r="DGT80" s="406"/>
      <c r="DGU80" s="406"/>
      <c r="DGV80" s="406"/>
      <c r="DGW80" s="406"/>
      <c r="DGX80" s="406"/>
      <c r="DGY80" s="406"/>
      <c r="DGZ80" s="406"/>
      <c r="DHA80" s="406"/>
      <c r="DHB80" s="406"/>
      <c r="DHC80" s="406"/>
      <c r="DHD80" s="406"/>
      <c r="DHE80" s="406"/>
      <c r="DHF80" s="406"/>
      <c r="DHG80" s="406"/>
      <c r="DHH80" s="406"/>
      <c r="DHI80" s="406"/>
      <c r="DHJ80" s="406"/>
      <c r="DHK80" s="406"/>
      <c r="DHL80" s="406"/>
      <c r="DHM80" s="406"/>
      <c r="DHN80" s="406"/>
      <c r="DHO80" s="406"/>
      <c r="DHP80" s="406"/>
      <c r="DHQ80" s="406"/>
      <c r="DHR80" s="406"/>
      <c r="DHS80" s="406"/>
      <c r="DHT80" s="406"/>
      <c r="DHU80" s="406"/>
      <c r="DHV80" s="406"/>
      <c r="DHW80" s="406"/>
      <c r="DHX80" s="406"/>
      <c r="DHY80" s="406"/>
      <c r="DHZ80" s="406"/>
      <c r="DIA80" s="406"/>
      <c r="DIB80" s="406"/>
      <c r="DIC80" s="406"/>
      <c r="DID80" s="406"/>
      <c r="DIE80" s="406"/>
      <c r="DIF80" s="406"/>
      <c r="DIG80" s="406"/>
      <c r="DIH80" s="406"/>
      <c r="DII80" s="406"/>
      <c r="DIJ80" s="406"/>
      <c r="DIK80" s="406"/>
      <c r="DIL80" s="406"/>
      <c r="DIM80" s="406"/>
      <c r="DIN80" s="406"/>
      <c r="DIO80" s="406"/>
      <c r="DIP80" s="406"/>
      <c r="DIQ80" s="406"/>
      <c r="DIR80" s="406"/>
      <c r="DIS80" s="406"/>
      <c r="DIT80" s="406"/>
      <c r="DIU80" s="406"/>
      <c r="DIV80" s="406"/>
      <c r="DIW80" s="406"/>
      <c r="DIX80" s="406"/>
      <c r="DIY80" s="406"/>
      <c r="DIZ80" s="406"/>
      <c r="DJA80" s="406"/>
      <c r="DJB80" s="406"/>
      <c r="DJC80" s="406"/>
      <c r="DJD80" s="406"/>
      <c r="DJE80" s="406"/>
      <c r="DJF80" s="406"/>
      <c r="DJG80" s="406"/>
      <c r="DJH80" s="406"/>
      <c r="DJI80" s="406"/>
      <c r="DJJ80" s="406"/>
      <c r="DJK80" s="406"/>
      <c r="DJL80" s="406"/>
      <c r="DJM80" s="406"/>
      <c r="DJN80" s="406"/>
      <c r="DJO80" s="406"/>
      <c r="DJP80" s="406"/>
      <c r="DJQ80" s="406"/>
      <c r="DJR80" s="406"/>
      <c r="DJS80" s="406"/>
      <c r="DJT80" s="406"/>
      <c r="DJU80" s="406"/>
      <c r="DJV80" s="406"/>
      <c r="DJW80" s="406"/>
      <c r="DJX80" s="406"/>
      <c r="DJY80" s="406"/>
      <c r="DJZ80" s="406"/>
      <c r="DKA80" s="406"/>
      <c r="DKB80" s="406"/>
      <c r="DKC80" s="406"/>
      <c r="DKD80" s="406"/>
      <c r="DKE80" s="406"/>
      <c r="DKF80" s="406"/>
      <c r="DKG80" s="406"/>
      <c r="DKH80" s="406"/>
      <c r="DKI80" s="406"/>
      <c r="DKJ80" s="406"/>
      <c r="DKK80" s="406"/>
      <c r="DKL80" s="406"/>
      <c r="DKM80" s="406"/>
      <c r="DKN80" s="406"/>
      <c r="DKO80" s="406"/>
      <c r="DKP80" s="406"/>
      <c r="DKQ80" s="406"/>
      <c r="DKR80" s="406"/>
      <c r="DKS80" s="406"/>
      <c r="DKT80" s="406"/>
      <c r="DKU80" s="406"/>
      <c r="DKV80" s="406"/>
      <c r="DKW80" s="406"/>
      <c r="DKX80" s="406"/>
      <c r="DKY80" s="406"/>
      <c r="DKZ80" s="406"/>
      <c r="DLA80" s="406"/>
      <c r="DLB80" s="406"/>
      <c r="DLC80" s="406"/>
      <c r="DLD80" s="406"/>
      <c r="DLE80" s="406"/>
      <c r="DLF80" s="406"/>
      <c r="DLG80" s="406"/>
      <c r="DLH80" s="406"/>
      <c r="DLI80" s="406"/>
      <c r="DLJ80" s="406"/>
      <c r="DLK80" s="406"/>
      <c r="DLL80" s="406"/>
      <c r="DLM80" s="406"/>
      <c r="DLN80" s="406"/>
      <c r="DLO80" s="406"/>
      <c r="DLP80" s="406"/>
      <c r="DLQ80" s="406"/>
      <c r="DLR80" s="406"/>
      <c r="DLS80" s="406"/>
      <c r="DLT80" s="406"/>
      <c r="DLU80" s="406"/>
      <c r="DLV80" s="406"/>
      <c r="DLW80" s="406"/>
      <c r="DLX80" s="406"/>
      <c r="DLY80" s="406"/>
      <c r="DLZ80" s="406"/>
      <c r="DMA80" s="406"/>
      <c r="DMB80" s="406"/>
      <c r="DMC80" s="406"/>
      <c r="DMD80" s="406"/>
      <c r="DME80" s="406"/>
      <c r="DMF80" s="406"/>
      <c r="DMG80" s="406"/>
      <c r="DMH80" s="406"/>
      <c r="DMI80" s="406"/>
      <c r="DMJ80" s="406"/>
      <c r="DMK80" s="406"/>
      <c r="DML80" s="406"/>
      <c r="DMM80" s="406"/>
      <c r="DMN80" s="406"/>
      <c r="DMO80" s="406"/>
      <c r="DMP80" s="406"/>
      <c r="DMQ80" s="406"/>
      <c r="DMR80" s="406"/>
      <c r="DMS80" s="406"/>
      <c r="DMT80" s="406"/>
      <c r="DMU80" s="406"/>
      <c r="DMV80" s="406"/>
      <c r="DMW80" s="406"/>
      <c r="DMX80" s="406"/>
      <c r="DMY80" s="406"/>
      <c r="DMZ80" s="406"/>
      <c r="DNA80" s="406"/>
      <c r="DNB80" s="406"/>
      <c r="DNC80" s="406"/>
      <c r="DND80" s="406"/>
      <c r="DNE80" s="406"/>
      <c r="DNF80" s="406"/>
      <c r="DNG80" s="406"/>
      <c r="DNH80" s="406"/>
      <c r="DNI80" s="406"/>
      <c r="DNJ80" s="406"/>
      <c r="DNK80" s="406"/>
      <c r="DNL80" s="406"/>
      <c r="DNM80" s="406"/>
      <c r="DNN80" s="406"/>
      <c r="DNO80" s="406"/>
      <c r="DNP80" s="406"/>
      <c r="DNQ80" s="406"/>
      <c r="DNR80" s="406"/>
      <c r="DNS80" s="406"/>
      <c r="DNT80" s="406"/>
      <c r="DNU80" s="406"/>
      <c r="DNV80" s="406"/>
      <c r="DNW80" s="406"/>
      <c r="DNX80" s="406"/>
      <c r="DNY80" s="406"/>
      <c r="DNZ80" s="406"/>
      <c r="DOA80" s="406"/>
      <c r="DOB80" s="406"/>
      <c r="DOC80" s="406"/>
      <c r="DOD80" s="406"/>
      <c r="DOE80" s="406"/>
      <c r="DOF80" s="406"/>
      <c r="DOG80" s="406"/>
      <c r="DOH80" s="406"/>
      <c r="DOI80" s="406"/>
      <c r="DOJ80" s="406"/>
      <c r="DOK80" s="406"/>
      <c r="DOL80" s="406"/>
      <c r="DOM80" s="406"/>
      <c r="DON80" s="406"/>
      <c r="DOO80" s="406"/>
      <c r="DOP80" s="406"/>
      <c r="DOQ80" s="406"/>
      <c r="DOR80" s="406"/>
      <c r="DOS80" s="406"/>
      <c r="DOT80" s="406"/>
      <c r="DOU80" s="406"/>
      <c r="DOV80" s="406"/>
      <c r="DOW80" s="406"/>
      <c r="DOX80" s="406"/>
      <c r="DOY80" s="406"/>
      <c r="DOZ80" s="406"/>
      <c r="DPA80" s="406"/>
      <c r="DPB80" s="406"/>
      <c r="DPC80" s="406"/>
      <c r="DPD80" s="406"/>
      <c r="DPE80" s="406"/>
      <c r="DPF80" s="406"/>
      <c r="DPG80" s="406"/>
      <c r="DPH80" s="406"/>
      <c r="DPI80" s="406"/>
      <c r="DPJ80" s="406"/>
      <c r="DPK80" s="406"/>
      <c r="DPL80" s="406"/>
      <c r="DPM80" s="406"/>
      <c r="DPN80" s="406"/>
      <c r="DPO80" s="406"/>
      <c r="DPP80" s="406"/>
      <c r="DPQ80" s="406"/>
      <c r="DPR80" s="406"/>
      <c r="DPS80" s="406"/>
      <c r="DPT80" s="406"/>
      <c r="DPU80" s="406"/>
      <c r="DPV80" s="406"/>
      <c r="DPW80" s="406"/>
      <c r="DPX80" s="406"/>
      <c r="DPY80" s="406"/>
      <c r="DPZ80" s="406"/>
      <c r="DQA80" s="406"/>
      <c r="DQB80" s="406"/>
      <c r="DQC80" s="406"/>
      <c r="DQD80" s="406"/>
      <c r="DQE80" s="406"/>
      <c r="DQF80" s="406"/>
      <c r="DQG80" s="406"/>
      <c r="DQH80" s="406"/>
      <c r="DQI80" s="406"/>
      <c r="DQJ80" s="406"/>
      <c r="DQK80" s="406"/>
      <c r="DQL80" s="406"/>
      <c r="DQM80" s="406"/>
      <c r="DQN80" s="406"/>
      <c r="DQO80" s="406"/>
      <c r="DQP80" s="406"/>
      <c r="DQQ80" s="406"/>
      <c r="DQR80" s="406"/>
      <c r="DQS80" s="406"/>
      <c r="DQT80" s="406"/>
      <c r="DQU80" s="406"/>
      <c r="DQV80" s="406"/>
      <c r="DQW80" s="406"/>
      <c r="DQX80" s="406"/>
      <c r="DQY80" s="406"/>
      <c r="DQZ80" s="406"/>
      <c r="DRA80" s="406"/>
      <c r="DRB80" s="406"/>
      <c r="DRC80" s="406"/>
      <c r="DRD80" s="406"/>
      <c r="DRE80" s="406"/>
      <c r="DRF80" s="406"/>
      <c r="DRG80" s="406"/>
      <c r="DRH80" s="406"/>
      <c r="DRI80" s="406"/>
      <c r="DRJ80" s="406"/>
      <c r="DRK80" s="406"/>
      <c r="DRL80" s="406"/>
      <c r="DRM80" s="406"/>
      <c r="DRN80" s="406"/>
      <c r="DRO80" s="406"/>
      <c r="DRP80" s="406"/>
      <c r="DRQ80" s="406"/>
      <c r="DRR80" s="406"/>
      <c r="DRS80" s="406"/>
      <c r="DRT80" s="406"/>
      <c r="DRU80" s="406"/>
      <c r="DRV80" s="406"/>
      <c r="DRW80" s="406"/>
      <c r="DRX80" s="406"/>
      <c r="DRY80" s="406"/>
      <c r="DRZ80" s="406"/>
      <c r="DSA80" s="406"/>
      <c r="DSB80" s="406"/>
      <c r="DSC80" s="406"/>
      <c r="DSD80" s="406"/>
      <c r="DSE80" s="406"/>
      <c r="DSF80" s="406"/>
      <c r="DSG80" s="406"/>
      <c r="DSH80" s="406"/>
      <c r="DSI80" s="406"/>
      <c r="DSJ80" s="406"/>
      <c r="DSK80" s="406"/>
      <c r="DSL80" s="406"/>
      <c r="DSM80" s="406"/>
      <c r="DSN80" s="406"/>
      <c r="DSO80" s="406"/>
      <c r="DSP80" s="406"/>
      <c r="DSQ80" s="406"/>
      <c r="DSR80" s="406"/>
      <c r="DSS80" s="406"/>
      <c r="DST80" s="406"/>
      <c r="DSU80" s="406"/>
      <c r="DSV80" s="406"/>
      <c r="DSW80" s="406"/>
      <c r="DSX80" s="406"/>
      <c r="DSY80" s="406"/>
      <c r="DSZ80" s="406"/>
      <c r="DTA80" s="406"/>
      <c r="DTB80" s="406"/>
      <c r="DTC80" s="406"/>
      <c r="DTD80" s="406"/>
      <c r="DTE80" s="406"/>
      <c r="DTF80" s="406"/>
      <c r="DTG80" s="406"/>
      <c r="DTH80" s="406"/>
      <c r="DTI80" s="406"/>
      <c r="DTJ80" s="406"/>
      <c r="DTK80" s="406"/>
      <c r="DTL80" s="406"/>
      <c r="DTM80" s="406"/>
      <c r="DTN80" s="406"/>
      <c r="DTO80" s="406"/>
      <c r="DTP80" s="406"/>
      <c r="DTQ80" s="406"/>
      <c r="DTR80" s="406"/>
      <c r="DTS80" s="406"/>
      <c r="DTT80" s="406"/>
      <c r="DTU80" s="406"/>
      <c r="DTV80" s="406"/>
      <c r="DTW80" s="406"/>
      <c r="DTX80" s="406"/>
      <c r="DTY80" s="406"/>
      <c r="DTZ80" s="406"/>
      <c r="DUA80" s="406"/>
      <c r="DUB80" s="406"/>
      <c r="DUC80" s="406"/>
      <c r="DUD80" s="406"/>
      <c r="DUE80" s="406"/>
      <c r="DUF80" s="406"/>
      <c r="DUG80" s="406"/>
      <c r="DUH80" s="406"/>
      <c r="DUI80" s="406"/>
      <c r="DUJ80" s="406"/>
      <c r="DUK80" s="406"/>
      <c r="DUL80" s="406"/>
      <c r="DUM80" s="406"/>
      <c r="DUN80" s="406"/>
      <c r="DUO80" s="406"/>
      <c r="DUP80" s="406"/>
      <c r="DUQ80" s="406"/>
      <c r="DUR80" s="406"/>
      <c r="DUS80" s="406"/>
      <c r="DUT80" s="406"/>
      <c r="DUU80" s="406"/>
      <c r="DUV80" s="406"/>
      <c r="DUW80" s="406"/>
      <c r="DUX80" s="406"/>
      <c r="DUY80" s="406"/>
      <c r="DUZ80" s="406"/>
      <c r="DVA80" s="406"/>
      <c r="DVB80" s="406"/>
      <c r="DVC80" s="406"/>
      <c r="DVD80" s="406"/>
      <c r="DVE80" s="406"/>
      <c r="DVF80" s="406"/>
      <c r="DVG80" s="406"/>
      <c r="DVH80" s="406"/>
      <c r="DVI80" s="406"/>
      <c r="DVJ80" s="406"/>
      <c r="DVK80" s="406"/>
      <c r="DVL80" s="406"/>
      <c r="DVM80" s="406"/>
      <c r="DVN80" s="406"/>
      <c r="DVO80" s="406"/>
      <c r="DVP80" s="406"/>
      <c r="DVQ80" s="406"/>
      <c r="DVR80" s="406"/>
      <c r="DVS80" s="406"/>
      <c r="DVT80" s="406"/>
      <c r="DVU80" s="406"/>
      <c r="DVV80" s="406"/>
      <c r="DVW80" s="406"/>
      <c r="DVX80" s="406"/>
      <c r="DVY80" s="406"/>
      <c r="DVZ80" s="406"/>
      <c r="DWA80" s="406"/>
      <c r="DWB80" s="406"/>
      <c r="DWC80" s="406"/>
      <c r="DWD80" s="406"/>
      <c r="DWE80" s="406"/>
      <c r="DWF80" s="406"/>
      <c r="DWG80" s="406"/>
      <c r="DWH80" s="406"/>
      <c r="DWI80" s="406"/>
      <c r="DWJ80" s="406"/>
      <c r="DWK80" s="406"/>
      <c r="DWL80" s="406"/>
      <c r="DWM80" s="406"/>
      <c r="DWN80" s="406"/>
      <c r="DWO80" s="406"/>
      <c r="DWP80" s="406"/>
      <c r="DWQ80" s="406"/>
      <c r="DWR80" s="406"/>
      <c r="DWS80" s="406"/>
      <c r="DWT80" s="406"/>
      <c r="DWU80" s="406"/>
      <c r="DWV80" s="406"/>
      <c r="DWW80" s="406"/>
      <c r="DWX80" s="406"/>
      <c r="DWY80" s="406"/>
      <c r="DWZ80" s="406"/>
      <c r="DXA80" s="406"/>
      <c r="DXB80" s="406"/>
      <c r="DXC80" s="406"/>
      <c r="DXD80" s="406"/>
      <c r="DXE80" s="406"/>
      <c r="DXF80" s="406"/>
      <c r="DXG80" s="406"/>
      <c r="DXH80" s="406"/>
      <c r="DXI80" s="406"/>
      <c r="DXJ80" s="406"/>
      <c r="DXK80" s="406"/>
      <c r="DXL80" s="406"/>
      <c r="DXM80" s="406"/>
      <c r="DXN80" s="406"/>
      <c r="DXO80" s="406"/>
      <c r="DXP80" s="406"/>
      <c r="DXQ80" s="406"/>
      <c r="DXR80" s="406"/>
      <c r="DXS80" s="406"/>
      <c r="DXT80" s="406"/>
      <c r="DXU80" s="406"/>
      <c r="DXV80" s="406"/>
      <c r="DXW80" s="406"/>
      <c r="DXX80" s="406"/>
      <c r="DXY80" s="406"/>
      <c r="DXZ80" s="406"/>
      <c r="DYA80" s="406"/>
      <c r="DYB80" s="406"/>
      <c r="DYC80" s="406"/>
      <c r="DYD80" s="406"/>
      <c r="DYE80" s="406"/>
      <c r="DYF80" s="406"/>
      <c r="DYG80" s="406"/>
      <c r="DYH80" s="406"/>
      <c r="DYI80" s="406"/>
      <c r="DYJ80" s="406"/>
      <c r="DYK80" s="406"/>
      <c r="DYL80" s="406"/>
      <c r="DYM80" s="406"/>
      <c r="DYN80" s="406"/>
      <c r="DYO80" s="406"/>
      <c r="DYP80" s="406"/>
      <c r="DYQ80" s="406"/>
      <c r="DYR80" s="406"/>
      <c r="DYS80" s="406"/>
      <c r="DYT80" s="406"/>
      <c r="DYU80" s="406"/>
      <c r="DYV80" s="406"/>
      <c r="DYW80" s="406"/>
      <c r="DYX80" s="406"/>
      <c r="DYY80" s="406"/>
      <c r="DYZ80" s="406"/>
      <c r="DZA80" s="406"/>
      <c r="DZB80" s="406"/>
      <c r="DZC80" s="406"/>
      <c r="DZD80" s="406"/>
      <c r="DZE80" s="406"/>
      <c r="DZF80" s="406"/>
      <c r="DZG80" s="406"/>
      <c r="DZH80" s="406"/>
      <c r="DZI80" s="406"/>
      <c r="DZJ80" s="406"/>
      <c r="DZK80" s="406"/>
      <c r="DZL80" s="406"/>
      <c r="DZM80" s="406"/>
      <c r="DZN80" s="406"/>
      <c r="DZO80" s="406"/>
      <c r="DZP80" s="406"/>
      <c r="DZQ80" s="406"/>
      <c r="DZR80" s="406"/>
      <c r="DZS80" s="406"/>
      <c r="DZT80" s="406"/>
      <c r="DZU80" s="406"/>
      <c r="DZV80" s="406"/>
      <c r="DZW80" s="406"/>
      <c r="DZX80" s="406"/>
      <c r="DZY80" s="406"/>
      <c r="DZZ80" s="406"/>
      <c r="EAA80" s="406"/>
      <c r="EAB80" s="406"/>
      <c r="EAC80" s="406"/>
      <c r="EAD80" s="406"/>
      <c r="EAE80" s="406"/>
      <c r="EAF80" s="406"/>
      <c r="EAG80" s="406"/>
      <c r="EAH80" s="406"/>
      <c r="EAI80" s="406"/>
      <c r="EAJ80" s="406"/>
      <c r="EAK80" s="406"/>
      <c r="EAL80" s="406"/>
      <c r="EAM80" s="406"/>
      <c r="EAN80" s="406"/>
      <c r="EAO80" s="406"/>
      <c r="EAP80" s="406"/>
      <c r="EAQ80" s="406"/>
      <c r="EAR80" s="406"/>
      <c r="EAS80" s="406"/>
      <c r="EAT80" s="406"/>
      <c r="EAU80" s="406"/>
      <c r="EAV80" s="406"/>
      <c r="EAW80" s="406"/>
      <c r="EAX80" s="406"/>
      <c r="EAY80" s="406"/>
      <c r="EAZ80" s="406"/>
      <c r="EBA80" s="406"/>
      <c r="EBB80" s="406"/>
      <c r="EBC80" s="406"/>
      <c r="EBD80" s="406"/>
      <c r="EBE80" s="406"/>
      <c r="EBF80" s="406"/>
      <c r="EBG80" s="406"/>
      <c r="EBH80" s="406"/>
      <c r="EBI80" s="406"/>
      <c r="EBJ80" s="406"/>
      <c r="EBK80" s="406"/>
      <c r="EBL80" s="406"/>
      <c r="EBM80" s="406"/>
      <c r="EBN80" s="406"/>
      <c r="EBO80" s="406"/>
      <c r="EBP80" s="406"/>
      <c r="EBQ80" s="406"/>
      <c r="EBR80" s="406"/>
      <c r="EBS80" s="406"/>
      <c r="EBT80" s="406"/>
      <c r="EBU80" s="406"/>
      <c r="EBV80" s="406"/>
      <c r="EBW80" s="406"/>
      <c r="EBX80" s="406"/>
      <c r="EBY80" s="406"/>
      <c r="EBZ80" s="406"/>
      <c r="ECA80" s="406"/>
      <c r="ECB80" s="406"/>
      <c r="ECC80" s="406"/>
      <c r="ECD80" s="406"/>
      <c r="ECE80" s="406"/>
      <c r="ECF80" s="406"/>
      <c r="ECG80" s="406"/>
      <c r="ECH80" s="406"/>
      <c r="ECI80" s="406"/>
      <c r="ECJ80" s="406"/>
      <c r="ECK80" s="406"/>
      <c r="ECL80" s="406"/>
      <c r="ECM80" s="406"/>
      <c r="ECN80" s="406"/>
      <c r="ECO80" s="406"/>
      <c r="ECP80" s="406"/>
      <c r="ECQ80" s="406"/>
      <c r="ECR80" s="406"/>
      <c r="ECS80" s="406"/>
      <c r="ECT80" s="406"/>
      <c r="ECU80" s="406"/>
      <c r="ECV80" s="406"/>
      <c r="ECW80" s="406"/>
      <c r="ECX80" s="406"/>
      <c r="ECY80" s="406"/>
      <c r="ECZ80" s="406"/>
      <c r="EDA80" s="406"/>
      <c r="EDB80" s="406"/>
      <c r="EDC80" s="406"/>
      <c r="EDD80" s="406"/>
      <c r="EDE80" s="406"/>
      <c r="EDF80" s="406"/>
      <c r="EDG80" s="406"/>
      <c r="EDH80" s="406"/>
      <c r="EDI80" s="406"/>
      <c r="EDJ80" s="406"/>
      <c r="EDK80" s="406"/>
      <c r="EDL80" s="406"/>
      <c r="EDM80" s="406"/>
      <c r="EDN80" s="406"/>
      <c r="EDO80" s="406"/>
      <c r="EDP80" s="406"/>
      <c r="EDQ80" s="406"/>
      <c r="EDR80" s="406"/>
      <c r="EDS80" s="406"/>
      <c r="EDT80" s="406"/>
      <c r="EDU80" s="406"/>
      <c r="EDV80" s="406"/>
      <c r="EDW80" s="406"/>
      <c r="EDX80" s="406"/>
      <c r="EDY80" s="406"/>
      <c r="EDZ80" s="406"/>
      <c r="EEA80" s="406"/>
      <c r="EEB80" s="406"/>
      <c r="EEC80" s="406"/>
      <c r="EED80" s="406"/>
      <c r="EEE80" s="406"/>
      <c r="EEF80" s="406"/>
      <c r="EEG80" s="406"/>
      <c r="EEH80" s="406"/>
      <c r="EEI80" s="406"/>
      <c r="EEJ80" s="406"/>
      <c r="EEK80" s="406"/>
      <c r="EEL80" s="406"/>
      <c r="EEM80" s="406"/>
      <c r="EEN80" s="406"/>
      <c r="EEO80" s="406"/>
      <c r="EEP80" s="406"/>
      <c r="EEQ80" s="406"/>
      <c r="EER80" s="406"/>
      <c r="EES80" s="406"/>
      <c r="EET80" s="406"/>
      <c r="EEU80" s="406"/>
      <c r="EEV80" s="406"/>
      <c r="EEW80" s="406"/>
      <c r="EEX80" s="406"/>
      <c r="EEY80" s="406"/>
      <c r="EEZ80" s="406"/>
      <c r="EFA80" s="406"/>
      <c r="EFB80" s="406"/>
      <c r="EFC80" s="406"/>
      <c r="EFD80" s="406"/>
      <c r="EFE80" s="406"/>
      <c r="EFF80" s="406"/>
      <c r="EFG80" s="406"/>
      <c r="EFH80" s="406"/>
      <c r="EFI80" s="406"/>
      <c r="EFJ80" s="406"/>
      <c r="EFK80" s="406"/>
      <c r="EFL80" s="406"/>
      <c r="EFM80" s="406"/>
      <c r="EFN80" s="406"/>
      <c r="EFO80" s="406"/>
      <c r="EFP80" s="406"/>
      <c r="EFQ80" s="406"/>
      <c r="EFR80" s="406"/>
      <c r="EFS80" s="406"/>
      <c r="EFT80" s="406"/>
      <c r="EFU80" s="406"/>
      <c r="EFV80" s="406"/>
      <c r="EFW80" s="406"/>
      <c r="EFX80" s="406"/>
      <c r="EFY80" s="406"/>
      <c r="EFZ80" s="406"/>
      <c r="EGA80" s="406"/>
      <c r="EGB80" s="406"/>
      <c r="EGC80" s="406"/>
      <c r="EGD80" s="406"/>
      <c r="EGE80" s="406"/>
      <c r="EGF80" s="406"/>
      <c r="EGG80" s="406"/>
      <c r="EGH80" s="406"/>
      <c r="EGI80" s="406"/>
      <c r="EGJ80" s="406"/>
      <c r="EGK80" s="406"/>
      <c r="EGL80" s="406"/>
      <c r="EGM80" s="406"/>
      <c r="EGN80" s="406"/>
      <c r="EGO80" s="406"/>
      <c r="EGP80" s="406"/>
      <c r="EGQ80" s="406"/>
      <c r="EGR80" s="406"/>
      <c r="EGS80" s="406"/>
      <c r="EGT80" s="406"/>
      <c r="EGU80" s="406"/>
      <c r="EGV80" s="406"/>
      <c r="EGW80" s="406"/>
      <c r="EGX80" s="406"/>
      <c r="EGY80" s="406"/>
      <c r="EGZ80" s="406"/>
      <c r="EHA80" s="406"/>
      <c r="EHB80" s="406"/>
      <c r="EHC80" s="406"/>
      <c r="EHD80" s="406"/>
      <c r="EHE80" s="406"/>
      <c r="EHF80" s="406"/>
      <c r="EHG80" s="406"/>
      <c r="EHH80" s="406"/>
      <c r="EHI80" s="406"/>
      <c r="EHJ80" s="406"/>
      <c r="EHK80" s="406"/>
      <c r="EHL80" s="406"/>
      <c r="EHM80" s="406"/>
      <c r="EHN80" s="406"/>
      <c r="EHO80" s="406"/>
      <c r="EHP80" s="406"/>
      <c r="EHQ80" s="406"/>
      <c r="EHR80" s="406"/>
      <c r="EHS80" s="406"/>
      <c r="EHT80" s="406"/>
      <c r="EHU80" s="406"/>
      <c r="EHV80" s="406"/>
      <c r="EHW80" s="406"/>
      <c r="EHX80" s="406"/>
      <c r="EHY80" s="406"/>
      <c r="EHZ80" s="406"/>
      <c r="EIA80" s="406"/>
      <c r="EIB80" s="406"/>
      <c r="EIC80" s="406"/>
      <c r="EID80" s="406"/>
      <c r="EIE80" s="406"/>
      <c r="EIF80" s="406"/>
      <c r="EIG80" s="406"/>
      <c r="EIH80" s="406"/>
      <c r="EII80" s="406"/>
      <c r="EIJ80" s="406"/>
      <c r="EIK80" s="406"/>
      <c r="EIL80" s="406"/>
      <c r="EIM80" s="406"/>
      <c r="EIN80" s="406"/>
      <c r="EIO80" s="406"/>
      <c r="EIP80" s="406"/>
      <c r="EIQ80" s="406"/>
      <c r="EIR80" s="406"/>
      <c r="EIS80" s="406"/>
      <c r="EIT80" s="406"/>
      <c r="EIU80" s="406"/>
      <c r="EIV80" s="406"/>
      <c r="EIW80" s="406"/>
      <c r="EIX80" s="406"/>
      <c r="EIY80" s="406"/>
      <c r="EIZ80" s="406"/>
      <c r="EJA80" s="406"/>
      <c r="EJB80" s="406"/>
      <c r="EJC80" s="406"/>
      <c r="EJD80" s="406"/>
      <c r="EJE80" s="406"/>
      <c r="EJF80" s="406"/>
      <c r="EJG80" s="406"/>
      <c r="EJH80" s="406"/>
      <c r="EJI80" s="406"/>
      <c r="EJJ80" s="406"/>
      <c r="EJK80" s="406"/>
      <c r="EJL80" s="406"/>
      <c r="EJM80" s="406"/>
      <c r="EJN80" s="406"/>
      <c r="EJO80" s="406"/>
      <c r="EJP80" s="406"/>
      <c r="EJQ80" s="406"/>
      <c r="EJR80" s="406"/>
      <c r="EJS80" s="406"/>
      <c r="EJT80" s="406"/>
      <c r="EJU80" s="406"/>
      <c r="EJV80" s="406"/>
      <c r="EJW80" s="406"/>
      <c r="EJX80" s="406"/>
      <c r="EJY80" s="406"/>
      <c r="EJZ80" s="406"/>
      <c r="EKA80" s="406"/>
      <c r="EKB80" s="406"/>
      <c r="EKC80" s="406"/>
      <c r="EKD80" s="406"/>
      <c r="EKE80" s="406"/>
      <c r="EKF80" s="406"/>
      <c r="EKG80" s="406"/>
      <c r="EKH80" s="406"/>
      <c r="EKI80" s="406"/>
      <c r="EKJ80" s="406"/>
      <c r="EKK80" s="406"/>
      <c r="EKL80" s="406"/>
      <c r="EKM80" s="406"/>
      <c r="EKN80" s="406"/>
      <c r="EKO80" s="406"/>
      <c r="EKP80" s="406"/>
      <c r="EKQ80" s="406"/>
      <c r="EKR80" s="406"/>
      <c r="EKS80" s="406"/>
      <c r="EKT80" s="406"/>
      <c r="EKU80" s="406"/>
      <c r="EKV80" s="406"/>
      <c r="EKW80" s="406"/>
      <c r="EKX80" s="406"/>
      <c r="EKY80" s="406"/>
      <c r="EKZ80" s="406"/>
      <c r="ELA80" s="406"/>
      <c r="ELB80" s="406"/>
      <c r="ELC80" s="406"/>
      <c r="ELD80" s="406"/>
      <c r="ELE80" s="406"/>
      <c r="ELF80" s="406"/>
      <c r="ELG80" s="406"/>
      <c r="ELH80" s="406"/>
      <c r="ELI80" s="406"/>
      <c r="ELJ80" s="406"/>
      <c r="ELK80" s="406"/>
      <c r="ELL80" s="406"/>
      <c r="ELM80" s="406"/>
      <c r="ELN80" s="406"/>
      <c r="ELO80" s="406"/>
      <c r="ELP80" s="406"/>
      <c r="ELQ80" s="406"/>
      <c r="ELR80" s="406"/>
      <c r="ELS80" s="406"/>
      <c r="ELT80" s="406"/>
      <c r="ELU80" s="406"/>
      <c r="ELV80" s="406"/>
      <c r="ELW80" s="406"/>
      <c r="ELX80" s="406"/>
      <c r="ELY80" s="406"/>
      <c r="ELZ80" s="406"/>
      <c r="EMA80" s="406"/>
      <c r="EMB80" s="406"/>
      <c r="EMC80" s="406"/>
      <c r="EMD80" s="406"/>
      <c r="EME80" s="406"/>
      <c r="EMF80" s="406"/>
      <c r="EMG80" s="406"/>
      <c r="EMH80" s="406"/>
      <c r="EMI80" s="406"/>
      <c r="EMJ80" s="406"/>
      <c r="EMK80" s="406"/>
      <c r="EML80" s="406"/>
      <c r="EMM80" s="406"/>
      <c r="EMN80" s="406"/>
      <c r="EMO80" s="406"/>
      <c r="EMP80" s="406"/>
      <c r="EMQ80" s="406"/>
      <c r="EMR80" s="406"/>
      <c r="EMS80" s="406"/>
      <c r="EMT80" s="406"/>
      <c r="EMU80" s="406"/>
      <c r="EMV80" s="406"/>
      <c r="EMW80" s="406"/>
      <c r="EMX80" s="406"/>
      <c r="EMY80" s="406"/>
      <c r="EMZ80" s="406"/>
      <c r="ENA80" s="406"/>
      <c r="ENB80" s="406"/>
      <c r="ENC80" s="406"/>
      <c r="END80" s="406"/>
      <c r="ENE80" s="406"/>
      <c r="ENF80" s="406"/>
      <c r="ENG80" s="406"/>
      <c r="ENH80" s="406"/>
      <c r="ENI80" s="406"/>
      <c r="ENJ80" s="406"/>
      <c r="ENK80" s="406"/>
      <c r="ENL80" s="406"/>
      <c r="ENM80" s="406"/>
      <c r="ENN80" s="406"/>
      <c r="ENO80" s="406"/>
      <c r="ENP80" s="406"/>
      <c r="ENQ80" s="406"/>
      <c r="ENR80" s="406"/>
      <c r="ENS80" s="406"/>
      <c r="ENT80" s="406"/>
      <c r="ENU80" s="406"/>
      <c r="ENV80" s="406"/>
      <c r="ENW80" s="406"/>
      <c r="ENX80" s="406"/>
      <c r="ENY80" s="406"/>
      <c r="ENZ80" s="406"/>
      <c r="EOA80" s="406"/>
      <c r="EOB80" s="406"/>
      <c r="EOC80" s="406"/>
      <c r="EOD80" s="406"/>
      <c r="EOE80" s="406"/>
      <c r="EOF80" s="406"/>
      <c r="EOG80" s="406"/>
      <c r="EOH80" s="406"/>
      <c r="EOI80" s="406"/>
      <c r="EOJ80" s="406"/>
      <c r="EOK80" s="406"/>
      <c r="EOL80" s="406"/>
      <c r="EOM80" s="406"/>
      <c r="EON80" s="406"/>
      <c r="EOO80" s="406"/>
      <c r="EOP80" s="406"/>
      <c r="EOQ80" s="406"/>
      <c r="EOR80" s="406"/>
      <c r="EOS80" s="406"/>
      <c r="EOT80" s="406"/>
      <c r="EOU80" s="406"/>
      <c r="EOV80" s="406"/>
      <c r="EOW80" s="406"/>
      <c r="EOX80" s="406"/>
      <c r="EOY80" s="406"/>
      <c r="EOZ80" s="406"/>
      <c r="EPA80" s="406"/>
      <c r="EPB80" s="406"/>
      <c r="EPC80" s="406"/>
      <c r="EPD80" s="406"/>
      <c r="EPE80" s="406"/>
      <c r="EPF80" s="406"/>
      <c r="EPG80" s="406"/>
      <c r="EPH80" s="406"/>
      <c r="EPI80" s="406"/>
      <c r="EPJ80" s="406"/>
      <c r="EPK80" s="406"/>
      <c r="EPL80" s="406"/>
      <c r="EPM80" s="406"/>
      <c r="EPN80" s="406"/>
      <c r="EPO80" s="406"/>
      <c r="EPP80" s="406"/>
      <c r="EPQ80" s="406"/>
      <c r="EPR80" s="406"/>
      <c r="EPS80" s="406"/>
      <c r="EPT80" s="406"/>
      <c r="EPU80" s="406"/>
      <c r="EPV80" s="406"/>
      <c r="EPW80" s="406"/>
      <c r="EPX80" s="406"/>
      <c r="EPY80" s="406"/>
      <c r="EPZ80" s="406"/>
      <c r="EQA80" s="406"/>
      <c r="EQB80" s="406"/>
      <c r="EQC80" s="406"/>
      <c r="EQD80" s="406"/>
      <c r="EQE80" s="406"/>
      <c r="EQF80" s="406"/>
      <c r="EQG80" s="406"/>
      <c r="EQH80" s="406"/>
      <c r="EQI80" s="406"/>
      <c r="EQJ80" s="406"/>
      <c r="EQK80" s="406"/>
      <c r="EQL80" s="406"/>
      <c r="EQM80" s="406"/>
      <c r="EQN80" s="406"/>
      <c r="EQO80" s="406"/>
      <c r="EQP80" s="406"/>
      <c r="EQQ80" s="406"/>
      <c r="EQR80" s="406"/>
      <c r="EQS80" s="406"/>
      <c r="EQT80" s="406"/>
      <c r="EQU80" s="406"/>
      <c r="EQV80" s="406"/>
      <c r="EQW80" s="406"/>
      <c r="EQX80" s="406"/>
      <c r="EQY80" s="406"/>
      <c r="EQZ80" s="406"/>
      <c r="ERA80" s="406"/>
      <c r="ERB80" s="406"/>
      <c r="ERC80" s="406"/>
      <c r="ERD80" s="406"/>
      <c r="ERE80" s="406"/>
      <c r="ERF80" s="406"/>
      <c r="ERG80" s="406"/>
      <c r="ERH80" s="406"/>
      <c r="ERI80" s="406"/>
      <c r="ERJ80" s="406"/>
      <c r="ERK80" s="406"/>
      <c r="ERL80" s="406"/>
      <c r="ERM80" s="406"/>
      <c r="ERN80" s="406"/>
      <c r="ERO80" s="406"/>
      <c r="ERP80" s="406"/>
      <c r="ERQ80" s="406"/>
      <c r="ERR80" s="406"/>
      <c r="ERS80" s="406"/>
      <c r="ERT80" s="406"/>
      <c r="ERU80" s="406"/>
      <c r="ERV80" s="406"/>
      <c r="ERW80" s="406"/>
      <c r="ERX80" s="406"/>
      <c r="ERY80" s="406"/>
      <c r="ERZ80" s="406"/>
      <c r="ESA80" s="406"/>
      <c r="ESB80" s="406"/>
      <c r="ESC80" s="406"/>
      <c r="ESD80" s="406"/>
      <c r="ESE80" s="406"/>
      <c r="ESF80" s="406"/>
      <c r="ESG80" s="406"/>
      <c r="ESH80" s="406"/>
      <c r="ESI80" s="406"/>
      <c r="ESJ80" s="406"/>
      <c r="ESK80" s="406"/>
      <c r="ESL80" s="406"/>
      <c r="ESM80" s="406"/>
      <c r="ESN80" s="406"/>
      <c r="ESO80" s="406"/>
      <c r="ESP80" s="406"/>
      <c r="ESQ80" s="406"/>
      <c r="ESR80" s="406"/>
      <c r="ESS80" s="406"/>
      <c r="EST80" s="406"/>
      <c r="ESU80" s="406"/>
      <c r="ESV80" s="406"/>
      <c r="ESW80" s="406"/>
      <c r="ESX80" s="406"/>
      <c r="ESY80" s="406"/>
      <c r="ESZ80" s="406"/>
      <c r="ETA80" s="406"/>
      <c r="ETB80" s="406"/>
      <c r="ETC80" s="406"/>
      <c r="ETD80" s="406"/>
      <c r="ETE80" s="406"/>
      <c r="ETF80" s="406"/>
      <c r="ETG80" s="406"/>
      <c r="ETH80" s="406"/>
      <c r="ETI80" s="406"/>
      <c r="ETJ80" s="406"/>
      <c r="ETK80" s="406"/>
      <c r="ETL80" s="406"/>
      <c r="ETM80" s="406"/>
      <c r="ETN80" s="406"/>
      <c r="ETO80" s="406"/>
      <c r="ETP80" s="406"/>
      <c r="ETQ80" s="406"/>
      <c r="ETR80" s="406"/>
      <c r="ETS80" s="406"/>
      <c r="ETT80" s="406"/>
      <c r="ETU80" s="406"/>
      <c r="ETV80" s="406"/>
      <c r="ETW80" s="406"/>
      <c r="ETX80" s="406"/>
      <c r="ETY80" s="406"/>
      <c r="ETZ80" s="406"/>
      <c r="EUA80" s="406"/>
      <c r="EUB80" s="406"/>
      <c r="EUC80" s="406"/>
      <c r="EUD80" s="406"/>
      <c r="EUE80" s="406"/>
      <c r="EUF80" s="406"/>
      <c r="EUG80" s="406"/>
      <c r="EUH80" s="406"/>
      <c r="EUI80" s="406"/>
      <c r="EUJ80" s="406"/>
      <c r="EUK80" s="406"/>
      <c r="EUL80" s="406"/>
      <c r="EUM80" s="406"/>
      <c r="EUN80" s="406"/>
      <c r="EUO80" s="406"/>
      <c r="EUP80" s="406"/>
      <c r="EUQ80" s="406"/>
      <c r="EUR80" s="406"/>
      <c r="EUS80" s="406"/>
      <c r="EUT80" s="406"/>
      <c r="EUU80" s="406"/>
      <c r="EUV80" s="406"/>
      <c r="EUW80" s="406"/>
      <c r="EUX80" s="406"/>
      <c r="EUY80" s="406"/>
      <c r="EUZ80" s="406"/>
      <c r="EVA80" s="406"/>
      <c r="EVB80" s="406"/>
      <c r="EVC80" s="406"/>
      <c r="EVD80" s="406"/>
      <c r="EVE80" s="406"/>
      <c r="EVF80" s="406"/>
      <c r="EVG80" s="406"/>
      <c r="EVH80" s="406"/>
      <c r="EVI80" s="406"/>
      <c r="EVJ80" s="406"/>
      <c r="EVK80" s="406"/>
      <c r="EVL80" s="406"/>
      <c r="EVM80" s="406"/>
      <c r="EVN80" s="406"/>
      <c r="EVO80" s="406"/>
      <c r="EVP80" s="406"/>
      <c r="EVQ80" s="406"/>
      <c r="EVR80" s="406"/>
      <c r="EVS80" s="406"/>
      <c r="EVT80" s="406"/>
      <c r="EVU80" s="406"/>
      <c r="EVV80" s="406"/>
      <c r="EVW80" s="406"/>
      <c r="EVX80" s="406"/>
      <c r="EVY80" s="406"/>
      <c r="EVZ80" s="406"/>
      <c r="EWA80" s="406"/>
      <c r="EWB80" s="406"/>
      <c r="EWC80" s="406"/>
      <c r="EWD80" s="406"/>
      <c r="EWE80" s="406"/>
      <c r="EWF80" s="406"/>
      <c r="EWG80" s="406"/>
      <c r="EWH80" s="406"/>
      <c r="EWI80" s="406"/>
      <c r="EWJ80" s="406"/>
      <c r="EWK80" s="406"/>
      <c r="EWL80" s="406"/>
      <c r="EWM80" s="406"/>
      <c r="EWN80" s="406"/>
      <c r="EWO80" s="406"/>
      <c r="EWP80" s="406"/>
      <c r="EWQ80" s="406"/>
      <c r="EWR80" s="406"/>
      <c r="EWS80" s="406"/>
      <c r="EWT80" s="406"/>
      <c r="EWU80" s="406"/>
      <c r="EWV80" s="406"/>
      <c r="EWW80" s="406"/>
      <c r="EWX80" s="406"/>
      <c r="EWY80" s="406"/>
      <c r="EWZ80" s="406"/>
      <c r="EXA80" s="406"/>
      <c r="EXB80" s="406"/>
      <c r="EXC80" s="406"/>
      <c r="EXD80" s="406"/>
      <c r="EXE80" s="406"/>
      <c r="EXF80" s="406"/>
      <c r="EXG80" s="406"/>
      <c r="EXH80" s="406"/>
      <c r="EXI80" s="406"/>
      <c r="EXJ80" s="406"/>
      <c r="EXK80" s="406"/>
      <c r="EXL80" s="406"/>
      <c r="EXM80" s="406"/>
      <c r="EXN80" s="406"/>
      <c r="EXO80" s="406"/>
      <c r="EXP80" s="406"/>
      <c r="EXQ80" s="406"/>
      <c r="EXR80" s="406"/>
      <c r="EXS80" s="406"/>
      <c r="EXT80" s="406"/>
      <c r="EXU80" s="406"/>
      <c r="EXV80" s="406"/>
      <c r="EXW80" s="406"/>
      <c r="EXX80" s="406"/>
      <c r="EXY80" s="406"/>
      <c r="EXZ80" s="406"/>
      <c r="EYA80" s="406"/>
      <c r="EYB80" s="406"/>
      <c r="EYC80" s="406"/>
      <c r="EYD80" s="406"/>
      <c r="EYE80" s="406"/>
      <c r="EYF80" s="406"/>
      <c r="EYG80" s="406"/>
      <c r="EYH80" s="406"/>
      <c r="EYI80" s="406"/>
      <c r="EYJ80" s="406"/>
      <c r="EYK80" s="406"/>
      <c r="EYL80" s="406"/>
      <c r="EYM80" s="406"/>
      <c r="EYN80" s="406"/>
      <c r="EYO80" s="406"/>
      <c r="EYP80" s="406"/>
      <c r="EYQ80" s="406"/>
      <c r="EYR80" s="406"/>
      <c r="EYS80" s="406"/>
      <c r="EYT80" s="406"/>
      <c r="EYU80" s="406"/>
      <c r="EYV80" s="406"/>
      <c r="EYW80" s="406"/>
      <c r="EYX80" s="406"/>
      <c r="EYY80" s="406"/>
      <c r="EYZ80" s="406"/>
      <c r="EZA80" s="406"/>
      <c r="EZB80" s="406"/>
      <c r="EZC80" s="406"/>
      <c r="EZD80" s="406"/>
      <c r="EZE80" s="406"/>
      <c r="EZF80" s="406"/>
      <c r="EZG80" s="406"/>
      <c r="EZH80" s="406"/>
      <c r="EZI80" s="406"/>
      <c r="EZJ80" s="406"/>
      <c r="EZK80" s="406"/>
      <c r="EZL80" s="406"/>
      <c r="EZM80" s="406"/>
      <c r="EZN80" s="406"/>
      <c r="EZO80" s="406"/>
      <c r="EZP80" s="406"/>
      <c r="EZQ80" s="406"/>
      <c r="EZR80" s="406"/>
      <c r="EZS80" s="406"/>
      <c r="EZT80" s="406"/>
      <c r="EZU80" s="406"/>
      <c r="EZV80" s="406"/>
      <c r="EZW80" s="406"/>
      <c r="EZX80" s="406"/>
      <c r="EZY80" s="406"/>
      <c r="EZZ80" s="406"/>
      <c r="FAA80" s="406"/>
      <c r="FAB80" s="406"/>
      <c r="FAC80" s="406"/>
      <c r="FAD80" s="406"/>
      <c r="FAE80" s="406"/>
      <c r="FAF80" s="406"/>
      <c r="FAG80" s="406"/>
      <c r="FAH80" s="406"/>
      <c r="FAI80" s="406"/>
      <c r="FAJ80" s="406"/>
      <c r="FAK80" s="406"/>
      <c r="FAL80" s="406"/>
      <c r="FAM80" s="406"/>
      <c r="FAN80" s="406"/>
      <c r="FAO80" s="406"/>
      <c r="FAP80" s="406"/>
      <c r="FAQ80" s="406"/>
      <c r="FAR80" s="406"/>
      <c r="FAS80" s="406"/>
      <c r="FAT80" s="406"/>
      <c r="FAU80" s="406"/>
      <c r="FAV80" s="406"/>
      <c r="FAW80" s="406"/>
      <c r="FAX80" s="406"/>
      <c r="FAY80" s="406"/>
      <c r="FAZ80" s="406"/>
      <c r="FBA80" s="406"/>
      <c r="FBB80" s="406"/>
      <c r="FBC80" s="406"/>
      <c r="FBD80" s="406"/>
      <c r="FBE80" s="406"/>
      <c r="FBF80" s="406"/>
      <c r="FBG80" s="406"/>
      <c r="FBH80" s="406"/>
      <c r="FBI80" s="406"/>
      <c r="FBJ80" s="406"/>
      <c r="FBK80" s="406"/>
      <c r="FBL80" s="406"/>
      <c r="FBM80" s="406"/>
      <c r="FBN80" s="406"/>
      <c r="FBO80" s="406"/>
      <c r="FBP80" s="406"/>
      <c r="FBQ80" s="406"/>
      <c r="FBR80" s="406"/>
      <c r="FBS80" s="406"/>
      <c r="FBT80" s="406"/>
      <c r="FBU80" s="406"/>
      <c r="FBV80" s="406"/>
      <c r="FBW80" s="406"/>
      <c r="FBX80" s="406"/>
      <c r="FBY80" s="406"/>
      <c r="FBZ80" s="406"/>
      <c r="FCA80" s="406"/>
      <c r="FCB80" s="406"/>
      <c r="FCC80" s="406"/>
      <c r="FCD80" s="406"/>
      <c r="FCE80" s="406"/>
      <c r="FCF80" s="406"/>
      <c r="FCG80" s="406"/>
      <c r="FCH80" s="406"/>
      <c r="FCI80" s="406"/>
      <c r="FCJ80" s="406"/>
      <c r="FCK80" s="406"/>
      <c r="FCL80" s="406"/>
      <c r="FCM80" s="406"/>
      <c r="FCN80" s="406"/>
      <c r="FCO80" s="406"/>
      <c r="FCP80" s="406"/>
      <c r="FCQ80" s="406"/>
      <c r="FCR80" s="406"/>
      <c r="FCS80" s="406"/>
      <c r="FCT80" s="406"/>
      <c r="FCU80" s="406"/>
      <c r="FCV80" s="406"/>
      <c r="FCW80" s="406"/>
      <c r="FCX80" s="406"/>
      <c r="FCY80" s="406"/>
      <c r="FCZ80" s="406"/>
      <c r="FDA80" s="406"/>
      <c r="FDB80" s="406"/>
      <c r="FDC80" s="406"/>
      <c r="FDD80" s="406"/>
      <c r="FDE80" s="406"/>
      <c r="FDF80" s="406"/>
      <c r="FDG80" s="406"/>
      <c r="FDH80" s="406"/>
      <c r="FDI80" s="406"/>
      <c r="FDJ80" s="406"/>
      <c r="FDK80" s="406"/>
      <c r="FDL80" s="406"/>
      <c r="FDM80" s="406"/>
      <c r="FDN80" s="406"/>
      <c r="FDO80" s="406"/>
      <c r="FDP80" s="406"/>
      <c r="FDQ80" s="406"/>
      <c r="FDR80" s="406"/>
      <c r="FDS80" s="406"/>
      <c r="FDT80" s="406"/>
      <c r="FDU80" s="406"/>
      <c r="FDV80" s="406"/>
      <c r="FDW80" s="406"/>
      <c r="FDX80" s="406"/>
      <c r="FDY80" s="406"/>
      <c r="FDZ80" s="406"/>
      <c r="FEA80" s="406"/>
      <c r="FEB80" s="406"/>
      <c r="FEC80" s="406"/>
      <c r="FED80" s="406"/>
      <c r="FEE80" s="406"/>
      <c r="FEF80" s="406"/>
      <c r="FEG80" s="406"/>
      <c r="FEH80" s="406"/>
      <c r="FEI80" s="406"/>
      <c r="FEJ80" s="406"/>
      <c r="FEK80" s="406"/>
      <c r="FEL80" s="406"/>
      <c r="FEM80" s="406"/>
      <c r="FEN80" s="406"/>
      <c r="FEO80" s="406"/>
      <c r="FEP80" s="406"/>
      <c r="FEQ80" s="406"/>
      <c r="FER80" s="406"/>
      <c r="FES80" s="406"/>
      <c r="FET80" s="406"/>
      <c r="FEU80" s="406"/>
      <c r="FEV80" s="406"/>
      <c r="FEW80" s="406"/>
      <c r="FEX80" s="406"/>
      <c r="FEY80" s="406"/>
      <c r="FEZ80" s="406"/>
      <c r="FFA80" s="406"/>
      <c r="FFB80" s="406"/>
      <c r="FFC80" s="406"/>
      <c r="FFD80" s="406"/>
      <c r="FFE80" s="406"/>
      <c r="FFF80" s="406"/>
      <c r="FFG80" s="406"/>
      <c r="FFH80" s="406"/>
      <c r="FFI80" s="406"/>
      <c r="FFJ80" s="406"/>
      <c r="FFK80" s="406"/>
      <c r="FFL80" s="406"/>
      <c r="FFM80" s="406"/>
      <c r="FFN80" s="406"/>
      <c r="FFO80" s="406"/>
      <c r="FFP80" s="406"/>
      <c r="FFQ80" s="406"/>
      <c r="FFR80" s="406"/>
      <c r="FFS80" s="406"/>
      <c r="FFT80" s="406"/>
      <c r="FFU80" s="406"/>
      <c r="FFV80" s="406"/>
      <c r="FFW80" s="406"/>
      <c r="FFX80" s="406"/>
      <c r="FFY80" s="406"/>
      <c r="FFZ80" s="406"/>
      <c r="FGA80" s="406"/>
      <c r="FGB80" s="406"/>
      <c r="FGC80" s="406"/>
      <c r="FGD80" s="406"/>
      <c r="FGE80" s="406"/>
      <c r="FGF80" s="406"/>
      <c r="FGG80" s="406"/>
      <c r="FGH80" s="406"/>
      <c r="FGI80" s="406"/>
      <c r="FGJ80" s="406"/>
      <c r="FGK80" s="406"/>
      <c r="FGL80" s="406"/>
      <c r="FGM80" s="406"/>
      <c r="FGN80" s="406"/>
      <c r="FGO80" s="406"/>
      <c r="FGP80" s="406"/>
      <c r="FGQ80" s="406"/>
      <c r="FGR80" s="406"/>
      <c r="FGS80" s="406"/>
      <c r="FGT80" s="406"/>
      <c r="FGU80" s="406"/>
      <c r="FGV80" s="406"/>
      <c r="FGW80" s="406"/>
      <c r="FGX80" s="406"/>
      <c r="FGY80" s="406"/>
      <c r="FGZ80" s="406"/>
      <c r="FHA80" s="406"/>
      <c r="FHB80" s="406"/>
      <c r="FHC80" s="406"/>
      <c r="FHD80" s="406"/>
      <c r="FHE80" s="406"/>
      <c r="FHF80" s="406"/>
      <c r="FHG80" s="406"/>
      <c r="FHH80" s="406"/>
      <c r="FHI80" s="406"/>
      <c r="FHJ80" s="406"/>
      <c r="FHK80" s="406"/>
      <c r="FHL80" s="406"/>
      <c r="FHM80" s="406"/>
      <c r="FHN80" s="406"/>
      <c r="FHO80" s="406"/>
      <c r="FHP80" s="406"/>
      <c r="FHQ80" s="406"/>
      <c r="FHR80" s="406"/>
      <c r="FHS80" s="406"/>
      <c r="FHT80" s="406"/>
      <c r="FHU80" s="406"/>
      <c r="FHV80" s="406"/>
      <c r="FHW80" s="406"/>
      <c r="FHX80" s="406"/>
      <c r="FHY80" s="406"/>
      <c r="FHZ80" s="406"/>
      <c r="FIA80" s="406"/>
      <c r="FIB80" s="406"/>
      <c r="FIC80" s="406"/>
      <c r="FID80" s="406"/>
      <c r="FIE80" s="406"/>
      <c r="FIF80" s="406"/>
      <c r="FIG80" s="406"/>
      <c r="FIH80" s="406"/>
      <c r="FII80" s="406"/>
      <c r="FIJ80" s="406"/>
      <c r="FIK80" s="406"/>
      <c r="FIL80" s="406"/>
      <c r="FIM80" s="406"/>
      <c r="FIN80" s="406"/>
      <c r="FIO80" s="406"/>
      <c r="FIP80" s="406"/>
      <c r="FIQ80" s="406"/>
      <c r="FIR80" s="406"/>
      <c r="FIS80" s="406"/>
      <c r="FIT80" s="406"/>
      <c r="FIU80" s="406"/>
      <c r="FIV80" s="406"/>
      <c r="FIW80" s="406"/>
      <c r="FIX80" s="406"/>
      <c r="FIY80" s="406"/>
      <c r="FIZ80" s="406"/>
      <c r="FJA80" s="406"/>
      <c r="FJB80" s="406"/>
      <c r="FJC80" s="406"/>
      <c r="FJD80" s="406"/>
      <c r="FJE80" s="406"/>
      <c r="FJF80" s="406"/>
      <c r="FJG80" s="406"/>
      <c r="FJH80" s="406"/>
      <c r="FJI80" s="406"/>
      <c r="FJJ80" s="406"/>
      <c r="FJK80" s="406"/>
      <c r="FJL80" s="406"/>
      <c r="FJM80" s="406"/>
      <c r="FJN80" s="406"/>
      <c r="FJO80" s="406"/>
      <c r="FJP80" s="406"/>
      <c r="FJQ80" s="406"/>
      <c r="FJR80" s="406"/>
      <c r="FJS80" s="406"/>
      <c r="FJT80" s="406"/>
      <c r="FJU80" s="406"/>
      <c r="FJV80" s="406"/>
      <c r="FJW80" s="406"/>
      <c r="FJX80" s="406"/>
      <c r="FJY80" s="406"/>
      <c r="FJZ80" s="406"/>
      <c r="FKA80" s="406"/>
      <c r="FKB80" s="406"/>
      <c r="FKC80" s="406"/>
      <c r="FKD80" s="406"/>
      <c r="FKE80" s="406"/>
      <c r="FKF80" s="406"/>
      <c r="FKG80" s="406"/>
      <c r="FKH80" s="406"/>
      <c r="FKI80" s="406"/>
      <c r="FKJ80" s="406"/>
      <c r="FKK80" s="406"/>
      <c r="FKL80" s="406"/>
      <c r="FKM80" s="406"/>
      <c r="FKN80" s="406"/>
      <c r="FKO80" s="406"/>
      <c r="FKP80" s="406"/>
      <c r="FKQ80" s="406"/>
      <c r="FKR80" s="406"/>
      <c r="FKS80" s="406"/>
      <c r="FKT80" s="406"/>
      <c r="FKU80" s="406"/>
      <c r="FKV80" s="406"/>
      <c r="FKW80" s="406"/>
      <c r="FKX80" s="406"/>
      <c r="FKY80" s="406"/>
      <c r="FKZ80" s="406"/>
      <c r="FLA80" s="406"/>
      <c r="FLB80" s="406"/>
      <c r="FLC80" s="406"/>
      <c r="FLD80" s="406"/>
      <c r="FLE80" s="406"/>
      <c r="FLF80" s="406"/>
      <c r="FLG80" s="406"/>
      <c r="FLH80" s="406"/>
      <c r="FLI80" s="406"/>
      <c r="FLJ80" s="406"/>
      <c r="FLK80" s="406"/>
      <c r="FLL80" s="406"/>
      <c r="FLM80" s="406"/>
      <c r="FLN80" s="406"/>
      <c r="FLO80" s="406"/>
      <c r="FLP80" s="406"/>
      <c r="FLQ80" s="406"/>
      <c r="FLR80" s="406"/>
      <c r="FLS80" s="406"/>
      <c r="FLT80" s="406"/>
      <c r="FLU80" s="406"/>
      <c r="FLV80" s="406"/>
      <c r="FLW80" s="406"/>
      <c r="FLX80" s="406"/>
      <c r="FLY80" s="406"/>
      <c r="FLZ80" s="406"/>
      <c r="FMA80" s="406"/>
      <c r="FMB80" s="406"/>
      <c r="FMC80" s="406"/>
      <c r="FMD80" s="406"/>
      <c r="FME80" s="406"/>
      <c r="FMF80" s="406"/>
      <c r="FMG80" s="406"/>
      <c r="FMH80" s="406"/>
      <c r="FMI80" s="406"/>
      <c r="FMJ80" s="406"/>
      <c r="FMK80" s="406"/>
      <c r="FML80" s="406"/>
      <c r="FMM80" s="406"/>
      <c r="FMN80" s="406"/>
      <c r="FMO80" s="406"/>
      <c r="FMP80" s="406"/>
      <c r="FMQ80" s="406"/>
      <c r="FMR80" s="406"/>
      <c r="FMS80" s="406"/>
      <c r="FMT80" s="406"/>
      <c r="FMU80" s="406"/>
      <c r="FMV80" s="406"/>
      <c r="FMW80" s="406"/>
      <c r="FMX80" s="406"/>
      <c r="FMY80" s="406"/>
      <c r="FMZ80" s="406"/>
      <c r="FNA80" s="406"/>
      <c r="FNB80" s="406"/>
      <c r="FNC80" s="406"/>
      <c r="FND80" s="406"/>
      <c r="FNE80" s="406"/>
      <c r="FNF80" s="406"/>
      <c r="FNG80" s="406"/>
      <c r="FNH80" s="406"/>
      <c r="FNI80" s="406"/>
      <c r="FNJ80" s="406"/>
      <c r="FNK80" s="406"/>
      <c r="FNL80" s="406"/>
      <c r="FNM80" s="406"/>
      <c r="FNN80" s="406"/>
      <c r="FNO80" s="406"/>
      <c r="FNP80" s="406"/>
      <c r="FNQ80" s="406"/>
      <c r="FNR80" s="406"/>
      <c r="FNS80" s="406"/>
      <c r="FNT80" s="406"/>
      <c r="FNU80" s="406"/>
      <c r="FNV80" s="406"/>
      <c r="FNW80" s="406"/>
      <c r="FNX80" s="406"/>
      <c r="FNY80" s="406"/>
      <c r="FNZ80" s="406"/>
      <c r="FOA80" s="406"/>
      <c r="FOB80" s="406"/>
      <c r="FOC80" s="406"/>
      <c r="FOD80" s="406"/>
      <c r="FOE80" s="406"/>
      <c r="FOF80" s="406"/>
      <c r="FOG80" s="406"/>
      <c r="FOH80" s="406"/>
      <c r="FOI80" s="406"/>
      <c r="FOJ80" s="406"/>
      <c r="FOK80" s="406"/>
      <c r="FOL80" s="406"/>
      <c r="FOM80" s="406"/>
      <c r="FON80" s="406"/>
      <c r="FOO80" s="406"/>
      <c r="FOP80" s="406"/>
      <c r="FOQ80" s="406"/>
      <c r="FOR80" s="406"/>
      <c r="FOS80" s="406"/>
      <c r="FOT80" s="406"/>
      <c r="FOU80" s="406"/>
      <c r="FOV80" s="406"/>
      <c r="FOW80" s="406"/>
      <c r="FOX80" s="406"/>
      <c r="FOY80" s="406"/>
      <c r="FOZ80" s="406"/>
      <c r="FPA80" s="406"/>
      <c r="FPB80" s="406"/>
      <c r="FPC80" s="406"/>
      <c r="FPD80" s="406"/>
      <c r="FPE80" s="406"/>
      <c r="FPF80" s="406"/>
      <c r="FPG80" s="406"/>
      <c r="FPH80" s="406"/>
      <c r="FPI80" s="406"/>
      <c r="FPJ80" s="406"/>
      <c r="FPK80" s="406"/>
      <c r="FPL80" s="406"/>
      <c r="FPM80" s="406"/>
      <c r="FPN80" s="406"/>
      <c r="FPO80" s="406"/>
      <c r="FPP80" s="406"/>
      <c r="FPQ80" s="406"/>
      <c r="FPR80" s="406"/>
      <c r="FPS80" s="406"/>
      <c r="FPT80" s="406"/>
      <c r="FPU80" s="406"/>
      <c r="FPV80" s="406"/>
      <c r="FPW80" s="406"/>
      <c r="FPX80" s="406"/>
      <c r="FPY80" s="406"/>
      <c r="FPZ80" s="406"/>
      <c r="FQA80" s="406"/>
      <c r="FQB80" s="406"/>
      <c r="FQC80" s="406"/>
      <c r="FQD80" s="406"/>
      <c r="FQE80" s="406"/>
      <c r="FQF80" s="406"/>
      <c r="FQG80" s="406"/>
      <c r="FQH80" s="406"/>
      <c r="FQI80" s="406"/>
      <c r="FQJ80" s="406"/>
      <c r="FQK80" s="406"/>
      <c r="FQL80" s="406"/>
      <c r="FQM80" s="406"/>
      <c r="FQN80" s="406"/>
      <c r="FQO80" s="406"/>
      <c r="FQP80" s="406"/>
      <c r="FQQ80" s="406"/>
      <c r="FQR80" s="406"/>
      <c r="FQS80" s="406"/>
      <c r="FQT80" s="406"/>
      <c r="FQU80" s="406"/>
      <c r="FQV80" s="406"/>
      <c r="FQW80" s="406"/>
      <c r="FQX80" s="406"/>
      <c r="FQY80" s="406"/>
      <c r="FQZ80" s="406"/>
      <c r="FRA80" s="406"/>
      <c r="FRB80" s="406"/>
      <c r="FRC80" s="406"/>
      <c r="FRD80" s="406"/>
      <c r="FRE80" s="406"/>
      <c r="FRF80" s="406"/>
      <c r="FRG80" s="406"/>
      <c r="FRH80" s="406"/>
      <c r="FRI80" s="406"/>
      <c r="FRJ80" s="406"/>
      <c r="FRK80" s="406"/>
      <c r="FRL80" s="406"/>
      <c r="FRM80" s="406"/>
      <c r="FRN80" s="406"/>
      <c r="FRO80" s="406"/>
      <c r="FRP80" s="406"/>
      <c r="FRQ80" s="406"/>
      <c r="FRR80" s="406"/>
      <c r="FRS80" s="406"/>
      <c r="FRT80" s="406"/>
      <c r="FRU80" s="406"/>
      <c r="FRV80" s="406"/>
      <c r="FRW80" s="406"/>
      <c r="FRX80" s="406"/>
      <c r="FRY80" s="406"/>
      <c r="FRZ80" s="406"/>
      <c r="FSA80" s="406"/>
      <c r="FSB80" s="406"/>
      <c r="FSC80" s="406"/>
      <c r="FSD80" s="406"/>
      <c r="FSE80" s="406"/>
      <c r="FSF80" s="406"/>
      <c r="FSG80" s="406"/>
      <c r="FSH80" s="406"/>
      <c r="FSI80" s="406"/>
      <c r="FSJ80" s="406"/>
      <c r="FSK80" s="406"/>
      <c r="FSL80" s="406"/>
      <c r="FSM80" s="406"/>
      <c r="FSN80" s="406"/>
      <c r="FSO80" s="406"/>
      <c r="FSP80" s="406"/>
      <c r="FSQ80" s="406"/>
      <c r="FSR80" s="406"/>
      <c r="FSS80" s="406"/>
      <c r="FST80" s="406"/>
      <c r="FSU80" s="406"/>
      <c r="FSV80" s="406"/>
      <c r="FSW80" s="406"/>
      <c r="FSX80" s="406"/>
      <c r="FSY80" s="406"/>
      <c r="FSZ80" s="406"/>
      <c r="FTA80" s="406"/>
      <c r="FTB80" s="406"/>
      <c r="FTC80" s="406"/>
      <c r="FTD80" s="406"/>
      <c r="FTE80" s="406"/>
      <c r="FTF80" s="406"/>
      <c r="FTG80" s="406"/>
      <c r="FTH80" s="406"/>
      <c r="FTI80" s="406"/>
      <c r="FTJ80" s="406"/>
      <c r="FTK80" s="406"/>
      <c r="FTL80" s="406"/>
      <c r="FTM80" s="406"/>
      <c r="FTN80" s="406"/>
      <c r="FTO80" s="406"/>
      <c r="FTP80" s="406"/>
      <c r="FTQ80" s="406"/>
      <c r="FTR80" s="406"/>
      <c r="FTS80" s="406"/>
      <c r="FTT80" s="406"/>
      <c r="FTU80" s="406"/>
      <c r="FTV80" s="406"/>
      <c r="FTW80" s="406"/>
      <c r="FTX80" s="406"/>
      <c r="FTY80" s="406"/>
      <c r="FTZ80" s="406"/>
      <c r="FUA80" s="406"/>
      <c r="FUB80" s="406"/>
      <c r="FUC80" s="406"/>
      <c r="FUD80" s="406"/>
      <c r="FUE80" s="406"/>
      <c r="FUF80" s="406"/>
      <c r="FUG80" s="406"/>
      <c r="FUH80" s="406"/>
      <c r="FUI80" s="406"/>
      <c r="FUJ80" s="406"/>
      <c r="FUK80" s="406"/>
      <c r="FUL80" s="406"/>
      <c r="FUM80" s="406"/>
      <c r="FUN80" s="406"/>
      <c r="FUO80" s="406"/>
      <c r="FUP80" s="406"/>
      <c r="FUQ80" s="406"/>
      <c r="FUR80" s="406"/>
      <c r="FUS80" s="406"/>
      <c r="FUT80" s="406"/>
      <c r="FUU80" s="406"/>
      <c r="FUV80" s="406"/>
      <c r="FUW80" s="406"/>
      <c r="FUX80" s="406"/>
      <c r="FUY80" s="406"/>
      <c r="FUZ80" s="406"/>
      <c r="FVA80" s="406"/>
      <c r="FVB80" s="406"/>
      <c r="FVC80" s="406"/>
      <c r="FVD80" s="406"/>
      <c r="FVE80" s="406"/>
      <c r="FVF80" s="406"/>
      <c r="FVG80" s="406"/>
      <c r="FVH80" s="406"/>
      <c r="FVI80" s="406"/>
      <c r="FVJ80" s="406"/>
      <c r="FVK80" s="406"/>
      <c r="FVL80" s="406"/>
      <c r="FVM80" s="406"/>
      <c r="FVN80" s="406"/>
      <c r="FVO80" s="406"/>
      <c r="FVP80" s="406"/>
      <c r="FVQ80" s="406"/>
      <c r="FVR80" s="406"/>
      <c r="FVS80" s="406"/>
      <c r="FVT80" s="406"/>
      <c r="FVU80" s="406"/>
      <c r="FVV80" s="406"/>
      <c r="FVW80" s="406"/>
      <c r="FVX80" s="406"/>
      <c r="FVY80" s="406"/>
      <c r="FVZ80" s="406"/>
      <c r="FWA80" s="406"/>
      <c r="FWB80" s="406"/>
      <c r="FWC80" s="406"/>
      <c r="FWD80" s="406"/>
      <c r="FWE80" s="406"/>
      <c r="FWF80" s="406"/>
      <c r="FWG80" s="406"/>
      <c r="FWH80" s="406"/>
      <c r="FWI80" s="406"/>
      <c r="FWJ80" s="406"/>
      <c r="FWK80" s="406"/>
      <c r="FWL80" s="406"/>
      <c r="FWM80" s="406"/>
      <c r="FWN80" s="406"/>
      <c r="FWO80" s="406"/>
      <c r="FWP80" s="406"/>
      <c r="FWQ80" s="406"/>
      <c r="FWR80" s="406"/>
      <c r="FWS80" s="406"/>
      <c r="FWT80" s="406"/>
      <c r="FWU80" s="406"/>
      <c r="FWV80" s="406"/>
      <c r="FWW80" s="406"/>
      <c r="FWX80" s="406"/>
      <c r="FWY80" s="406"/>
      <c r="FWZ80" s="406"/>
      <c r="FXA80" s="406"/>
      <c r="FXB80" s="406"/>
      <c r="FXC80" s="406"/>
      <c r="FXD80" s="406"/>
      <c r="FXE80" s="406"/>
      <c r="FXF80" s="406"/>
      <c r="FXG80" s="406"/>
      <c r="FXH80" s="406"/>
      <c r="FXI80" s="406"/>
      <c r="FXJ80" s="406"/>
      <c r="FXK80" s="406"/>
      <c r="FXL80" s="406"/>
      <c r="FXM80" s="406"/>
      <c r="FXN80" s="406"/>
      <c r="FXO80" s="406"/>
      <c r="FXP80" s="406"/>
      <c r="FXQ80" s="406"/>
      <c r="FXR80" s="406"/>
      <c r="FXS80" s="406"/>
      <c r="FXT80" s="406"/>
      <c r="FXU80" s="406"/>
      <c r="FXV80" s="406"/>
      <c r="FXW80" s="406"/>
      <c r="FXX80" s="406"/>
      <c r="FXY80" s="406"/>
      <c r="FXZ80" s="406"/>
      <c r="FYA80" s="406"/>
      <c r="FYB80" s="406"/>
      <c r="FYC80" s="406"/>
      <c r="FYD80" s="406"/>
      <c r="FYE80" s="406"/>
      <c r="FYF80" s="406"/>
      <c r="FYG80" s="406"/>
      <c r="FYH80" s="406"/>
      <c r="FYI80" s="406"/>
      <c r="FYJ80" s="406"/>
      <c r="FYK80" s="406"/>
      <c r="FYL80" s="406"/>
      <c r="FYM80" s="406"/>
      <c r="FYN80" s="406"/>
      <c r="FYO80" s="406"/>
      <c r="FYP80" s="406"/>
      <c r="FYQ80" s="406"/>
      <c r="FYR80" s="406"/>
      <c r="FYS80" s="406"/>
      <c r="FYT80" s="406"/>
      <c r="FYU80" s="406"/>
      <c r="FYV80" s="406"/>
      <c r="FYW80" s="406"/>
      <c r="FYX80" s="406"/>
      <c r="FYY80" s="406"/>
      <c r="FYZ80" s="406"/>
      <c r="FZA80" s="406"/>
      <c r="FZB80" s="406"/>
      <c r="FZC80" s="406"/>
      <c r="FZD80" s="406"/>
      <c r="FZE80" s="406"/>
      <c r="FZF80" s="406"/>
      <c r="FZG80" s="406"/>
      <c r="FZH80" s="406"/>
      <c r="FZI80" s="406"/>
      <c r="FZJ80" s="406"/>
      <c r="FZK80" s="406"/>
      <c r="FZL80" s="406"/>
      <c r="FZM80" s="406"/>
      <c r="FZN80" s="406"/>
      <c r="FZO80" s="406"/>
      <c r="FZP80" s="406"/>
      <c r="FZQ80" s="406"/>
      <c r="FZR80" s="406"/>
      <c r="FZS80" s="406"/>
      <c r="FZT80" s="406"/>
      <c r="FZU80" s="406"/>
      <c r="FZV80" s="406"/>
      <c r="FZW80" s="406"/>
      <c r="FZX80" s="406"/>
      <c r="FZY80" s="406"/>
      <c r="FZZ80" s="406"/>
      <c r="GAA80" s="406"/>
      <c r="GAB80" s="406"/>
      <c r="GAC80" s="406"/>
      <c r="GAD80" s="406"/>
      <c r="GAE80" s="406"/>
      <c r="GAF80" s="406"/>
      <c r="GAG80" s="406"/>
      <c r="GAH80" s="406"/>
      <c r="GAI80" s="406"/>
      <c r="GAJ80" s="406"/>
      <c r="GAK80" s="406"/>
      <c r="GAL80" s="406"/>
      <c r="GAM80" s="406"/>
      <c r="GAN80" s="406"/>
      <c r="GAO80" s="406"/>
      <c r="GAP80" s="406"/>
      <c r="GAQ80" s="406"/>
      <c r="GAR80" s="406"/>
      <c r="GAS80" s="406"/>
      <c r="GAT80" s="406"/>
      <c r="GAU80" s="406"/>
      <c r="GAV80" s="406"/>
      <c r="GAW80" s="406"/>
      <c r="GAX80" s="406"/>
      <c r="GAY80" s="406"/>
      <c r="GAZ80" s="406"/>
      <c r="GBA80" s="406"/>
      <c r="GBB80" s="406"/>
      <c r="GBC80" s="406"/>
      <c r="GBD80" s="406"/>
      <c r="GBE80" s="406"/>
      <c r="GBF80" s="406"/>
      <c r="GBG80" s="406"/>
      <c r="GBH80" s="406"/>
      <c r="GBI80" s="406"/>
      <c r="GBJ80" s="406"/>
      <c r="GBK80" s="406"/>
      <c r="GBL80" s="406"/>
      <c r="GBM80" s="406"/>
      <c r="GBN80" s="406"/>
      <c r="GBO80" s="406"/>
      <c r="GBP80" s="406"/>
      <c r="GBQ80" s="406"/>
      <c r="GBR80" s="406"/>
      <c r="GBS80" s="406"/>
      <c r="GBT80" s="406"/>
      <c r="GBU80" s="406"/>
      <c r="GBV80" s="406"/>
      <c r="GBW80" s="406"/>
      <c r="GBX80" s="406"/>
      <c r="GBY80" s="406"/>
      <c r="GBZ80" s="406"/>
      <c r="GCA80" s="406"/>
      <c r="GCB80" s="406"/>
      <c r="GCC80" s="406"/>
      <c r="GCD80" s="406"/>
      <c r="GCE80" s="406"/>
      <c r="GCF80" s="406"/>
      <c r="GCG80" s="406"/>
      <c r="GCH80" s="406"/>
      <c r="GCI80" s="406"/>
      <c r="GCJ80" s="406"/>
      <c r="GCK80" s="406"/>
      <c r="GCL80" s="406"/>
      <c r="GCM80" s="406"/>
      <c r="GCN80" s="406"/>
      <c r="GCO80" s="406"/>
      <c r="GCP80" s="406"/>
      <c r="GCQ80" s="406"/>
      <c r="GCR80" s="406"/>
      <c r="GCS80" s="406"/>
      <c r="GCT80" s="406"/>
      <c r="GCU80" s="406"/>
      <c r="GCV80" s="406"/>
      <c r="GCW80" s="406"/>
      <c r="GCX80" s="406"/>
      <c r="GCY80" s="406"/>
      <c r="GCZ80" s="406"/>
      <c r="GDA80" s="406"/>
      <c r="GDB80" s="406"/>
      <c r="GDC80" s="406"/>
      <c r="GDD80" s="406"/>
      <c r="GDE80" s="406"/>
      <c r="GDF80" s="406"/>
      <c r="GDG80" s="406"/>
      <c r="GDH80" s="406"/>
      <c r="GDI80" s="406"/>
      <c r="GDJ80" s="406"/>
      <c r="GDK80" s="406"/>
      <c r="GDL80" s="406"/>
      <c r="GDM80" s="406"/>
      <c r="GDN80" s="406"/>
      <c r="GDO80" s="406"/>
      <c r="GDP80" s="406"/>
      <c r="GDQ80" s="406"/>
      <c r="GDR80" s="406"/>
      <c r="GDS80" s="406"/>
      <c r="GDT80" s="406"/>
      <c r="GDU80" s="406"/>
      <c r="GDV80" s="406"/>
      <c r="GDW80" s="406"/>
      <c r="GDX80" s="406"/>
      <c r="GDY80" s="406"/>
      <c r="GDZ80" s="406"/>
      <c r="GEA80" s="406"/>
      <c r="GEB80" s="406"/>
      <c r="GEC80" s="406"/>
      <c r="GED80" s="406"/>
      <c r="GEE80" s="406"/>
      <c r="GEF80" s="406"/>
      <c r="GEG80" s="406"/>
      <c r="GEH80" s="406"/>
      <c r="GEI80" s="406"/>
      <c r="GEJ80" s="406"/>
      <c r="GEK80" s="406"/>
      <c r="GEL80" s="406"/>
      <c r="GEM80" s="406"/>
      <c r="GEN80" s="406"/>
      <c r="GEO80" s="406"/>
      <c r="GEP80" s="406"/>
      <c r="GEQ80" s="406"/>
      <c r="GER80" s="406"/>
      <c r="GES80" s="406"/>
      <c r="GET80" s="406"/>
      <c r="GEU80" s="406"/>
      <c r="GEV80" s="406"/>
      <c r="GEW80" s="406"/>
      <c r="GEX80" s="406"/>
      <c r="GEY80" s="406"/>
      <c r="GEZ80" s="406"/>
      <c r="GFA80" s="406"/>
      <c r="GFB80" s="406"/>
      <c r="GFC80" s="406"/>
      <c r="GFD80" s="406"/>
      <c r="GFE80" s="406"/>
      <c r="GFF80" s="406"/>
      <c r="GFG80" s="406"/>
      <c r="GFH80" s="406"/>
      <c r="GFI80" s="406"/>
      <c r="GFJ80" s="406"/>
      <c r="GFK80" s="406"/>
      <c r="GFL80" s="406"/>
      <c r="GFM80" s="406"/>
      <c r="GFN80" s="406"/>
      <c r="GFO80" s="406"/>
      <c r="GFP80" s="406"/>
      <c r="GFQ80" s="406"/>
      <c r="GFR80" s="406"/>
      <c r="GFS80" s="406"/>
      <c r="GFT80" s="406"/>
      <c r="GFU80" s="406"/>
      <c r="GFV80" s="406"/>
      <c r="GFW80" s="406"/>
      <c r="GFX80" s="406"/>
      <c r="GFY80" s="406"/>
      <c r="GFZ80" s="406"/>
      <c r="GGA80" s="406"/>
      <c r="GGB80" s="406"/>
      <c r="GGC80" s="406"/>
      <c r="GGD80" s="406"/>
      <c r="GGE80" s="406"/>
      <c r="GGF80" s="406"/>
      <c r="GGG80" s="406"/>
      <c r="GGH80" s="406"/>
      <c r="GGI80" s="406"/>
      <c r="GGJ80" s="406"/>
      <c r="GGK80" s="406"/>
      <c r="GGL80" s="406"/>
      <c r="GGM80" s="406"/>
      <c r="GGN80" s="406"/>
      <c r="GGO80" s="406"/>
      <c r="GGP80" s="406"/>
      <c r="GGQ80" s="406"/>
      <c r="GGR80" s="406"/>
      <c r="GGS80" s="406"/>
      <c r="GGT80" s="406"/>
      <c r="GGU80" s="406"/>
      <c r="GGV80" s="406"/>
      <c r="GGW80" s="406"/>
      <c r="GGX80" s="406"/>
      <c r="GGY80" s="406"/>
      <c r="GGZ80" s="406"/>
      <c r="GHA80" s="406"/>
      <c r="GHB80" s="406"/>
      <c r="GHC80" s="406"/>
      <c r="GHD80" s="406"/>
      <c r="GHE80" s="406"/>
      <c r="GHF80" s="406"/>
      <c r="GHG80" s="406"/>
      <c r="GHH80" s="406"/>
      <c r="GHI80" s="406"/>
      <c r="GHJ80" s="406"/>
      <c r="GHK80" s="406"/>
      <c r="GHL80" s="406"/>
      <c r="GHM80" s="406"/>
      <c r="GHN80" s="406"/>
      <c r="GHO80" s="406"/>
      <c r="GHP80" s="406"/>
      <c r="GHQ80" s="406"/>
      <c r="GHR80" s="406"/>
      <c r="GHS80" s="406"/>
      <c r="GHT80" s="406"/>
      <c r="GHU80" s="406"/>
      <c r="GHV80" s="406"/>
      <c r="GHW80" s="406"/>
      <c r="GHX80" s="406"/>
      <c r="GHY80" s="406"/>
      <c r="GHZ80" s="406"/>
      <c r="GIA80" s="406"/>
      <c r="GIB80" s="406"/>
      <c r="GIC80" s="406"/>
      <c r="GID80" s="406"/>
      <c r="GIE80" s="406"/>
      <c r="GIF80" s="406"/>
      <c r="GIG80" s="406"/>
      <c r="GIH80" s="406"/>
      <c r="GII80" s="406"/>
      <c r="GIJ80" s="406"/>
      <c r="GIK80" s="406"/>
      <c r="GIL80" s="406"/>
      <c r="GIM80" s="406"/>
      <c r="GIN80" s="406"/>
      <c r="GIO80" s="406"/>
      <c r="GIP80" s="406"/>
      <c r="GIQ80" s="406"/>
      <c r="GIR80" s="406"/>
      <c r="GIS80" s="406"/>
      <c r="GIT80" s="406"/>
      <c r="GIU80" s="406"/>
      <c r="GIV80" s="406"/>
      <c r="GIW80" s="406"/>
      <c r="GIX80" s="406"/>
      <c r="GIY80" s="406"/>
      <c r="GIZ80" s="406"/>
      <c r="GJA80" s="406"/>
      <c r="GJB80" s="406"/>
      <c r="GJC80" s="406"/>
      <c r="GJD80" s="406"/>
      <c r="GJE80" s="406"/>
      <c r="GJF80" s="406"/>
      <c r="GJG80" s="406"/>
      <c r="GJH80" s="406"/>
      <c r="GJI80" s="406"/>
      <c r="GJJ80" s="406"/>
      <c r="GJK80" s="406"/>
      <c r="GJL80" s="406"/>
      <c r="GJM80" s="406"/>
      <c r="GJN80" s="406"/>
      <c r="GJO80" s="406"/>
      <c r="GJP80" s="406"/>
      <c r="GJQ80" s="406"/>
      <c r="GJR80" s="406"/>
      <c r="GJS80" s="406"/>
      <c r="GJT80" s="406"/>
      <c r="GJU80" s="406"/>
      <c r="GJV80" s="406"/>
      <c r="GJW80" s="406"/>
      <c r="GJX80" s="406"/>
      <c r="GJY80" s="406"/>
      <c r="GJZ80" s="406"/>
      <c r="GKA80" s="406"/>
      <c r="GKB80" s="406"/>
      <c r="GKC80" s="406"/>
      <c r="GKD80" s="406"/>
      <c r="GKE80" s="406"/>
      <c r="GKF80" s="406"/>
      <c r="GKG80" s="406"/>
      <c r="GKH80" s="406"/>
      <c r="GKI80" s="406"/>
      <c r="GKJ80" s="406"/>
      <c r="GKK80" s="406"/>
      <c r="GKL80" s="406"/>
      <c r="GKM80" s="406"/>
      <c r="GKN80" s="406"/>
      <c r="GKO80" s="406"/>
      <c r="GKP80" s="406"/>
      <c r="GKQ80" s="406"/>
      <c r="GKR80" s="406"/>
      <c r="GKS80" s="406"/>
      <c r="GKT80" s="406"/>
      <c r="GKU80" s="406"/>
      <c r="GKV80" s="406"/>
      <c r="GKW80" s="406"/>
      <c r="GKX80" s="406"/>
      <c r="GKY80" s="406"/>
      <c r="GKZ80" s="406"/>
      <c r="GLA80" s="406"/>
      <c r="GLB80" s="406"/>
      <c r="GLC80" s="406"/>
      <c r="GLD80" s="406"/>
      <c r="GLE80" s="406"/>
      <c r="GLF80" s="406"/>
      <c r="GLG80" s="406"/>
      <c r="GLH80" s="406"/>
      <c r="GLI80" s="406"/>
      <c r="GLJ80" s="406"/>
      <c r="GLK80" s="406"/>
      <c r="GLL80" s="406"/>
      <c r="GLM80" s="406"/>
      <c r="GLN80" s="406"/>
      <c r="GLO80" s="406"/>
      <c r="GLP80" s="406"/>
      <c r="GLQ80" s="406"/>
      <c r="GLR80" s="406"/>
      <c r="GLS80" s="406"/>
      <c r="GLT80" s="406"/>
      <c r="GLU80" s="406"/>
      <c r="GLV80" s="406"/>
      <c r="GLW80" s="406"/>
      <c r="GLX80" s="406"/>
      <c r="GLY80" s="406"/>
      <c r="GLZ80" s="406"/>
      <c r="GMA80" s="406"/>
      <c r="GMB80" s="406"/>
      <c r="GMC80" s="406"/>
      <c r="GMD80" s="406"/>
      <c r="GME80" s="406"/>
      <c r="GMF80" s="406"/>
      <c r="GMG80" s="406"/>
      <c r="GMH80" s="406"/>
      <c r="GMI80" s="406"/>
      <c r="GMJ80" s="406"/>
      <c r="GMK80" s="406"/>
      <c r="GML80" s="406"/>
      <c r="GMM80" s="406"/>
      <c r="GMN80" s="406"/>
      <c r="GMO80" s="406"/>
      <c r="GMP80" s="406"/>
      <c r="GMQ80" s="406"/>
      <c r="GMR80" s="406"/>
      <c r="GMS80" s="406"/>
      <c r="GMT80" s="406"/>
      <c r="GMU80" s="406"/>
      <c r="GMV80" s="406"/>
      <c r="GMW80" s="406"/>
      <c r="GMX80" s="406"/>
      <c r="GMY80" s="406"/>
      <c r="GMZ80" s="406"/>
      <c r="GNA80" s="406"/>
      <c r="GNB80" s="406"/>
      <c r="GNC80" s="406"/>
      <c r="GND80" s="406"/>
      <c r="GNE80" s="406"/>
      <c r="GNF80" s="406"/>
      <c r="GNG80" s="406"/>
      <c r="GNH80" s="406"/>
      <c r="GNI80" s="406"/>
      <c r="GNJ80" s="406"/>
      <c r="GNK80" s="406"/>
      <c r="GNL80" s="406"/>
      <c r="GNM80" s="406"/>
      <c r="GNN80" s="406"/>
      <c r="GNO80" s="406"/>
      <c r="GNP80" s="406"/>
      <c r="GNQ80" s="406"/>
      <c r="GNR80" s="406"/>
      <c r="GNS80" s="406"/>
      <c r="GNT80" s="406"/>
      <c r="GNU80" s="406"/>
      <c r="GNV80" s="406"/>
      <c r="GNW80" s="406"/>
      <c r="GNX80" s="406"/>
      <c r="GNY80" s="406"/>
      <c r="GNZ80" s="406"/>
      <c r="GOA80" s="406"/>
      <c r="GOB80" s="406"/>
      <c r="GOC80" s="406"/>
      <c r="GOD80" s="406"/>
      <c r="GOE80" s="406"/>
      <c r="GOF80" s="406"/>
      <c r="GOG80" s="406"/>
      <c r="GOH80" s="406"/>
      <c r="GOI80" s="406"/>
      <c r="GOJ80" s="406"/>
      <c r="GOK80" s="406"/>
      <c r="GOL80" s="406"/>
      <c r="GOM80" s="406"/>
      <c r="GON80" s="406"/>
      <c r="GOO80" s="406"/>
      <c r="GOP80" s="406"/>
      <c r="GOQ80" s="406"/>
      <c r="GOR80" s="406"/>
      <c r="GOS80" s="406"/>
      <c r="GOT80" s="406"/>
      <c r="GOU80" s="406"/>
      <c r="GOV80" s="406"/>
      <c r="GOW80" s="406"/>
      <c r="GOX80" s="406"/>
      <c r="GOY80" s="406"/>
      <c r="GOZ80" s="406"/>
      <c r="GPA80" s="406"/>
      <c r="GPB80" s="406"/>
      <c r="GPC80" s="406"/>
      <c r="GPD80" s="406"/>
      <c r="GPE80" s="406"/>
      <c r="GPF80" s="406"/>
      <c r="GPG80" s="406"/>
      <c r="GPH80" s="406"/>
      <c r="GPI80" s="406"/>
      <c r="GPJ80" s="406"/>
      <c r="GPK80" s="406"/>
      <c r="GPL80" s="406"/>
      <c r="GPM80" s="406"/>
      <c r="GPN80" s="406"/>
      <c r="GPO80" s="406"/>
      <c r="GPP80" s="406"/>
      <c r="GPQ80" s="406"/>
      <c r="GPR80" s="406"/>
      <c r="GPS80" s="406"/>
      <c r="GPT80" s="406"/>
      <c r="GPU80" s="406"/>
      <c r="GPV80" s="406"/>
      <c r="GPW80" s="406"/>
      <c r="GPX80" s="406"/>
      <c r="GPY80" s="406"/>
      <c r="GPZ80" s="406"/>
      <c r="GQA80" s="406"/>
      <c r="GQB80" s="406"/>
      <c r="GQC80" s="406"/>
      <c r="GQD80" s="406"/>
      <c r="GQE80" s="406"/>
      <c r="GQF80" s="406"/>
      <c r="GQG80" s="406"/>
      <c r="GQH80" s="406"/>
      <c r="GQI80" s="406"/>
      <c r="GQJ80" s="406"/>
      <c r="GQK80" s="406"/>
      <c r="GQL80" s="406"/>
      <c r="GQM80" s="406"/>
      <c r="GQN80" s="406"/>
      <c r="GQO80" s="406"/>
      <c r="GQP80" s="406"/>
      <c r="GQQ80" s="406"/>
      <c r="GQR80" s="406"/>
      <c r="GQS80" s="406"/>
      <c r="GQT80" s="406"/>
      <c r="GQU80" s="406"/>
      <c r="GQV80" s="406"/>
      <c r="GQW80" s="406"/>
      <c r="GQX80" s="406"/>
      <c r="GQY80" s="406"/>
      <c r="GQZ80" s="406"/>
      <c r="GRA80" s="406"/>
      <c r="GRB80" s="406"/>
      <c r="GRC80" s="406"/>
      <c r="GRD80" s="406"/>
      <c r="GRE80" s="406"/>
      <c r="GRF80" s="406"/>
      <c r="GRG80" s="406"/>
      <c r="GRH80" s="406"/>
      <c r="GRI80" s="406"/>
      <c r="GRJ80" s="406"/>
      <c r="GRK80" s="406"/>
      <c r="GRL80" s="406"/>
      <c r="GRM80" s="406"/>
      <c r="GRN80" s="406"/>
      <c r="GRO80" s="406"/>
      <c r="GRP80" s="406"/>
      <c r="GRQ80" s="406"/>
      <c r="GRR80" s="406"/>
      <c r="GRS80" s="406"/>
      <c r="GRT80" s="406"/>
      <c r="GRU80" s="406"/>
      <c r="GRV80" s="406"/>
      <c r="GRW80" s="406"/>
      <c r="GRX80" s="406"/>
      <c r="GRY80" s="406"/>
      <c r="GRZ80" s="406"/>
      <c r="GSA80" s="406"/>
      <c r="GSB80" s="406"/>
      <c r="GSC80" s="406"/>
      <c r="GSD80" s="406"/>
      <c r="GSE80" s="406"/>
      <c r="GSF80" s="406"/>
      <c r="GSG80" s="406"/>
      <c r="GSH80" s="406"/>
      <c r="GSI80" s="406"/>
      <c r="GSJ80" s="406"/>
      <c r="GSK80" s="406"/>
      <c r="GSL80" s="406"/>
      <c r="GSM80" s="406"/>
      <c r="GSN80" s="406"/>
      <c r="GSO80" s="406"/>
      <c r="GSP80" s="406"/>
      <c r="GSQ80" s="406"/>
      <c r="GSR80" s="406"/>
      <c r="GSS80" s="406"/>
      <c r="GST80" s="406"/>
      <c r="GSU80" s="406"/>
      <c r="GSV80" s="406"/>
      <c r="GSW80" s="406"/>
      <c r="GSX80" s="406"/>
      <c r="GSY80" s="406"/>
      <c r="GSZ80" s="406"/>
      <c r="GTA80" s="406"/>
      <c r="GTB80" s="406"/>
      <c r="GTC80" s="406"/>
      <c r="GTD80" s="406"/>
      <c r="GTE80" s="406"/>
      <c r="GTF80" s="406"/>
      <c r="GTG80" s="406"/>
      <c r="GTH80" s="406"/>
      <c r="GTI80" s="406"/>
      <c r="GTJ80" s="406"/>
      <c r="GTK80" s="406"/>
      <c r="GTL80" s="406"/>
      <c r="GTM80" s="406"/>
      <c r="GTN80" s="406"/>
      <c r="GTO80" s="406"/>
      <c r="GTP80" s="406"/>
      <c r="GTQ80" s="406"/>
      <c r="GTR80" s="406"/>
      <c r="GTS80" s="406"/>
      <c r="GTT80" s="406"/>
      <c r="GTU80" s="406"/>
      <c r="GTV80" s="406"/>
      <c r="GTW80" s="406"/>
      <c r="GTX80" s="406"/>
      <c r="GTY80" s="406"/>
      <c r="GTZ80" s="406"/>
      <c r="GUA80" s="406"/>
      <c r="GUB80" s="406"/>
      <c r="GUC80" s="406"/>
      <c r="GUD80" s="406"/>
      <c r="GUE80" s="406"/>
      <c r="GUF80" s="406"/>
      <c r="GUG80" s="406"/>
      <c r="GUH80" s="406"/>
      <c r="GUI80" s="406"/>
      <c r="GUJ80" s="406"/>
      <c r="GUK80" s="406"/>
      <c r="GUL80" s="406"/>
      <c r="GUM80" s="406"/>
      <c r="GUN80" s="406"/>
      <c r="GUO80" s="406"/>
      <c r="GUP80" s="406"/>
      <c r="GUQ80" s="406"/>
      <c r="GUR80" s="406"/>
      <c r="GUS80" s="406"/>
      <c r="GUT80" s="406"/>
      <c r="GUU80" s="406"/>
      <c r="GUV80" s="406"/>
      <c r="GUW80" s="406"/>
      <c r="GUX80" s="406"/>
      <c r="GUY80" s="406"/>
      <c r="GUZ80" s="406"/>
      <c r="GVA80" s="406"/>
      <c r="GVB80" s="406"/>
      <c r="GVC80" s="406"/>
      <c r="GVD80" s="406"/>
      <c r="GVE80" s="406"/>
      <c r="GVF80" s="406"/>
      <c r="GVG80" s="406"/>
      <c r="GVH80" s="406"/>
      <c r="GVI80" s="406"/>
      <c r="GVJ80" s="406"/>
      <c r="GVK80" s="406"/>
      <c r="GVL80" s="406"/>
      <c r="GVM80" s="406"/>
      <c r="GVN80" s="406"/>
      <c r="GVO80" s="406"/>
      <c r="GVP80" s="406"/>
      <c r="GVQ80" s="406"/>
      <c r="GVR80" s="406"/>
      <c r="GVS80" s="406"/>
      <c r="GVT80" s="406"/>
      <c r="GVU80" s="406"/>
      <c r="GVV80" s="406"/>
      <c r="GVW80" s="406"/>
      <c r="GVX80" s="406"/>
      <c r="GVY80" s="406"/>
      <c r="GVZ80" s="406"/>
      <c r="GWA80" s="406"/>
      <c r="GWB80" s="406"/>
      <c r="GWC80" s="406"/>
      <c r="GWD80" s="406"/>
      <c r="GWE80" s="406"/>
      <c r="GWF80" s="406"/>
      <c r="GWG80" s="406"/>
      <c r="GWH80" s="406"/>
      <c r="GWI80" s="406"/>
      <c r="GWJ80" s="406"/>
      <c r="GWK80" s="406"/>
      <c r="GWL80" s="406"/>
      <c r="GWM80" s="406"/>
      <c r="GWN80" s="406"/>
      <c r="GWO80" s="406"/>
      <c r="GWP80" s="406"/>
      <c r="GWQ80" s="406"/>
      <c r="GWR80" s="406"/>
      <c r="GWS80" s="406"/>
      <c r="GWT80" s="406"/>
      <c r="GWU80" s="406"/>
      <c r="GWV80" s="406"/>
      <c r="GWW80" s="406"/>
      <c r="GWX80" s="406"/>
      <c r="GWY80" s="406"/>
      <c r="GWZ80" s="406"/>
      <c r="GXA80" s="406"/>
      <c r="GXB80" s="406"/>
      <c r="GXC80" s="406"/>
      <c r="GXD80" s="406"/>
      <c r="GXE80" s="406"/>
      <c r="GXF80" s="406"/>
      <c r="GXG80" s="406"/>
      <c r="GXH80" s="406"/>
      <c r="GXI80" s="406"/>
      <c r="GXJ80" s="406"/>
      <c r="GXK80" s="406"/>
      <c r="GXL80" s="406"/>
      <c r="GXM80" s="406"/>
      <c r="GXN80" s="406"/>
      <c r="GXO80" s="406"/>
      <c r="GXP80" s="406"/>
      <c r="GXQ80" s="406"/>
      <c r="GXR80" s="406"/>
      <c r="GXS80" s="406"/>
      <c r="GXT80" s="406"/>
      <c r="GXU80" s="406"/>
      <c r="GXV80" s="406"/>
      <c r="GXW80" s="406"/>
      <c r="GXX80" s="406"/>
      <c r="GXY80" s="406"/>
      <c r="GXZ80" s="406"/>
      <c r="GYA80" s="406"/>
      <c r="GYB80" s="406"/>
      <c r="GYC80" s="406"/>
      <c r="GYD80" s="406"/>
      <c r="GYE80" s="406"/>
      <c r="GYF80" s="406"/>
      <c r="GYG80" s="406"/>
      <c r="GYH80" s="406"/>
      <c r="GYI80" s="406"/>
      <c r="GYJ80" s="406"/>
      <c r="GYK80" s="406"/>
      <c r="GYL80" s="406"/>
      <c r="GYM80" s="406"/>
      <c r="GYN80" s="406"/>
      <c r="GYO80" s="406"/>
      <c r="GYP80" s="406"/>
      <c r="GYQ80" s="406"/>
      <c r="GYR80" s="406"/>
      <c r="GYS80" s="406"/>
      <c r="GYT80" s="406"/>
      <c r="GYU80" s="406"/>
      <c r="GYV80" s="406"/>
      <c r="GYW80" s="406"/>
      <c r="GYX80" s="406"/>
      <c r="GYY80" s="406"/>
      <c r="GYZ80" s="406"/>
      <c r="GZA80" s="406"/>
      <c r="GZB80" s="406"/>
      <c r="GZC80" s="406"/>
      <c r="GZD80" s="406"/>
      <c r="GZE80" s="406"/>
      <c r="GZF80" s="406"/>
      <c r="GZG80" s="406"/>
      <c r="GZH80" s="406"/>
      <c r="GZI80" s="406"/>
      <c r="GZJ80" s="406"/>
      <c r="GZK80" s="406"/>
      <c r="GZL80" s="406"/>
      <c r="GZM80" s="406"/>
      <c r="GZN80" s="406"/>
      <c r="GZO80" s="406"/>
      <c r="GZP80" s="406"/>
      <c r="GZQ80" s="406"/>
      <c r="GZR80" s="406"/>
      <c r="GZS80" s="406"/>
      <c r="GZT80" s="406"/>
      <c r="GZU80" s="406"/>
      <c r="GZV80" s="406"/>
      <c r="GZW80" s="406"/>
      <c r="GZX80" s="406"/>
      <c r="GZY80" s="406"/>
      <c r="GZZ80" s="406"/>
      <c r="HAA80" s="406"/>
      <c r="HAB80" s="406"/>
      <c r="HAC80" s="406"/>
      <c r="HAD80" s="406"/>
      <c r="HAE80" s="406"/>
      <c r="HAF80" s="406"/>
      <c r="HAG80" s="406"/>
      <c r="HAH80" s="406"/>
      <c r="HAI80" s="406"/>
      <c r="HAJ80" s="406"/>
      <c r="HAK80" s="406"/>
      <c r="HAL80" s="406"/>
      <c r="HAM80" s="406"/>
      <c r="HAN80" s="406"/>
      <c r="HAO80" s="406"/>
      <c r="HAP80" s="406"/>
      <c r="HAQ80" s="406"/>
      <c r="HAR80" s="406"/>
      <c r="HAS80" s="406"/>
      <c r="HAT80" s="406"/>
      <c r="HAU80" s="406"/>
      <c r="HAV80" s="406"/>
      <c r="HAW80" s="406"/>
      <c r="HAX80" s="406"/>
      <c r="HAY80" s="406"/>
      <c r="HAZ80" s="406"/>
      <c r="HBA80" s="406"/>
      <c r="HBB80" s="406"/>
      <c r="HBC80" s="406"/>
      <c r="HBD80" s="406"/>
      <c r="HBE80" s="406"/>
      <c r="HBF80" s="406"/>
      <c r="HBG80" s="406"/>
      <c r="HBH80" s="406"/>
      <c r="HBI80" s="406"/>
      <c r="HBJ80" s="406"/>
      <c r="HBK80" s="406"/>
      <c r="HBL80" s="406"/>
      <c r="HBM80" s="406"/>
      <c r="HBN80" s="406"/>
      <c r="HBO80" s="406"/>
      <c r="HBP80" s="406"/>
      <c r="HBQ80" s="406"/>
      <c r="HBR80" s="406"/>
      <c r="HBS80" s="406"/>
      <c r="HBT80" s="406"/>
      <c r="HBU80" s="406"/>
      <c r="HBV80" s="406"/>
      <c r="HBW80" s="406"/>
      <c r="HBX80" s="406"/>
      <c r="HBY80" s="406"/>
      <c r="HBZ80" s="406"/>
      <c r="HCA80" s="406"/>
      <c r="HCB80" s="406"/>
      <c r="HCC80" s="406"/>
      <c r="HCD80" s="406"/>
      <c r="HCE80" s="406"/>
      <c r="HCF80" s="406"/>
      <c r="HCG80" s="406"/>
      <c r="HCH80" s="406"/>
      <c r="HCI80" s="406"/>
      <c r="HCJ80" s="406"/>
      <c r="HCK80" s="406"/>
      <c r="HCL80" s="406"/>
      <c r="HCM80" s="406"/>
      <c r="HCN80" s="406"/>
      <c r="HCO80" s="406"/>
      <c r="HCP80" s="406"/>
      <c r="HCQ80" s="406"/>
      <c r="HCR80" s="406"/>
      <c r="HCS80" s="406"/>
      <c r="HCT80" s="406"/>
      <c r="HCU80" s="406"/>
      <c r="HCV80" s="406"/>
      <c r="HCW80" s="406"/>
      <c r="HCX80" s="406"/>
      <c r="HCY80" s="406"/>
      <c r="HCZ80" s="406"/>
      <c r="HDA80" s="406"/>
      <c r="HDB80" s="406"/>
      <c r="HDC80" s="406"/>
      <c r="HDD80" s="406"/>
      <c r="HDE80" s="406"/>
      <c r="HDF80" s="406"/>
      <c r="HDG80" s="406"/>
      <c r="HDH80" s="406"/>
      <c r="HDI80" s="406"/>
      <c r="HDJ80" s="406"/>
      <c r="HDK80" s="406"/>
      <c r="HDL80" s="406"/>
      <c r="HDM80" s="406"/>
      <c r="HDN80" s="406"/>
      <c r="HDO80" s="406"/>
      <c r="HDP80" s="406"/>
      <c r="HDQ80" s="406"/>
      <c r="HDR80" s="406"/>
      <c r="HDS80" s="406"/>
      <c r="HDT80" s="406"/>
      <c r="HDU80" s="406"/>
      <c r="HDV80" s="406"/>
      <c r="HDW80" s="406"/>
      <c r="HDX80" s="406"/>
      <c r="HDY80" s="406"/>
      <c r="HDZ80" s="406"/>
      <c r="HEA80" s="406"/>
      <c r="HEB80" s="406"/>
      <c r="HEC80" s="406"/>
      <c r="HED80" s="406"/>
      <c r="HEE80" s="406"/>
      <c r="HEF80" s="406"/>
      <c r="HEG80" s="406"/>
      <c r="HEH80" s="406"/>
      <c r="HEI80" s="406"/>
      <c r="HEJ80" s="406"/>
      <c r="HEK80" s="406"/>
      <c r="HEL80" s="406"/>
      <c r="HEM80" s="406"/>
      <c r="HEN80" s="406"/>
      <c r="HEO80" s="406"/>
      <c r="HEP80" s="406"/>
      <c r="HEQ80" s="406"/>
      <c r="HER80" s="406"/>
      <c r="HES80" s="406"/>
      <c r="HET80" s="406"/>
      <c r="HEU80" s="406"/>
      <c r="HEV80" s="406"/>
      <c r="HEW80" s="406"/>
      <c r="HEX80" s="406"/>
      <c r="HEY80" s="406"/>
      <c r="HEZ80" s="406"/>
      <c r="HFA80" s="406"/>
      <c r="HFB80" s="406"/>
      <c r="HFC80" s="406"/>
      <c r="HFD80" s="406"/>
      <c r="HFE80" s="406"/>
      <c r="HFF80" s="406"/>
      <c r="HFG80" s="406"/>
      <c r="HFH80" s="406"/>
      <c r="HFI80" s="406"/>
      <c r="HFJ80" s="406"/>
      <c r="HFK80" s="406"/>
      <c r="HFL80" s="406"/>
      <c r="HFM80" s="406"/>
      <c r="HFN80" s="406"/>
      <c r="HFO80" s="406"/>
      <c r="HFP80" s="406"/>
      <c r="HFQ80" s="406"/>
      <c r="HFR80" s="406"/>
      <c r="HFS80" s="406"/>
      <c r="HFT80" s="406"/>
      <c r="HFU80" s="406"/>
      <c r="HFV80" s="406"/>
      <c r="HFW80" s="406"/>
      <c r="HFX80" s="406"/>
      <c r="HFY80" s="406"/>
      <c r="HFZ80" s="406"/>
      <c r="HGA80" s="406"/>
      <c r="HGB80" s="406"/>
      <c r="HGC80" s="406"/>
      <c r="HGD80" s="406"/>
      <c r="HGE80" s="406"/>
      <c r="HGF80" s="406"/>
      <c r="HGG80" s="406"/>
      <c r="HGH80" s="406"/>
      <c r="HGI80" s="406"/>
      <c r="HGJ80" s="406"/>
      <c r="HGK80" s="406"/>
      <c r="HGL80" s="406"/>
      <c r="HGM80" s="406"/>
      <c r="HGN80" s="406"/>
      <c r="HGO80" s="406"/>
      <c r="HGP80" s="406"/>
      <c r="HGQ80" s="406"/>
      <c r="HGR80" s="406"/>
      <c r="HGS80" s="406"/>
      <c r="HGT80" s="406"/>
      <c r="HGU80" s="406"/>
      <c r="HGV80" s="406"/>
      <c r="HGW80" s="406"/>
      <c r="HGX80" s="406"/>
      <c r="HGY80" s="406"/>
      <c r="HGZ80" s="406"/>
      <c r="HHA80" s="406"/>
      <c r="HHB80" s="406"/>
      <c r="HHC80" s="406"/>
      <c r="HHD80" s="406"/>
      <c r="HHE80" s="406"/>
      <c r="HHF80" s="406"/>
      <c r="HHG80" s="406"/>
      <c r="HHH80" s="406"/>
      <c r="HHI80" s="406"/>
      <c r="HHJ80" s="406"/>
      <c r="HHK80" s="406"/>
      <c r="HHL80" s="406"/>
      <c r="HHM80" s="406"/>
      <c r="HHN80" s="406"/>
      <c r="HHO80" s="406"/>
      <c r="HHP80" s="406"/>
      <c r="HHQ80" s="406"/>
      <c r="HHR80" s="406"/>
      <c r="HHS80" s="406"/>
      <c r="HHT80" s="406"/>
      <c r="HHU80" s="406"/>
      <c r="HHV80" s="406"/>
      <c r="HHW80" s="406"/>
      <c r="HHX80" s="406"/>
      <c r="HHY80" s="406"/>
      <c r="HHZ80" s="406"/>
      <c r="HIA80" s="406"/>
      <c r="HIB80" s="406"/>
      <c r="HIC80" s="406"/>
      <c r="HID80" s="406"/>
      <c r="HIE80" s="406"/>
      <c r="HIF80" s="406"/>
      <c r="HIG80" s="406"/>
      <c r="HIH80" s="406"/>
      <c r="HII80" s="406"/>
      <c r="HIJ80" s="406"/>
      <c r="HIK80" s="406"/>
      <c r="HIL80" s="406"/>
      <c r="HIM80" s="406"/>
      <c r="HIN80" s="406"/>
      <c r="HIO80" s="406"/>
      <c r="HIP80" s="406"/>
      <c r="HIQ80" s="406"/>
      <c r="HIR80" s="406"/>
      <c r="HIS80" s="406"/>
      <c r="HIT80" s="406"/>
      <c r="HIU80" s="406"/>
      <c r="HIV80" s="406"/>
      <c r="HIW80" s="406"/>
      <c r="HIX80" s="406"/>
      <c r="HIY80" s="406"/>
      <c r="HIZ80" s="406"/>
      <c r="HJA80" s="406"/>
      <c r="HJB80" s="406"/>
      <c r="HJC80" s="406"/>
      <c r="HJD80" s="406"/>
      <c r="HJE80" s="406"/>
      <c r="HJF80" s="406"/>
      <c r="HJG80" s="406"/>
      <c r="HJH80" s="406"/>
      <c r="HJI80" s="406"/>
      <c r="HJJ80" s="406"/>
      <c r="HJK80" s="406"/>
      <c r="HJL80" s="406"/>
      <c r="HJM80" s="406"/>
      <c r="HJN80" s="406"/>
      <c r="HJO80" s="406"/>
      <c r="HJP80" s="406"/>
      <c r="HJQ80" s="406"/>
      <c r="HJR80" s="406"/>
      <c r="HJS80" s="406"/>
      <c r="HJT80" s="406"/>
      <c r="HJU80" s="406"/>
      <c r="HJV80" s="406"/>
      <c r="HJW80" s="406"/>
      <c r="HJX80" s="406"/>
      <c r="HJY80" s="406"/>
      <c r="HJZ80" s="406"/>
      <c r="HKA80" s="406"/>
      <c r="HKB80" s="406"/>
      <c r="HKC80" s="406"/>
      <c r="HKD80" s="406"/>
      <c r="HKE80" s="406"/>
      <c r="HKF80" s="406"/>
      <c r="HKG80" s="406"/>
      <c r="HKH80" s="406"/>
      <c r="HKI80" s="406"/>
      <c r="HKJ80" s="406"/>
      <c r="HKK80" s="406"/>
      <c r="HKL80" s="406"/>
      <c r="HKM80" s="406"/>
      <c r="HKN80" s="406"/>
      <c r="HKO80" s="406"/>
      <c r="HKP80" s="406"/>
      <c r="HKQ80" s="406"/>
      <c r="HKR80" s="406"/>
      <c r="HKS80" s="406"/>
      <c r="HKT80" s="406"/>
      <c r="HKU80" s="406"/>
      <c r="HKV80" s="406"/>
      <c r="HKW80" s="406"/>
      <c r="HKX80" s="406"/>
      <c r="HKY80" s="406"/>
      <c r="HKZ80" s="406"/>
      <c r="HLA80" s="406"/>
      <c r="HLB80" s="406"/>
      <c r="HLC80" s="406"/>
      <c r="HLD80" s="406"/>
      <c r="HLE80" s="406"/>
      <c r="HLF80" s="406"/>
      <c r="HLG80" s="406"/>
      <c r="HLH80" s="406"/>
      <c r="HLI80" s="406"/>
      <c r="HLJ80" s="406"/>
      <c r="HLK80" s="406"/>
      <c r="HLL80" s="406"/>
      <c r="HLM80" s="406"/>
      <c r="HLN80" s="406"/>
      <c r="HLO80" s="406"/>
      <c r="HLP80" s="406"/>
      <c r="HLQ80" s="406"/>
      <c r="HLR80" s="406"/>
      <c r="HLS80" s="406"/>
      <c r="HLT80" s="406"/>
      <c r="HLU80" s="406"/>
      <c r="HLV80" s="406"/>
      <c r="HLW80" s="406"/>
      <c r="HLX80" s="406"/>
      <c r="HLY80" s="406"/>
      <c r="HLZ80" s="406"/>
      <c r="HMA80" s="406"/>
      <c r="HMB80" s="406"/>
      <c r="HMC80" s="406"/>
      <c r="HMD80" s="406"/>
      <c r="HME80" s="406"/>
      <c r="HMF80" s="406"/>
      <c r="HMG80" s="406"/>
      <c r="HMH80" s="406"/>
      <c r="HMI80" s="406"/>
      <c r="HMJ80" s="406"/>
      <c r="HMK80" s="406"/>
      <c r="HML80" s="406"/>
      <c r="HMM80" s="406"/>
      <c r="HMN80" s="406"/>
      <c r="HMO80" s="406"/>
      <c r="HMP80" s="406"/>
      <c r="HMQ80" s="406"/>
      <c r="HMR80" s="406"/>
      <c r="HMS80" s="406"/>
      <c r="HMT80" s="406"/>
      <c r="HMU80" s="406"/>
      <c r="HMV80" s="406"/>
      <c r="HMW80" s="406"/>
      <c r="HMX80" s="406"/>
      <c r="HMY80" s="406"/>
      <c r="HMZ80" s="406"/>
      <c r="HNA80" s="406"/>
      <c r="HNB80" s="406"/>
      <c r="HNC80" s="406"/>
      <c r="HND80" s="406"/>
      <c r="HNE80" s="406"/>
      <c r="HNF80" s="406"/>
      <c r="HNG80" s="406"/>
      <c r="HNH80" s="406"/>
      <c r="HNI80" s="406"/>
      <c r="HNJ80" s="406"/>
      <c r="HNK80" s="406"/>
      <c r="HNL80" s="406"/>
      <c r="HNM80" s="406"/>
      <c r="HNN80" s="406"/>
      <c r="HNO80" s="406"/>
      <c r="HNP80" s="406"/>
      <c r="HNQ80" s="406"/>
      <c r="HNR80" s="406"/>
      <c r="HNS80" s="406"/>
      <c r="HNT80" s="406"/>
      <c r="HNU80" s="406"/>
      <c r="HNV80" s="406"/>
      <c r="HNW80" s="406"/>
      <c r="HNX80" s="406"/>
      <c r="HNY80" s="406"/>
      <c r="HNZ80" s="406"/>
      <c r="HOA80" s="406"/>
      <c r="HOB80" s="406"/>
      <c r="HOC80" s="406"/>
      <c r="HOD80" s="406"/>
      <c r="HOE80" s="406"/>
      <c r="HOF80" s="406"/>
      <c r="HOG80" s="406"/>
      <c r="HOH80" s="406"/>
      <c r="HOI80" s="406"/>
      <c r="HOJ80" s="406"/>
      <c r="HOK80" s="406"/>
      <c r="HOL80" s="406"/>
      <c r="HOM80" s="406"/>
      <c r="HON80" s="406"/>
      <c r="HOO80" s="406"/>
      <c r="HOP80" s="406"/>
      <c r="HOQ80" s="406"/>
      <c r="HOR80" s="406"/>
      <c r="HOS80" s="406"/>
      <c r="HOT80" s="406"/>
      <c r="HOU80" s="406"/>
      <c r="HOV80" s="406"/>
      <c r="HOW80" s="406"/>
      <c r="HOX80" s="406"/>
      <c r="HOY80" s="406"/>
      <c r="HOZ80" s="406"/>
      <c r="HPA80" s="406"/>
      <c r="HPB80" s="406"/>
      <c r="HPC80" s="406"/>
      <c r="HPD80" s="406"/>
      <c r="HPE80" s="406"/>
      <c r="HPF80" s="406"/>
      <c r="HPG80" s="406"/>
      <c r="HPH80" s="406"/>
      <c r="HPI80" s="406"/>
      <c r="HPJ80" s="406"/>
      <c r="HPK80" s="406"/>
      <c r="HPL80" s="406"/>
      <c r="HPM80" s="406"/>
      <c r="HPN80" s="406"/>
      <c r="HPO80" s="406"/>
      <c r="HPP80" s="406"/>
      <c r="HPQ80" s="406"/>
      <c r="HPR80" s="406"/>
      <c r="HPS80" s="406"/>
      <c r="HPT80" s="406"/>
      <c r="HPU80" s="406"/>
      <c r="HPV80" s="406"/>
      <c r="HPW80" s="406"/>
      <c r="HPX80" s="406"/>
      <c r="HPY80" s="406"/>
      <c r="HPZ80" s="406"/>
      <c r="HQA80" s="406"/>
      <c r="HQB80" s="406"/>
      <c r="HQC80" s="406"/>
      <c r="HQD80" s="406"/>
      <c r="HQE80" s="406"/>
      <c r="HQF80" s="406"/>
      <c r="HQG80" s="406"/>
      <c r="HQH80" s="406"/>
      <c r="HQI80" s="406"/>
      <c r="HQJ80" s="406"/>
      <c r="HQK80" s="406"/>
      <c r="HQL80" s="406"/>
      <c r="HQM80" s="406"/>
      <c r="HQN80" s="406"/>
      <c r="HQO80" s="406"/>
      <c r="HQP80" s="406"/>
      <c r="HQQ80" s="406"/>
      <c r="HQR80" s="406"/>
      <c r="HQS80" s="406"/>
      <c r="HQT80" s="406"/>
      <c r="HQU80" s="406"/>
      <c r="HQV80" s="406"/>
      <c r="HQW80" s="406"/>
      <c r="HQX80" s="406"/>
      <c r="HQY80" s="406"/>
      <c r="HQZ80" s="406"/>
      <c r="HRA80" s="406"/>
      <c r="HRB80" s="406"/>
      <c r="HRC80" s="406"/>
      <c r="HRD80" s="406"/>
      <c r="HRE80" s="406"/>
      <c r="HRF80" s="406"/>
      <c r="HRG80" s="406"/>
      <c r="HRH80" s="406"/>
      <c r="HRI80" s="406"/>
      <c r="HRJ80" s="406"/>
      <c r="HRK80" s="406"/>
      <c r="HRL80" s="406"/>
      <c r="HRM80" s="406"/>
      <c r="HRN80" s="406"/>
      <c r="HRO80" s="406"/>
      <c r="HRP80" s="406"/>
      <c r="HRQ80" s="406"/>
      <c r="HRR80" s="406"/>
      <c r="HRS80" s="406"/>
      <c r="HRT80" s="406"/>
      <c r="HRU80" s="406"/>
      <c r="HRV80" s="406"/>
      <c r="HRW80" s="406"/>
      <c r="HRX80" s="406"/>
      <c r="HRY80" s="406"/>
      <c r="HRZ80" s="406"/>
      <c r="HSA80" s="406"/>
      <c r="HSB80" s="406"/>
      <c r="HSC80" s="406"/>
      <c r="HSD80" s="406"/>
      <c r="HSE80" s="406"/>
      <c r="HSF80" s="406"/>
      <c r="HSG80" s="406"/>
      <c r="HSH80" s="406"/>
      <c r="HSI80" s="406"/>
      <c r="HSJ80" s="406"/>
      <c r="HSK80" s="406"/>
      <c r="HSL80" s="406"/>
      <c r="HSM80" s="406"/>
      <c r="HSN80" s="406"/>
      <c r="HSO80" s="406"/>
      <c r="HSP80" s="406"/>
      <c r="HSQ80" s="406"/>
      <c r="HSR80" s="406"/>
      <c r="HSS80" s="406"/>
      <c r="HST80" s="406"/>
      <c r="HSU80" s="406"/>
      <c r="HSV80" s="406"/>
      <c r="HSW80" s="406"/>
      <c r="HSX80" s="406"/>
      <c r="HSY80" s="406"/>
      <c r="HSZ80" s="406"/>
      <c r="HTA80" s="406"/>
      <c r="HTB80" s="406"/>
      <c r="HTC80" s="406"/>
      <c r="HTD80" s="406"/>
      <c r="HTE80" s="406"/>
      <c r="HTF80" s="406"/>
      <c r="HTG80" s="406"/>
      <c r="HTH80" s="406"/>
      <c r="HTI80" s="406"/>
      <c r="HTJ80" s="406"/>
      <c r="HTK80" s="406"/>
      <c r="HTL80" s="406"/>
      <c r="HTM80" s="406"/>
      <c r="HTN80" s="406"/>
      <c r="HTO80" s="406"/>
      <c r="HTP80" s="406"/>
      <c r="HTQ80" s="406"/>
      <c r="HTR80" s="406"/>
      <c r="HTS80" s="406"/>
      <c r="HTT80" s="406"/>
      <c r="HTU80" s="406"/>
      <c r="HTV80" s="406"/>
      <c r="HTW80" s="406"/>
      <c r="HTX80" s="406"/>
      <c r="HTY80" s="406"/>
      <c r="HTZ80" s="406"/>
      <c r="HUA80" s="406"/>
      <c r="HUB80" s="406"/>
      <c r="HUC80" s="406"/>
      <c r="HUD80" s="406"/>
      <c r="HUE80" s="406"/>
      <c r="HUF80" s="406"/>
      <c r="HUG80" s="406"/>
      <c r="HUH80" s="406"/>
      <c r="HUI80" s="406"/>
      <c r="HUJ80" s="406"/>
      <c r="HUK80" s="406"/>
      <c r="HUL80" s="406"/>
      <c r="HUM80" s="406"/>
      <c r="HUN80" s="406"/>
      <c r="HUO80" s="406"/>
      <c r="HUP80" s="406"/>
      <c r="HUQ80" s="406"/>
      <c r="HUR80" s="406"/>
      <c r="HUS80" s="406"/>
      <c r="HUT80" s="406"/>
      <c r="HUU80" s="406"/>
      <c r="HUV80" s="406"/>
      <c r="HUW80" s="406"/>
      <c r="HUX80" s="406"/>
      <c r="HUY80" s="406"/>
      <c r="HUZ80" s="406"/>
      <c r="HVA80" s="406"/>
      <c r="HVB80" s="406"/>
      <c r="HVC80" s="406"/>
      <c r="HVD80" s="406"/>
      <c r="HVE80" s="406"/>
      <c r="HVF80" s="406"/>
      <c r="HVG80" s="406"/>
      <c r="HVH80" s="406"/>
      <c r="HVI80" s="406"/>
      <c r="HVJ80" s="406"/>
      <c r="HVK80" s="406"/>
      <c r="HVL80" s="406"/>
      <c r="HVM80" s="406"/>
      <c r="HVN80" s="406"/>
      <c r="HVO80" s="406"/>
      <c r="HVP80" s="406"/>
      <c r="HVQ80" s="406"/>
      <c r="HVR80" s="406"/>
      <c r="HVS80" s="406"/>
      <c r="HVT80" s="406"/>
      <c r="HVU80" s="406"/>
      <c r="HVV80" s="406"/>
      <c r="HVW80" s="406"/>
      <c r="HVX80" s="406"/>
      <c r="HVY80" s="406"/>
      <c r="HVZ80" s="406"/>
      <c r="HWA80" s="406"/>
      <c r="HWB80" s="406"/>
      <c r="HWC80" s="406"/>
      <c r="HWD80" s="406"/>
      <c r="HWE80" s="406"/>
      <c r="HWF80" s="406"/>
      <c r="HWG80" s="406"/>
      <c r="HWH80" s="406"/>
      <c r="HWI80" s="406"/>
      <c r="HWJ80" s="406"/>
      <c r="HWK80" s="406"/>
      <c r="HWL80" s="406"/>
      <c r="HWM80" s="406"/>
      <c r="HWN80" s="406"/>
      <c r="HWO80" s="406"/>
      <c r="HWP80" s="406"/>
      <c r="HWQ80" s="406"/>
      <c r="HWR80" s="406"/>
      <c r="HWS80" s="406"/>
      <c r="HWT80" s="406"/>
      <c r="HWU80" s="406"/>
      <c r="HWV80" s="406"/>
      <c r="HWW80" s="406"/>
      <c r="HWX80" s="406"/>
      <c r="HWY80" s="406"/>
      <c r="HWZ80" s="406"/>
      <c r="HXA80" s="406"/>
      <c r="HXB80" s="406"/>
      <c r="HXC80" s="406"/>
      <c r="HXD80" s="406"/>
      <c r="HXE80" s="406"/>
      <c r="HXF80" s="406"/>
      <c r="HXG80" s="406"/>
      <c r="HXH80" s="406"/>
      <c r="HXI80" s="406"/>
      <c r="HXJ80" s="406"/>
      <c r="HXK80" s="406"/>
      <c r="HXL80" s="406"/>
      <c r="HXM80" s="406"/>
      <c r="HXN80" s="406"/>
      <c r="HXO80" s="406"/>
      <c r="HXP80" s="406"/>
      <c r="HXQ80" s="406"/>
      <c r="HXR80" s="406"/>
      <c r="HXS80" s="406"/>
      <c r="HXT80" s="406"/>
      <c r="HXU80" s="406"/>
      <c r="HXV80" s="406"/>
      <c r="HXW80" s="406"/>
      <c r="HXX80" s="406"/>
      <c r="HXY80" s="406"/>
      <c r="HXZ80" s="406"/>
      <c r="HYA80" s="406"/>
      <c r="HYB80" s="406"/>
      <c r="HYC80" s="406"/>
      <c r="HYD80" s="406"/>
      <c r="HYE80" s="406"/>
      <c r="HYF80" s="406"/>
      <c r="HYG80" s="406"/>
      <c r="HYH80" s="406"/>
      <c r="HYI80" s="406"/>
      <c r="HYJ80" s="406"/>
      <c r="HYK80" s="406"/>
      <c r="HYL80" s="406"/>
      <c r="HYM80" s="406"/>
      <c r="HYN80" s="406"/>
      <c r="HYO80" s="406"/>
      <c r="HYP80" s="406"/>
      <c r="HYQ80" s="406"/>
      <c r="HYR80" s="406"/>
      <c r="HYS80" s="406"/>
      <c r="HYT80" s="406"/>
      <c r="HYU80" s="406"/>
      <c r="HYV80" s="406"/>
      <c r="HYW80" s="406"/>
      <c r="HYX80" s="406"/>
      <c r="HYY80" s="406"/>
      <c r="HYZ80" s="406"/>
      <c r="HZA80" s="406"/>
      <c r="HZB80" s="406"/>
      <c r="HZC80" s="406"/>
      <c r="HZD80" s="406"/>
      <c r="HZE80" s="406"/>
      <c r="HZF80" s="406"/>
      <c r="HZG80" s="406"/>
      <c r="HZH80" s="406"/>
      <c r="HZI80" s="406"/>
      <c r="HZJ80" s="406"/>
      <c r="HZK80" s="406"/>
      <c r="HZL80" s="406"/>
      <c r="HZM80" s="406"/>
      <c r="HZN80" s="406"/>
      <c r="HZO80" s="406"/>
      <c r="HZP80" s="406"/>
      <c r="HZQ80" s="406"/>
      <c r="HZR80" s="406"/>
      <c r="HZS80" s="406"/>
      <c r="HZT80" s="406"/>
      <c r="HZU80" s="406"/>
      <c r="HZV80" s="406"/>
      <c r="HZW80" s="406"/>
      <c r="HZX80" s="406"/>
      <c r="HZY80" s="406"/>
      <c r="HZZ80" s="406"/>
      <c r="IAA80" s="406"/>
      <c r="IAB80" s="406"/>
      <c r="IAC80" s="406"/>
      <c r="IAD80" s="406"/>
      <c r="IAE80" s="406"/>
      <c r="IAF80" s="406"/>
      <c r="IAG80" s="406"/>
      <c r="IAH80" s="406"/>
      <c r="IAI80" s="406"/>
      <c r="IAJ80" s="406"/>
      <c r="IAK80" s="406"/>
      <c r="IAL80" s="406"/>
      <c r="IAM80" s="406"/>
      <c r="IAN80" s="406"/>
      <c r="IAO80" s="406"/>
      <c r="IAP80" s="406"/>
      <c r="IAQ80" s="406"/>
      <c r="IAR80" s="406"/>
      <c r="IAS80" s="406"/>
      <c r="IAT80" s="406"/>
      <c r="IAU80" s="406"/>
      <c r="IAV80" s="406"/>
      <c r="IAW80" s="406"/>
      <c r="IAX80" s="406"/>
      <c r="IAY80" s="406"/>
      <c r="IAZ80" s="406"/>
      <c r="IBA80" s="406"/>
      <c r="IBB80" s="406"/>
      <c r="IBC80" s="406"/>
      <c r="IBD80" s="406"/>
      <c r="IBE80" s="406"/>
      <c r="IBF80" s="406"/>
      <c r="IBG80" s="406"/>
      <c r="IBH80" s="406"/>
      <c r="IBI80" s="406"/>
      <c r="IBJ80" s="406"/>
      <c r="IBK80" s="406"/>
      <c r="IBL80" s="406"/>
      <c r="IBM80" s="406"/>
      <c r="IBN80" s="406"/>
      <c r="IBO80" s="406"/>
      <c r="IBP80" s="406"/>
      <c r="IBQ80" s="406"/>
      <c r="IBR80" s="406"/>
      <c r="IBS80" s="406"/>
      <c r="IBT80" s="406"/>
      <c r="IBU80" s="406"/>
      <c r="IBV80" s="406"/>
      <c r="IBW80" s="406"/>
      <c r="IBX80" s="406"/>
      <c r="IBY80" s="406"/>
      <c r="IBZ80" s="406"/>
      <c r="ICA80" s="406"/>
      <c r="ICB80" s="406"/>
      <c r="ICC80" s="406"/>
      <c r="ICD80" s="406"/>
      <c r="ICE80" s="406"/>
      <c r="ICF80" s="406"/>
      <c r="ICG80" s="406"/>
      <c r="ICH80" s="406"/>
      <c r="ICI80" s="406"/>
      <c r="ICJ80" s="406"/>
      <c r="ICK80" s="406"/>
      <c r="ICL80" s="406"/>
      <c r="ICM80" s="406"/>
      <c r="ICN80" s="406"/>
      <c r="ICO80" s="406"/>
      <c r="ICP80" s="406"/>
      <c r="ICQ80" s="406"/>
      <c r="ICR80" s="406"/>
      <c r="ICS80" s="406"/>
      <c r="ICT80" s="406"/>
      <c r="ICU80" s="406"/>
      <c r="ICV80" s="406"/>
      <c r="ICW80" s="406"/>
      <c r="ICX80" s="406"/>
      <c r="ICY80" s="406"/>
      <c r="ICZ80" s="406"/>
      <c r="IDA80" s="406"/>
      <c r="IDB80" s="406"/>
      <c r="IDC80" s="406"/>
      <c r="IDD80" s="406"/>
      <c r="IDE80" s="406"/>
      <c r="IDF80" s="406"/>
      <c r="IDG80" s="406"/>
      <c r="IDH80" s="406"/>
      <c r="IDI80" s="406"/>
      <c r="IDJ80" s="406"/>
      <c r="IDK80" s="406"/>
      <c r="IDL80" s="406"/>
      <c r="IDM80" s="406"/>
      <c r="IDN80" s="406"/>
      <c r="IDO80" s="406"/>
      <c r="IDP80" s="406"/>
      <c r="IDQ80" s="406"/>
      <c r="IDR80" s="406"/>
      <c r="IDS80" s="406"/>
      <c r="IDT80" s="406"/>
      <c r="IDU80" s="406"/>
      <c r="IDV80" s="406"/>
      <c r="IDW80" s="406"/>
      <c r="IDX80" s="406"/>
      <c r="IDY80" s="406"/>
      <c r="IDZ80" s="406"/>
      <c r="IEA80" s="406"/>
      <c r="IEB80" s="406"/>
      <c r="IEC80" s="406"/>
      <c r="IED80" s="406"/>
      <c r="IEE80" s="406"/>
      <c r="IEF80" s="406"/>
      <c r="IEG80" s="406"/>
      <c r="IEH80" s="406"/>
      <c r="IEI80" s="406"/>
      <c r="IEJ80" s="406"/>
      <c r="IEK80" s="406"/>
      <c r="IEL80" s="406"/>
      <c r="IEM80" s="406"/>
      <c r="IEN80" s="406"/>
      <c r="IEO80" s="406"/>
      <c r="IEP80" s="406"/>
      <c r="IEQ80" s="406"/>
      <c r="IER80" s="406"/>
      <c r="IES80" s="406"/>
      <c r="IET80" s="406"/>
      <c r="IEU80" s="406"/>
      <c r="IEV80" s="406"/>
      <c r="IEW80" s="406"/>
      <c r="IEX80" s="406"/>
      <c r="IEY80" s="406"/>
      <c r="IEZ80" s="406"/>
      <c r="IFA80" s="406"/>
      <c r="IFB80" s="406"/>
      <c r="IFC80" s="406"/>
      <c r="IFD80" s="406"/>
      <c r="IFE80" s="406"/>
      <c r="IFF80" s="406"/>
      <c r="IFG80" s="406"/>
      <c r="IFH80" s="406"/>
      <c r="IFI80" s="406"/>
      <c r="IFJ80" s="406"/>
      <c r="IFK80" s="406"/>
      <c r="IFL80" s="406"/>
      <c r="IFM80" s="406"/>
      <c r="IFN80" s="406"/>
      <c r="IFO80" s="406"/>
      <c r="IFP80" s="406"/>
      <c r="IFQ80" s="406"/>
      <c r="IFR80" s="406"/>
      <c r="IFS80" s="406"/>
      <c r="IFT80" s="406"/>
      <c r="IFU80" s="406"/>
      <c r="IFV80" s="406"/>
      <c r="IFW80" s="406"/>
      <c r="IFX80" s="406"/>
      <c r="IFY80" s="406"/>
      <c r="IFZ80" s="406"/>
      <c r="IGA80" s="406"/>
      <c r="IGB80" s="406"/>
      <c r="IGC80" s="406"/>
      <c r="IGD80" s="406"/>
      <c r="IGE80" s="406"/>
      <c r="IGF80" s="406"/>
      <c r="IGG80" s="406"/>
      <c r="IGH80" s="406"/>
      <c r="IGI80" s="406"/>
      <c r="IGJ80" s="406"/>
      <c r="IGK80" s="406"/>
      <c r="IGL80" s="406"/>
      <c r="IGM80" s="406"/>
      <c r="IGN80" s="406"/>
      <c r="IGO80" s="406"/>
      <c r="IGP80" s="406"/>
      <c r="IGQ80" s="406"/>
      <c r="IGR80" s="406"/>
      <c r="IGS80" s="406"/>
      <c r="IGT80" s="406"/>
      <c r="IGU80" s="406"/>
      <c r="IGV80" s="406"/>
      <c r="IGW80" s="406"/>
      <c r="IGX80" s="406"/>
      <c r="IGY80" s="406"/>
      <c r="IGZ80" s="406"/>
      <c r="IHA80" s="406"/>
      <c r="IHB80" s="406"/>
      <c r="IHC80" s="406"/>
      <c r="IHD80" s="406"/>
      <c r="IHE80" s="406"/>
      <c r="IHF80" s="406"/>
      <c r="IHG80" s="406"/>
      <c r="IHH80" s="406"/>
      <c r="IHI80" s="406"/>
      <c r="IHJ80" s="406"/>
      <c r="IHK80" s="406"/>
      <c r="IHL80" s="406"/>
      <c r="IHM80" s="406"/>
      <c r="IHN80" s="406"/>
      <c r="IHO80" s="406"/>
      <c r="IHP80" s="406"/>
      <c r="IHQ80" s="406"/>
      <c r="IHR80" s="406"/>
      <c r="IHS80" s="406"/>
      <c r="IHT80" s="406"/>
      <c r="IHU80" s="406"/>
      <c r="IHV80" s="406"/>
      <c r="IHW80" s="406"/>
      <c r="IHX80" s="406"/>
      <c r="IHY80" s="406"/>
      <c r="IHZ80" s="406"/>
      <c r="IIA80" s="406"/>
      <c r="IIB80" s="406"/>
      <c r="IIC80" s="406"/>
      <c r="IID80" s="406"/>
      <c r="IIE80" s="406"/>
      <c r="IIF80" s="406"/>
      <c r="IIG80" s="406"/>
      <c r="IIH80" s="406"/>
      <c r="III80" s="406"/>
      <c r="IIJ80" s="406"/>
      <c r="IIK80" s="406"/>
      <c r="IIL80" s="406"/>
      <c r="IIM80" s="406"/>
      <c r="IIN80" s="406"/>
      <c r="IIO80" s="406"/>
      <c r="IIP80" s="406"/>
      <c r="IIQ80" s="406"/>
      <c r="IIR80" s="406"/>
      <c r="IIS80" s="406"/>
      <c r="IIT80" s="406"/>
      <c r="IIU80" s="406"/>
      <c r="IIV80" s="406"/>
      <c r="IIW80" s="406"/>
      <c r="IIX80" s="406"/>
      <c r="IIY80" s="406"/>
      <c r="IIZ80" s="406"/>
      <c r="IJA80" s="406"/>
      <c r="IJB80" s="406"/>
      <c r="IJC80" s="406"/>
      <c r="IJD80" s="406"/>
      <c r="IJE80" s="406"/>
      <c r="IJF80" s="406"/>
      <c r="IJG80" s="406"/>
      <c r="IJH80" s="406"/>
      <c r="IJI80" s="406"/>
      <c r="IJJ80" s="406"/>
      <c r="IJK80" s="406"/>
      <c r="IJL80" s="406"/>
      <c r="IJM80" s="406"/>
      <c r="IJN80" s="406"/>
      <c r="IJO80" s="406"/>
      <c r="IJP80" s="406"/>
      <c r="IJQ80" s="406"/>
      <c r="IJR80" s="406"/>
      <c r="IJS80" s="406"/>
      <c r="IJT80" s="406"/>
      <c r="IJU80" s="406"/>
      <c r="IJV80" s="406"/>
      <c r="IJW80" s="406"/>
      <c r="IJX80" s="406"/>
      <c r="IJY80" s="406"/>
      <c r="IJZ80" s="406"/>
      <c r="IKA80" s="406"/>
      <c r="IKB80" s="406"/>
      <c r="IKC80" s="406"/>
      <c r="IKD80" s="406"/>
      <c r="IKE80" s="406"/>
      <c r="IKF80" s="406"/>
      <c r="IKG80" s="406"/>
      <c r="IKH80" s="406"/>
      <c r="IKI80" s="406"/>
      <c r="IKJ80" s="406"/>
      <c r="IKK80" s="406"/>
      <c r="IKL80" s="406"/>
      <c r="IKM80" s="406"/>
      <c r="IKN80" s="406"/>
      <c r="IKO80" s="406"/>
      <c r="IKP80" s="406"/>
      <c r="IKQ80" s="406"/>
      <c r="IKR80" s="406"/>
      <c r="IKS80" s="406"/>
      <c r="IKT80" s="406"/>
      <c r="IKU80" s="406"/>
      <c r="IKV80" s="406"/>
      <c r="IKW80" s="406"/>
      <c r="IKX80" s="406"/>
      <c r="IKY80" s="406"/>
      <c r="IKZ80" s="406"/>
      <c r="ILA80" s="406"/>
      <c r="ILB80" s="406"/>
      <c r="ILC80" s="406"/>
      <c r="ILD80" s="406"/>
      <c r="ILE80" s="406"/>
      <c r="ILF80" s="406"/>
      <c r="ILG80" s="406"/>
      <c r="ILH80" s="406"/>
      <c r="ILI80" s="406"/>
      <c r="ILJ80" s="406"/>
      <c r="ILK80" s="406"/>
      <c r="ILL80" s="406"/>
      <c r="ILM80" s="406"/>
      <c r="ILN80" s="406"/>
      <c r="ILO80" s="406"/>
      <c r="ILP80" s="406"/>
      <c r="ILQ80" s="406"/>
      <c r="ILR80" s="406"/>
      <c r="ILS80" s="406"/>
      <c r="ILT80" s="406"/>
      <c r="ILU80" s="406"/>
      <c r="ILV80" s="406"/>
      <c r="ILW80" s="406"/>
      <c r="ILX80" s="406"/>
      <c r="ILY80" s="406"/>
      <c r="ILZ80" s="406"/>
      <c r="IMA80" s="406"/>
      <c r="IMB80" s="406"/>
      <c r="IMC80" s="406"/>
      <c r="IMD80" s="406"/>
      <c r="IME80" s="406"/>
      <c r="IMF80" s="406"/>
      <c r="IMG80" s="406"/>
      <c r="IMH80" s="406"/>
      <c r="IMI80" s="406"/>
      <c r="IMJ80" s="406"/>
      <c r="IMK80" s="406"/>
      <c r="IML80" s="406"/>
      <c r="IMM80" s="406"/>
      <c r="IMN80" s="406"/>
      <c r="IMO80" s="406"/>
      <c r="IMP80" s="406"/>
      <c r="IMQ80" s="406"/>
      <c r="IMR80" s="406"/>
      <c r="IMS80" s="406"/>
      <c r="IMT80" s="406"/>
      <c r="IMU80" s="406"/>
      <c r="IMV80" s="406"/>
      <c r="IMW80" s="406"/>
      <c r="IMX80" s="406"/>
      <c r="IMY80" s="406"/>
      <c r="IMZ80" s="406"/>
      <c r="INA80" s="406"/>
      <c r="INB80" s="406"/>
      <c r="INC80" s="406"/>
      <c r="IND80" s="406"/>
      <c r="INE80" s="406"/>
      <c r="INF80" s="406"/>
      <c r="ING80" s="406"/>
      <c r="INH80" s="406"/>
      <c r="INI80" s="406"/>
      <c r="INJ80" s="406"/>
      <c r="INK80" s="406"/>
      <c r="INL80" s="406"/>
      <c r="INM80" s="406"/>
      <c r="INN80" s="406"/>
      <c r="INO80" s="406"/>
      <c r="INP80" s="406"/>
      <c r="INQ80" s="406"/>
      <c r="INR80" s="406"/>
      <c r="INS80" s="406"/>
      <c r="INT80" s="406"/>
      <c r="INU80" s="406"/>
      <c r="INV80" s="406"/>
      <c r="INW80" s="406"/>
      <c r="INX80" s="406"/>
      <c r="INY80" s="406"/>
      <c r="INZ80" s="406"/>
      <c r="IOA80" s="406"/>
      <c r="IOB80" s="406"/>
      <c r="IOC80" s="406"/>
      <c r="IOD80" s="406"/>
      <c r="IOE80" s="406"/>
      <c r="IOF80" s="406"/>
      <c r="IOG80" s="406"/>
      <c r="IOH80" s="406"/>
      <c r="IOI80" s="406"/>
      <c r="IOJ80" s="406"/>
      <c r="IOK80" s="406"/>
      <c r="IOL80" s="406"/>
      <c r="IOM80" s="406"/>
      <c r="ION80" s="406"/>
      <c r="IOO80" s="406"/>
      <c r="IOP80" s="406"/>
      <c r="IOQ80" s="406"/>
      <c r="IOR80" s="406"/>
      <c r="IOS80" s="406"/>
      <c r="IOT80" s="406"/>
      <c r="IOU80" s="406"/>
      <c r="IOV80" s="406"/>
      <c r="IOW80" s="406"/>
      <c r="IOX80" s="406"/>
      <c r="IOY80" s="406"/>
      <c r="IOZ80" s="406"/>
      <c r="IPA80" s="406"/>
      <c r="IPB80" s="406"/>
      <c r="IPC80" s="406"/>
      <c r="IPD80" s="406"/>
      <c r="IPE80" s="406"/>
      <c r="IPF80" s="406"/>
      <c r="IPG80" s="406"/>
      <c r="IPH80" s="406"/>
      <c r="IPI80" s="406"/>
      <c r="IPJ80" s="406"/>
      <c r="IPK80" s="406"/>
      <c r="IPL80" s="406"/>
      <c r="IPM80" s="406"/>
      <c r="IPN80" s="406"/>
      <c r="IPO80" s="406"/>
      <c r="IPP80" s="406"/>
      <c r="IPQ80" s="406"/>
      <c r="IPR80" s="406"/>
      <c r="IPS80" s="406"/>
      <c r="IPT80" s="406"/>
      <c r="IPU80" s="406"/>
      <c r="IPV80" s="406"/>
      <c r="IPW80" s="406"/>
      <c r="IPX80" s="406"/>
      <c r="IPY80" s="406"/>
      <c r="IPZ80" s="406"/>
      <c r="IQA80" s="406"/>
      <c r="IQB80" s="406"/>
      <c r="IQC80" s="406"/>
      <c r="IQD80" s="406"/>
      <c r="IQE80" s="406"/>
      <c r="IQF80" s="406"/>
      <c r="IQG80" s="406"/>
      <c r="IQH80" s="406"/>
      <c r="IQI80" s="406"/>
      <c r="IQJ80" s="406"/>
      <c r="IQK80" s="406"/>
      <c r="IQL80" s="406"/>
      <c r="IQM80" s="406"/>
      <c r="IQN80" s="406"/>
      <c r="IQO80" s="406"/>
      <c r="IQP80" s="406"/>
      <c r="IQQ80" s="406"/>
      <c r="IQR80" s="406"/>
      <c r="IQS80" s="406"/>
      <c r="IQT80" s="406"/>
      <c r="IQU80" s="406"/>
      <c r="IQV80" s="406"/>
      <c r="IQW80" s="406"/>
      <c r="IQX80" s="406"/>
      <c r="IQY80" s="406"/>
      <c r="IQZ80" s="406"/>
      <c r="IRA80" s="406"/>
      <c r="IRB80" s="406"/>
      <c r="IRC80" s="406"/>
      <c r="IRD80" s="406"/>
      <c r="IRE80" s="406"/>
      <c r="IRF80" s="406"/>
      <c r="IRG80" s="406"/>
      <c r="IRH80" s="406"/>
      <c r="IRI80" s="406"/>
      <c r="IRJ80" s="406"/>
      <c r="IRK80" s="406"/>
      <c r="IRL80" s="406"/>
      <c r="IRM80" s="406"/>
      <c r="IRN80" s="406"/>
      <c r="IRO80" s="406"/>
      <c r="IRP80" s="406"/>
      <c r="IRQ80" s="406"/>
      <c r="IRR80" s="406"/>
      <c r="IRS80" s="406"/>
      <c r="IRT80" s="406"/>
      <c r="IRU80" s="406"/>
      <c r="IRV80" s="406"/>
      <c r="IRW80" s="406"/>
      <c r="IRX80" s="406"/>
      <c r="IRY80" s="406"/>
      <c r="IRZ80" s="406"/>
      <c r="ISA80" s="406"/>
      <c r="ISB80" s="406"/>
      <c r="ISC80" s="406"/>
      <c r="ISD80" s="406"/>
      <c r="ISE80" s="406"/>
      <c r="ISF80" s="406"/>
      <c r="ISG80" s="406"/>
      <c r="ISH80" s="406"/>
      <c r="ISI80" s="406"/>
      <c r="ISJ80" s="406"/>
      <c r="ISK80" s="406"/>
      <c r="ISL80" s="406"/>
      <c r="ISM80" s="406"/>
      <c r="ISN80" s="406"/>
      <c r="ISO80" s="406"/>
      <c r="ISP80" s="406"/>
      <c r="ISQ80" s="406"/>
      <c r="ISR80" s="406"/>
      <c r="ISS80" s="406"/>
      <c r="IST80" s="406"/>
      <c r="ISU80" s="406"/>
      <c r="ISV80" s="406"/>
      <c r="ISW80" s="406"/>
      <c r="ISX80" s="406"/>
      <c r="ISY80" s="406"/>
      <c r="ISZ80" s="406"/>
      <c r="ITA80" s="406"/>
      <c r="ITB80" s="406"/>
      <c r="ITC80" s="406"/>
      <c r="ITD80" s="406"/>
      <c r="ITE80" s="406"/>
      <c r="ITF80" s="406"/>
      <c r="ITG80" s="406"/>
      <c r="ITH80" s="406"/>
      <c r="ITI80" s="406"/>
      <c r="ITJ80" s="406"/>
      <c r="ITK80" s="406"/>
      <c r="ITL80" s="406"/>
      <c r="ITM80" s="406"/>
      <c r="ITN80" s="406"/>
      <c r="ITO80" s="406"/>
      <c r="ITP80" s="406"/>
      <c r="ITQ80" s="406"/>
      <c r="ITR80" s="406"/>
      <c r="ITS80" s="406"/>
      <c r="ITT80" s="406"/>
      <c r="ITU80" s="406"/>
      <c r="ITV80" s="406"/>
      <c r="ITW80" s="406"/>
      <c r="ITX80" s="406"/>
      <c r="ITY80" s="406"/>
      <c r="ITZ80" s="406"/>
      <c r="IUA80" s="406"/>
      <c r="IUB80" s="406"/>
      <c r="IUC80" s="406"/>
      <c r="IUD80" s="406"/>
      <c r="IUE80" s="406"/>
      <c r="IUF80" s="406"/>
      <c r="IUG80" s="406"/>
      <c r="IUH80" s="406"/>
      <c r="IUI80" s="406"/>
      <c r="IUJ80" s="406"/>
      <c r="IUK80" s="406"/>
      <c r="IUL80" s="406"/>
      <c r="IUM80" s="406"/>
      <c r="IUN80" s="406"/>
      <c r="IUO80" s="406"/>
      <c r="IUP80" s="406"/>
      <c r="IUQ80" s="406"/>
      <c r="IUR80" s="406"/>
      <c r="IUS80" s="406"/>
      <c r="IUT80" s="406"/>
      <c r="IUU80" s="406"/>
      <c r="IUV80" s="406"/>
      <c r="IUW80" s="406"/>
      <c r="IUX80" s="406"/>
      <c r="IUY80" s="406"/>
      <c r="IUZ80" s="406"/>
      <c r="IVA80" s="406"/>
      <c r="IVB80" s="406"/>
      <c r="IVC80" s="406"/>
      <c r="IVD80" s="406"/>
      <c r="IVE80" s="406"/>
      <c r="IVF80" s="406"/>
      <c r="IVG80" s="406"/>
      <c r="IVH80" s="406"/>
      <c r="IVI80" s="406"/>
      <c r="IVJ80" s="406"/>
      <c r="IVK80" s="406"/>
      <c r="IVL80" s="406"/>
      <c r="IVM80" s="406"/>
      <c r="IVN80" s="406"/>
      <c r="IVO80" s="406"/>
      <c r="IVP80" s="406"/>
      <c r="IVQ80" s="406"/>
      <c r="IVR80" s="406"/>
      <c r="IVS80" s="406"/>
      <c r="IVT80" s="406"/>
      <c r="IVU80" s="406"/>
      <c r="IVV80" s="406"/>
      <c r="IVW80" s="406"/>
      <c r="IVX80" s="406"/>
      <c r="IVY80" s="406"/>
      <c r="IVZ80" s="406"/>
      <c r="IWA80" s="406"/>
      <c r="IWB80" s="406"/>
      <c r="IWC80" s="406"/>
      <c r="IWD80" s="406"/>
      <c r="IWE80" s="406"/>
      <c r="IWF80" s="406"/>
      <c r="IWG80" s="406"/>
      <c r="IWH80" s="406"/>
      <c r="IWI80" s="406"/>
      <c r="IWJ80" s="406"/>
      <c r="IWK80" s="406"/>
      <c r="IWL80" s="406"/>
      <c r="IWM80" s="406"/>
      <c r="IWN80" s="406"/>
      <c r="IWO80" s="406"/>
      <c r="IWP80" s="406"/>
      <c r="IWQ80" s="406"/>
      <c r="IWR80" s="406"/>
      <c r="IWS80" s="406"/>
      <c r="IWT80" s="406"/>
      <c r="IWU80" s="406"/>
      <c r="IWV80" s="406"/>
      <c r="IWW80" s="406"/>
      <c r="IWX80" s="406"/>
      <c r="IWY80" s="406"/>
      <c r="IWZ80" s="406"/>
      <c r="IXA80" s="406"/>
      <c r="IXB80" s="406"/>
      <c r="IXC80" s="406"/>
      <c r="IXD80" s="406"/>
      <c r="IXE80" s="406"/>
      <c r="IXF80" s="406"/>
      <c r="IXG80" s="406"/>
      <c r="IXH80" s="406"/>
      <c r="IXI80" s="406"/>
      <c r="IXJ80" s="406"/>
      <c r="IXK80" s="406"/>
      <c r="IXL80" s="406"/>
      <c r="IXM80" s="406"/>
      <c r="IXN80" s="406"/>
      <c r="IXO80" s="406"/>
      <c r="IXP80" s="406"/>
      <c r="IXQ80" s="406"/>
      <c r="IXR80" s="406"/>
      <c r="IXS80" s="406"/>
      <c r="IXT80" s="406"/>
      <c r="IXU80" s="406"/>
      <c r="IXV80" s="406"/>
      <c r="IXW80" s="406"/>
      <c r="IXX80" s="406"/>
      <c r="IXY80" s="406"/>
      <c r="IXZ80" s="406"/>
      <c r="IYA80" s="406"/>
      <c r="IYB80" s="406"/>
      <c r="IYC80" s="406"/>
      <c r="IYD80" s="406"/>
      <c r="IYE80" s="406"/>
      <c r="IYF80" s="406"/>
      <c r="IYG80" s="406"/>
      <c r="IYH80" s="406"/>
      <c r="IYI80" s="406"/>
      <c r="IYJ80" s="406"/>
      <c r="IYK80" s="406"/>
      <c r="IYL80" s="406"/>
      <c r="IYM80" s="406"/>
      <c r="IYN80" s="406"/>
      <c r="IYO80" s="406"/>
      <c r="IYP80" s="406"/>
      <c r="IYQ80" s="406"/>
      <c r="IYR80" s="406"/>
      <c r="IYS80" s="406"/>
      <c r="IYT80" s="406"/>
      <c r="IYU80" s="406"/>
      <c r="IYV80" s="406"/>
      <c r="IYW80" s="406"/>
      <c r="IYX80" s="406"/>
      <c r="IYY80" s="406"/>
      <c r="IYZ80" s="406"/>
      <c r="IZA80" s="406"/>
      <c r="IZB80" s="406"/>
      <c r="IZC80" s="406"/>
      <c r="IZD80" s="406"/>
      <c r="IZE80" s="406"/>
      <c r="IZF80" s="406"/>
      <c r="IZG80" s="406"/>
      <c r="IZH80" s="406"/>
      <c r="IZI80" s="406"/>
      <c r="IZJ80" s="406"/>
      <c r="IZK80" s="406"/>
      <c r="IZL80" s="406"/>
      <c r="IZM80" s="406"/>
      <c r="IZN80" s="406"/>
      <c r="IZO80" s="406"/>
      <c r="IZP80" s="406"/>
      <c r="IZQ80" s="406"/>
      <c r="IZR80" s="406"/>
      <c r="IZS80" s="406"/>
      <c r="IZT80" s="406"/>
      <c r="IZU80" s="406"/>
      <c r="IZV80" s="406"/>
      <c r="IZW80" s="406"/>
      <c r="IZX80" s="406"/>
      <c r="IZY80" s="406"/>
      <c r="IZZ80" s="406"/>
      <c r="JAA80" s="406"/>
      <c r="JAB80" s="406"/>
      <c r="JAC80" s="406"/>
      <c r="JAD80" s="406"/>
      <c r="JAE80" s="406"/>
      <c r="JAF80" s="406"/>
      <c r="JAG80" s="406"/>
      <c r="JAH80" s="406"/>
      <c r="JAI80" s="406"/>
      <c r="JAJ80" s="406"/>
      <c r="JAK80" s="406"/>
      <c r="JAL80" s="406"/>
      <c r="JAM80" s="406"/>
      <c r="JAN80" s="406"/>
      <c r="JAO80" s="406"/>
      <c r="JAP80" s="406"/>
      <c r="JAQ80" s="406"/>
      <c r="JAR80" s="406"/>
      <c r="JAS80" s="406"/>
      <c r="JAT80" s="406"/>
      <c r="JAU80" s="406"/>
      <c r="JAV80" s="406"/>
      <c r="JAW80" s="406"/>
      <c r="JAX80" s="406"/>
      <c r="JAY80" s="406"/>
      <c r="JAZ80" s="406"/>
      <c r="JBA80" s="406"/>
      <c r="JBB80" s="406"/>
      <c r="JBC80" s="406"/>
      <c r="JBD80" s="406"/>
      <c r="JBE80" s="406"/>
      <c r="JBF80" s="406"/>
      <c r="JBG80" s="406"/>
      <c r="JBH80" s="406"/>
      <c r="JBI80" s="406"/>
      <c r="JBJ80" s="406"/>
      <c r="JBK80" s="406"/>
      <c r="JBL80" s="406"/>
      <c r="JBM80" s="406"/>
      <c r="JBN80" s="406"/>
      <c r="JBO80" s="406"/>
      <c r="JBP80" s="406"/>
      <c r="JBQ80" s="406"/>
      <c r="JBR80" s="406"/>
      <c r="JBS80" s="406"/>
      <c r="JBT80" s="406"/>
      <c r="JBU80" s="406"/>
      <c r="JBV80" s="406"/>
      <c r="JBW80" s="406"/>
      <c r="JBX80" s="406"/>
      <c r="JBY80" s="406"/>
      <c r="JBZ80" s="406"/>
      <c r="JCA80" s="406"/>
      <c r="JCB80" s="406"/>
      <c r="JCC80" s="406"/>
      <c r="JCD80" s="406"/>
      <c r="JCE80" s="406"/>
      <c r="JCF80" s="406"/>
      <c r="JCG80" s="406"/>
      <c r="JCH80" s="406"/>
      <c r="JCI80" s="406"/>
      <c r="JCJ80" s="406"/>
      <c r="JCK80" s="406"/>
      <c r="JCL80" s="406"/>
      <c r="JCM80" s="406"/>
      <c r="JCN80" s="406"/>
      <c r="JCO80" s="406"/>
      <c r="JCP80" s="406"/>
      <c r="JCQ80" s="406"/>
      <c r="JCR80" s="406"/>
      <c r="JCS80" s="406"/>
      <c r="JCT80" s="406"/>
      <c r="JCU80" s="406"/>
      <c r="JCV80" s="406"/>
      <c r="JCW80" s="406"/>
      <c r="JCX80" s="406"/>
      <c r="JCY80" s="406"/>
      <c r="JCZ80" s="406"/>
      <c r="JDA80" s="406"/>
      <c r="JDB80" s="406"/>
      <c r="JDC80" s="406"/>
      <c r="JDD80" s="406"/>
      <c r="JDE80" s="406"/>
      <c r="JDF80" s="406"/>
      <c r="JDG80" s="406"/>
      <c r="JDH80" s="406"/>
      <c r="JDI80" s="406"/>
      <c r="JDJ80" s="406"/>
      <c r="JDK80" s="406"/>
      <c r="JDL80" s="406"/>
      <c r="JDM80" s="406"/>
      <c r="JDN80" s="406"/>
      <c r="JDO80" s="406"/>
      <c r="JDP80" s="406"/>
      <c r="JDQ80" s="406"/>
      <c r="JDR80" s="406"/>
      <c r="JDS80" s="406"/>
      <c r="JDT80" s="406"/>
      <c r="JDU80" s="406"/>
      <c r="JDV80" s="406"/>
      <c r="JDW80" s="406"/>
      <c r="JDX80" s="406"/>
      <c r="JDY80" s="406"/>
      <c r="JDZ80" s="406"/>
      <c r="JEA80" s="406"/>
      <c r="JEB80" s="406"/>
      <c r="JEC80" s="406"/>
      <c r="JED80" s="406"/>
      <c r="JEE80" s="406"/>
      <c r="JEF80" s="406"/>
      <c r="JEG80" s="406"/>
      <c r="JEH80" s="406"/>
      <c r="JEI80" s="406"/>
      <c r="JEJ80" s="406"/>
      <c r="JEK80" s="406"/>
      <c r="JEL80" s="406"/>
      <c r="JEM80" s="406"/>
      <c r="JEN80" s="406"/>
      <c r="JEO80" s="406"/>
      <c r="JEP80" s="406"/>
      <c r="JEQ80" s="406"/>
      <c r="JER80" s="406"/>
      <c r="JES80" s="406"/>
      <c r="JET80" s="406"/>
      <c r="JEU80" s="406"/>
      <c r="JEV80" s="406"/>
      <c r="JEW80" s="406"/>
      <c r="JEX80" s="406"/>
      <c r="JEY80" s="406"/>
      <c r="JEZ80" s="406"/>
      <c r="JFA80" s="406"/>
      <c r="JFB80" s="406"/>
      <c r="JFC80" s="406"/>
      <c r="JFD80" s="406"/>
      <c r="JFE80" s="406"/>
      <c r="JFF80" s="406"/>
      <c r="JFG80" s="406"/>
      <c r="JFH80" s="406"/>
      <c r="JFI80" s="406"/>
      <c r="JFJ80" s="406"/>
      <c r="JFK80" s="406"/>
      <c r="JFL80" s="406"/>
      <c r="JFM80" s="406"/>
      <c r="JFN80" s="406"/>
      <c r="JFO80" s="406"/>
      <c r="JFP80" s="406"/>
      <c r="JFQ80" s="406"/>
      <c r="JFR80" s="406"/>
      <c r="JFS80" s="406"/>
      <c r="JFT80" s="406"/>
      <c r="JFU80" s="406"/>
      <c r="JFV80" s="406"/>
      <c r="JFW80" s="406"/>
      <c r="JFX80" s="406"/>
      <c r="JFY80" s="406"/>
      <c r="JFZ80" s="406"/>
      <c r="JGA80" s="406"/>
      <c r="JGB80" s="406"/>
      <c r="JGC80" s="406"/>
      <c r="JGD80" s="406"/>
      <c r="JGE80" s="406"/>
      <c r="JGF80" s="406"/>
      <c r="JGG80" s="406"/>
      <c r="JGH80" s="406"/>
      <c r="JGI80" s="406"/>
      <c r="JGJ80" s="406"/>
      <c r="JGK80" s="406"/>
      <c r="JGL80" s="406"/>
      <c r="JGM80" s="406"/>
      <c r="JGN80" s="406"/>
      <c r="JGO80" s="406"/>
      <c r="JGP80" s="406"/>
      <c r="JGQ80" s="406"/>
      <c r="JGR80" s="406"/>
      <c r="JGS80" s="406"/>
      <c r="JGT80" s="406"/>
      <c r="JGU80" s="406"/>
      <c r="JGV80" s="406"/>
      <c r="JGW80" s="406"/>
      <c r="JGX80" s="406"/>
      <c r="JGY80" s="406"/>
      <c r="JGZ80" s="406"/>
      <c r="JHA80" s="406"/>
      <c r="JHB80" s="406"/>
      <c r="JHC80" s="406"/>
      <c r="JHD80" s="406"/>
      <c r="JHE80" s="406"/>
      <c r="JHF80" s="406"/>
      <c r="JHG80" s="406"/>
      <c r="JHH80" s="406"/>
      <c r="JHI80" s="406"/>
      <c r="JHJ80" s="406"/>
      <c r="JHK80" s="406"/>
      <c r="JHL80" s="406"/>
      <c r="JHM80" s="406"/>
      <c r="JHN80" s="406"/>
      <c r="JHO80" s="406"/>
      <c r="JHP80" s="406"/>
      <c r="JHQ80" s="406"/>
      <c r="JHR80" s="406"/>
      <c r="JHS80" s="406"/>
      <c r="JHT80" s="406"/>
      <c r="JHU80" s="406"/>
      <c r="JHV80" s="406"/>
      <c r="JHW80" s="406"/>
      <c r="JHX80" s="406"/>
      <c r="JHY80" s="406"/>
      <c r="JHZ80" s="406"/>
      <c r="JIA80" s="406"/>
      <c r="JIB80" s="406"/>
      <c r="JIC80" s="406"/>
      <c r="JID80" s="406"/>
      <c r="JIE80" s="406"/>
      <c r="JIF80" s="406"/>
      <c r="JIG80" s="406"/>
      <c r="JIH80" s="406"/>
      <c r="JII80" s="406"/>
      <c r="JIJ80" s="406"/>
      <c r="JIK80" s="406"/>
      <c r="JIL80" s="406"/>
      <c r="JIM80" s="406"/>
      <c r="JIN80" s="406"/>
      <c r="JIO80" s="406"/>
      <c r="JIP80" s="406"/>
      <c r="JIQ80" s="406"/>
      <c r="JIR80" s="406"/>
      <c r="JIS80" s="406"/>
      <c r="JIT80" s="406"/>
      <c r="JIU80" s="406"/>
      <c r="JIV80" s="406"/>
      <c r="JIW80" s="406"/>
      <c r="JIX80" s="406"/>
      <c r="JIY80" s="406"/>
      <c r="JIZ80" s="406"/>
      <c r="JJA80" s="406"/>
      <c r="JJB80" s="406"/>
      <c r="JJC80" s="406"/>
      <c r="JJD80" s="406"/>
      <c r="JJE80" s="406"/>
      <c r="JJF80" s="406"/>
      <c r="JJG80" s="406"/>
      <c r="JJH80" s="406"/>
      <c r="JJI80" s="406"/>
      <c r="JJJ80" s="406"/>
      <c r="JJK80" s="406"/>
      <c r="JJL80" s="406"/>
      <c r="JJM80" s="406"/>
      <c r="JJN80" s="406"/>
      <c r="JJO80" s="406"/>
      <c r="JJP80" s="406"/>
      <c r="JJQ80" s="406"/>
      <c r="JJR80" s="406"/>
      <c r="JJS80" s="406"/>
      <c r="JJT80" s="406"/>
      <c r="JJU80" s="406"/>
      <c r="JJV80" s="406"/>
      <c r="JJW80" s="406"/>
      <c r="JJX80" s="406"/>
      <c r="JJY80" s="406"/>
      <c r="JJZ80" s="406"/>
      <c r="JKA80" s="406"/>
      <c r="JKB80" s="406"/>
      <c r="JKC80" s="406"/>
      <c r="JKD80" s="406"/>
      <c r="JKE80" s="406"/>
      <c r="JKF80" s="406"/>
      <c r="JKG80" s="406"/>
      <c r="JKH80" s="406"/>
      <c r="JKI80" s="406"/>
      <c r="JKJ80" s="406"/>
      <c r="JKK80" s="406"/>
      <c r="JKL80" s="406"/>
      <c r="JKM80" s="406"/>
      <c r="JKN80" s="406"/>
      <c r="JKO80" s="406"/>
      <c r="JKP80" s="406"/>
      <c r="JKQ80" s="406"/>
      <c r="JKR80" s="406"/>
      <c r="JKS80" s="406"/>
      <c r="JKT80" s="406"/>
      <c r="JKU80" s="406"/>
      <c r="JKV80" s="406"/>
      <c r="JKW80" s="406"/>
      <c r="JKX80" s="406"/>
      <c r="JKY80" s="406"/>
      <c r="JKZ80" s="406"/>
      <c r="JLA80" s="406"/>
      <c r="JLB80" s="406"/>
      <c r="JLC80" s="406"/>
      <c r="JLD80" s="406"/>
      <c r="JLE80" s="406"/>
      <c r="JLF80" s="406"/>
      <c r="JLG80" s="406"/>
      <c r="JLH80" s="406"/>
      <c r="JLI80" s="406"/>
      <c r="JLJ80" s="406"/>
      <c r="JLK80" s="406"/>
      <c r="JLL80" s="406"/>
      <c r="JLM80" s="406"/>
      <c r="JLN80" s="406"/>
      <c r="JLO80" s="406"/>
      <c r="JLP80" s="406"/>
      <c r="JLQ80" s="406"/>
      <c r="JLR80" s="406"/>
      <c r="JLS80" s="406"/>
      <c r="JLT80" s="406"/>
      <c r="JLU80" s="406"/>
      <c r="JLV80" s="406"/>
      <c r="JLW80" s="406"/>
      <c r="JLX80" s="406"/>
      <c r="JLY80" s="406"/>
      <c r="JLZ80" s="406"/>
      <c r="JMA80" s="406"/>
      <c r="JMB80" s="406"/>
      <c r="JMC80" s="406"/>
      <c r="JMD80" s="406"/>
      <c r="JME80" s="406"/>
      <c r="JMF80" s="406"/>
      <c r="JMG80" s="406"/>
      <c r="JMH80" s="406"/>
      <c r="JMI80" s="406"/>
      <c r="JMJ80" s="406"/>
      <c r="JMK80" s="406"/>
      <c r="JML80" s="406"/>
      <c r="JMM80" s="406"/>
      <c r="JMN80" s="406"/>
      <c r="JMO80" s="406"/>
      <c r="JMP80" s="406"/>
      <c r="JMQ80" s="406"/>
      <c r="JMR80" s="406"/>
      <c r="JMS80" s="406"/>
      <c r="JMT80" s="406"/>
      <c r="JMU80" s="406"/>
      <c r="JMV80" s="406"/>
      <c r="JMW80" s="406"/>
      <c r="JMX80" s="406"/>
      <c r="JMY80" s="406"/>
      <c r="JMZ80" s="406"/>
      <c r="JNA80" s="406"/>
      <c r="JNB80" s="406"/>
      <c r="JNC80" s="406"/>
      <c r="JND80" s="406"/>
      <c r="JNE80" s="406"/>
      <c r="JNF80" s="406"/>
      <c r="JNG80" s="406"/>
      <c r="JNH80" s="406"/>
      <c r="JNI80" s="406"/>
      <c r="JNJ80" s="406"/>
      <c r="JNK80" s="406"/>
      <c r="JNL80" s="406"/>
      <c r="JNM80" s="406"/>
      <c r="JNN80" s="406"/>
      <c r="JNO80" s="406"/>
      <c r="JNP80" s="406"/>
      <c r="JNQ80" s="406"/>
      <c r="JNR80" s="406"/>
      <c r="JNS80" s="406"/>
      <c r="JNT80" s="406"/>
      <c r="JNU80" s="406"/>
      <c r="JNV80" s="406"/>
      <c r="JNW80" s="406"/>
      <c r="JNX80" s="406"/>
      <c r="JNY80" s="406"/>
      <c r="JNZ80" s="406"/>
      <c r="JOA80" s="406"/>
      <c r="JOB80" s="406"/>
      <c r="JOC80" s="406"/>
      <c r="JOD80" s="406"/>
      <c r="JOE80" s="406"/>
      <c r="JOF80" s="406"/>
      <c r="JOG80" s="406"/>
      <c r="JOH80" s="406"/>
      <c r="JOI80" s="406"/>
      <c r="JOJ80" s="406"/>
      <c r="JOK80" s="406"/>
      <c r="JOL80" s="406"/>
      <c r="JOM80" s="406"/>
      <c r="JON80" s="406"/>
      <c r="JOO80" s="406"/>
      <c r="JOP80" s="406"/>
      <c r="JOQ80" s="406"/>
      <c r="JOR80" s="406"/>
      <c r="JOS80" s="406"/>
      <c r="JOT80" s="406"/>
      <c r="JOU80" s="406"/>
      <c r="JOV80" s="406"/>
      <c r="JOW80" s="406"/>
      <c r="JOX80" s="406"/>
      <c r="JOY80" s="406"/>
      <c r="JOZ80" s="406"/>
      <c r="JPA80" s="406"/>
      <c r="JPB80" s="406"/>
      <c r="JPC80" s="406"/>
      <c r="JPD80" s="406"/>
      <c r="JPE80" s="406"/>
      <c r="JPF80" s="406"/>
      <c r="JPG80" s="406"/>
      <c r="JPH80" s="406"/>
      <c r="JPI80" s="406"/>
      <c r="JPJ80" s="406"/>
      <c r="JPK80" s="406"/>
      <c r="JPL80" s="406"/>
      <c r="JPM80" s="406"/>
      <c r="JPN80" s="406"/>
      <c r="JPO80" s="406"/>
      <c r="JPP80" s="406"/>
      <c r="JPQ80" s="406"/>
      <c r="JPR80" s="406"/>
      <c r="JPS80" s="406"/>
      <c r="JPT80" s="406"/>
      <c r="JPU80" s="406"/>
      <c r="JPV80" s="406"/>
      <c r="JPW80" s="406"/>
      <c r="JPX80" s="406"/>
      <c r="JPY80" s="406"/>
      <c r="JPZ80" s="406"/>
      <c r="JQA80" s="406"/>
      <c r="JQB80" s="406"/>
      <c r="JQC80" s="406"/>
      <c r="JQD80" s="406"/>
      <c r="JQE80" s="406"/>
      <c r="JQF80" s="406"/>
      <c r="JQG80" s="406"/>
      <c r="JQH80" s="406"/>
      <c r="JQI80" s="406"/>
      <c r="JQJ80" s="406"/>
      <c r="JQK80" s="406"/>
      <c r="JQL80" s="406"/>
      <c r="JQM80" s="406"/>
      <c r="JQN80" s="406"/>
      <c r="JQO80" s="406"/>
      <c r="JQP80" s="406"/>
      <c r="JQQ80" s="406"/>
      <c r="JQR80" s="406"/>
      <c r="JQS80" s="406"/>
      <c r="JQT80" s="406"/>
      <c r="JQU80" s="406"/>
      <c r="JQV80" s="406"/>
      <c r="JQW80" s="406"/>
      <c r="JQX80" s="406"/>
      <c r="JQY80" s="406"/>
      <c r="JQZ80" s="406"/>
      <c r="JRA80" s="406"/>
      <c r="JRB80" s="406"/>
      <c r="JRC80" s="406"/>
      <c r="JRD80" s="406"/>
      <c r="JRE80" s="406"/>
      <c r="JRF80" s="406"/>
      <c r="JRG80" s="406"/>
      <c r="JRH80" s="406"/>
      <c r="JRI80" s="406"/>
      <c r="JRJ80" s="406"/>
      <c r="JRK80" s="406"/>
      <c r="JRL80" s="406"/>
      <c r="JRM80" s="406"/>
      <c r="JRN80" s="406"/>
      <c r="JRO80" s="406"/>
      <c r="JRP80" s="406"/>
      <c r="JRQ80" s="406"/>
      <c r="JRR80" s="406"/>
      <c r="JRS80" s="406"/>
      <c r="JRT80" s="406"/>
      <c r="JRU80" s="406"/>
      <c r="JRV80" s="406"/>
      <c r="JRW80" s="406"/>
      <c r="JRX80" s="406"/>
      <c r="JRY80" s="406"/>
      <c r="JRZ80" s="406"/>
      <c r="JSA80" s="406"/>
      <c r="JSB80" s="406"/>
      <c r="JSC80" s="406"/>
      <c r="JSD80" s="406"/>
      <c r="JSE80" s="406"/>
      <c r="JSF80" s="406"/>
      <c r="JSG80" s="406"/>
      <c r="JSH80" s="406"/>
      <c r="JSI80" s="406"/>
      <c r="JSJ80" s="406"/>
      <c r="JSK80" s="406"/>
      <c r="JSL80" s="406"/>
      <c r="JSM80" s="406"/>
      <c r="JSN80" s="406"/>
      <c r="JSO80" s="406"/>
      <c r="JSP80" s="406"/>
      <c r="JSQ80" s="406"/>
      <c r="JSR80" s="406"/>
      <c r="JSS80" s="406"/>
      <c r="JST80" s="406"/>
      <c r="JSU80" s="406"/>
      <c r="JSV80" s="406"/>
      <c r="JSW80" s="406"/>
      <c r="JSX80" s="406"/>
      <c r="JSY80" s="406"/>
      <c r="JSZ80" s="406"/>
      <c r="JTA80" s="406"/>
      <c r="JTB80" s="406"/>
      <c r="JTC80" s="406"/>
      <c r="JTD80" s="406"/>
      <c r="JTE80" s="406"/>
      <c r="JTF80" s="406"/>
      <c r="JTG80" s="406"/>
      <c r="JTH80" s="406"/>
      <c r="JTI80" s="406"/>
      <c r="JTJ80" s="406"/>
      <c r="JTK80" s="406"/>
      <c r="JTL80" s="406"/>
      <c r="JTM80" s="406"/>
      <c r="JTN80" s="406"/>
      <c r="JTO80" s="406"/>
      <c r="JTP80" s="406"/>
      <c r="JTQ80" s="406"/>
      <c r="JTR80" s="406"/>
      <c r="JTS80" s="406"/>
      <c r="JTT80" s="406"/>
      <c r="JTU80" s="406"/>
      <c r="JTV80" s="406"/>
      <c r="JTW80" s="406"/>
      <c r="JTX80" s="406"/>
      <c r="JTY80" s="406"/>
      <c r="JTZ80" s="406"/>
      <c r="JUA80" s="406"/>
      <c r="JUB80" s="406"/>
      <c r="JUC80" s="406"/>
      <c r="JUD80" s="406"/>
      <c r="JUE80" s="406"/>
      <c r="JUF80" s="406"/>
      <c r="JUG80" s="406"/>
      <c r="JUH80" s="406"/>
      <c r="JUI80" s="406"/>
      <c r="JUJ80" s="406"/>
      <c r="JUK80" s="406"/>
      <c r="JUL80" s="406"/>
      <c r="JUM80" s="406"/>
      <c r="JUN80" s="406"/>
      <c r="JUO80" s="406"/>
      <c r="JUP80" s="406"/>
      <c r="JUQ80" s="406"/>
      <c r="JUR80" s="406"/>
      <c r="JUS80" s="406"/>
      <c r="JUT80" s="406"/>
      <c r="JUU80" s="406"/>
      <c r="JUV80" s="406"/>
      <c r="JUW80" s="406"/>
      <c r="JUX80" s="406"/>
      <c r="JUY80" s="406"/>
      <c r="JUZ80" s="406"/>
      <c r="JVA80" s="406"/>
      <c r="JVB80" s="406"/>
      <c r="JVC80" s="406"/>
      <c r="JVD80" s="406"/>
      <c r="JVE80" s="406"/>
      <c r="JVF80" s="406"/>
      <c r="JVG80" s="406"/>
      <c r="JVH80" s="406"/>
      <c r="JVI80" s="406"/>
      <c r="JVJ80" s="406"/>
      <c r="JVK80" s="406"/>
      <c r="JVL80" s="406"/>
      <c r="JVM80" s="406"/>
      <c r="JVN80" s="406"/>
      <c r="JVO80" s="406"/>
      <c r="JVP80" s="406"/>
      <c r="JVQ80" s="406"/>
      <c r="JVR80" s="406"/>
      <c r="JVS80" s="406"/>
      <c r="JVT80" s="406"/>
      <c r="JVU80" s="406"/>
      <c r="JVV80" s="406"/>
      <c r="JVW80" s="406"/>
      <c r="JVX80" s="406"/>
      <c r="JVY80" s="406"/>
      <c r="JVZ80" s="406"/>
      <c r="JWA80" s="406"/>
      <c r="JWB80" s="406"/>
      <c r="JWC80" s="406"/>
      <c r="JWD80" s="406"/>
      <c r="JWE80" s="406"/>
      <c r="JWF80" s="406"/>
      <c r="JWG80" s="406"/>
      <c r="JWH80" s="406"/>
      <c r="JWI80" s="406"/>
      <c r="JWJ80" s="406"/>
      <c r="JWK80" s="406"/>
      <c r="JWL80" s="406"/>
      <c r="JWM80" s="406"/>
      <c r="JWN80" s="406"/>
      <c r="JWO80" s="406"/>
      <c r="JWP80" s="406"/>
      <c r="JWQ80" s="406"/>
      <c r="JWR80" s="406"/>
      <c r="JWS80" s="406"/>
      <c r="JWT80" s="406"/>
      <c r="JWU80" s="406"/>
      <c r="JWV80" s="406"/>
      <c r="JWW80" s="406"/>
      <c r="JWX80" s="406"/>
      <c r="JWY80" s="406"/>
      <c r="JWZ80" s="406"/>
      <c r="JXA80" s="406"/>
      <c r="JXB80" s="406"/>
      <c r="JXC80" s="406"/>
      <c r="JXD80" s="406"/>
      <c r="JXE80" s="406"/>
      <c r="JXF80" s="406"/>
      <c r="JXG80" s="406"/>
      <c r="JXH80" s="406"/>
      <c r="JXI80" s="406"/>
      <c r="JXJ80" s="406"/>
      <c r="JXK80" s="406"/>
      <c r="JXL80" s="406"/>
      <c r="JXM80" s="406"/>
      <c r="JXN80" s="406"/>
      <c r="JXO80" s="406"/>
      <c r="JXP80" s="406"/>
      <c r="JXQ80" s="406"/>
      <c r="JXR80" s="406"/>
      <c r="JXS80" s="406"/>
      <c r="JXT80" s="406"/>
      <c r="JXU80" s="406"/>
      <c r="JXV80" s="406"/>
      <c r="JXW80" s="406"/>
      <c r="JXX80" s="406"/>
      <c r="JXY80" s="406"/>
      <c r="JXZ80" s="406"/>
      <c r="JYA80" s="406"/>
      <c r="JYB80" s="406"/>
      <c r="JYC80" s="406"/>
      <c r="JYD80" s="406"/>
      <c r="JYE80" s="406"/>
      <c r="JYF80" s="406"/>
      <c r="JYG80" s="406"/>
      <c r="JYH80" s="406"/>
      <c r="JYI80" s="406"/>
      <c r="JYJ80" s="406"/>
      <c r="JYK80" s="406"/>
      <c r="JYL80" s="406"/>
      <c r="JYM80" s="406"/>
      <c r="JYN80" s="406"/>
      <c r="JYO80" s="406"/>
      <c r="JYP80" s="406"/>
      <c r="JYQ80" s="406"/>
      <c r="JYR80" s="406"/>
      <c r="JYS80" s="406"/>
      <c r="JYT80" s="406"/>
      <c r="JYU80" s="406"/>
      <c r="JYV80" s="406"/>
      <c r="JYW80" s="406"/>
      <c r="JYX80" s="406"/>
      <c r="JYY80" s="406"/>
      <c r="JYZ80" s="406"/>
      <c r="JZA80" s="406"/>
      <c r="JZB80" s="406"/>
      <c r="JZC80" s="406"/>
      <c r="JZD80" s="406"/>
      <c r="JZE80" s="406"/>
      <c r="JZF80" s="406"/>
      <c r="JZG80" s="406"/>
      <c r="JZH80" s="406"/>
      <c r="JZI80" s="406"/>
      <c r="JZJ80" s="406"/>
      <c r="JZK80" s="406"/>
      <c r="JZL80" s="406"/>
      <c r="JZM80" s="406"/>
      <c r="JZN80" s="406"/>
      <c r="JZO80" s="406"/>
      <c r="JZP80" s="406"/>
      <c r="JZQ80" s="406"/>
      <c r="JZR80" s="406"/>
      <c r="JZS80" s="406"/>
      <c r="JZT80" s="406"/>
      <c r="JZU80" s="406"/>
      <c r="JZV80" s="406"/>
      <c r="JZW80" s="406"/>
      <c r="JZX80" s="406"/>
      <c r="JZY80" s="406"/>
      <c r="JZZ80" s="406"/>
      <c r="KAA80" s="406"/>
      <c r="KAB80" s="406"/>
      <c r="KAC80" s="406"/>
      <c r="KAD80" s="406"/>
      <c r="KAE80" s="406"/>
      <c r="KAF80" s="406"/>
      <c r="KAG80" s="406"/>
      <c r="KAH80" s="406"/>
      <c r="KAI80" s="406"/>
      <c r="KAJ80" s="406"/>
      <c r="KAK80" s="406"/>
      <c r="KAL80" s="406"/>
      <c r="KAM80" s="406"/>
      <c r="KAN80" s="406"/>
      <c r="KAO80" s="406"/>
      <c r="KAP80" s="406"/>
      <c r="KAQ80" s="406"/>
      <c r="KAR80" s="406"/>
      <c r="KAS80" s="406"/>
      <c r="KAT80" s="406"/>
      <c r="KAU80" s="406"/>
      <c r="KAV80" s="406"/>
      <c r="KAW80" s="406"/>
      <c r="KAX80" s="406"/>
      <c r="KAY80" s="406"/>
      <c r="KAZ80" s="406"/>
      <c r="KBA80" s="406"/>
      <c r="KBB80" s="406"/>
      <c r="KBC80" s="406"/>
      <c r="KBD80" s="406"/>
      <c r="KBE80" s="406"/>
      <c r="KBF80" s="406"/>
      <c r="KBG80" s="406"/>
      <c r="KBH80" s="406"/>
      <c r="KBI80" s="406"/>
      <c r="KBJ80" s="406"/>
      <c r="KBK80" s="406"/>
      <c r="KBL80" s="406"/>
      <c r="KBM80" s="406"/>
      <c r="KBN80" s="406"/>
      <c r="KBO80" s="406"/>
      <c r="KBP80" s="406"/>
      <c r="KBQ80" s="406"/>
      <c r="KBR80" s="406"/>
      <c r="KBS80" s="406"/>
      <c r="KBT80" s="406"/>
      <c r="KBU80" s="406"/>
      <c r="KBV80" s="406"/>
      <c r="KBW80" s="406"/>
      <c r="KBX80" s="406"/>
      <c r="KBY80" s="406"/>
      <c r="KBZ80" s="406"/>
      <c r="KCA80" s="406"/>
      <c r="KCB80" s="406"/>
      <c r="KCC80" s="406"/>
      <c r="KCD80" s="406"/>
      <c r="KCE80" s="406"/>
      <c r="KCF80" s="406"/>
      <c r="KCG80" s="406"/>
      <c r="KCH80" s="406"/>
      <c r="KCI80" s="406"/>
      <c r="KCJ80" s="406"/>
      <c r="KCK80" s="406"/>
      <c r="KCL80" s="406"/>
      <c r="KCM80" s="406"/>
      <c r="KCN80" s="406"/>
      <c r="KCO80" s="406"/>
      <c r="KCP80" s="406"/>
      <c r="KCQ80" s="406"/>
      <c r="KCR80" s="406"/>
      <c r="KCS80" s="406"/>
      <c r="KCT80" s="406"/>
      <c r="KCU80" s="406"/>
      <c r="KCV80" s="406"/>
      <c r="KCW80" s="406"/>
      <c r="KCX80" s="406"/>
      <c r="KCY80" s="406"/>
      <c r="KCZ80" s="406"/>
      <c r="KDA80" s="406"/>
      <c r="KDB80" s="406"/>
      <c r="KDC80" s="406"/>
      <c r="KDD80" s="406"/>
      <c r="KDE80" s="406"/>
      <c r="KDF80" s="406"/>
      <c r="KDG80" s="406"/>
      <c r="KDH80" s="406"/>
      <c r="KDI80" s="406"/>
      <c r="KDJ80" s="406"/>
      <c r="KDK80" s="406"/>
      <c r="KDL80" s="406"/>
      <c r="KDM80" s="406"/>
      <c r="KDN80" s="406"/>
      <c r="KDO80" s="406"/>
      <c r="KDP80" s="406"/>
      <c r="KDQ80" s="406"/>
      <c r="KDR80" s="406"/>
      <c r="KDS80" s="406"/>
      <c r="KDT80" s="406"/>
      <c r="KDU80" s="406"/>
      <c r="KDV80" s="406"/>
      <c r="KDW80" s="406"/>
      <c r="KDX80" s="406"/>
      <c r="KDY80" s="406"/>
      <c r="KDZ80" s="406"/>
      <c r="KEA80" s="406"/>
      <c r="KEB80" s="406"/>
      <c r="KEC80" s="406"/>
      <c r="KED80" s="406"/>
      <c r="KEE80" s="406"/>
      <c r="KEF80" s="406"/>
      <c r="KEG80" s="406"/>
      <c r="KEH80" s="406"/>
      <c r="KEI80" s="406"/>
      <c r="KEJ80" s="406"/>
      <c r="KEK80" s="406"/>
      <c r="KEL80" s="406"/>
      <c r="KEM80" s="406"/>
      <c r="KEN80" s="406"/>
      <c r="KEO80" s="406"/>
      <c r="KEP80" s="406"/>
      <c r="KEQ80" s="406"/>
      <c r="KER80" s="406"/>
      <c r="KES80" s="406"/>
      <c r="KET80" s="406"/>
      <c r="KEU80" s="406"/>
      <c r="KEV80" s="406"/>
      <c r="KEW80" s="406"/>
      <c r="KEX80" s="406"/>
      <c r="KEY80" s="406"/>
      <c r="KEZ80" s="406"/>
      <c r="KFA80" s="406"/>
      <c r="KFB80" s="406"/>
      <c r="KFC80" s="406"/>
      <c r="KFD80" s="406"/>
      <c r="KFE80" s="406"/>
      <c r="KFF80" s="406"/>
      <c r="KFG80" s="406"/>
      <c r="KFH80" s="406"/>
      <c r="KFI80" s="406"/>
      <c r="KFJ80" s="406"/>
      <c r="KFK80" s="406"/>
      <c r="KFL80" s="406"/>
      <c r="KFM80" s="406"/>
      <c r="KFN80" s="406"/>
      <c r="KFO80" s="406"/>
      <c r="KFP80" s="406"/>
      <c r="KFQ80" s="406"/>
      <c r="KFR80" s="406"/>
      <c r="KFS80" s="406"/>
      <c r="KFT80" s="406"/>
      <c r="KFU80" s="406"/>
      <c r="KFV80" s="406"/>
      <c r="KFW80" s="406"/>
      <c r="KFX80" s="406"/>
      <c r="KFY80" s="406"/>
      <c r="KFZ80" s="406"/>
      <c r="KGA80" s="406"/>
      <c r="KGB80" s="406"/>
      <c r="KGC80" s="406"/>
      <c r="KGD80" s="406"/>
      <c r="KGE80" s="406"/>
      <c r="KGF80" s="406"/>
      <c r="KGG80" s="406"/>
      <c r="KGH80" s="406"/>
      <c r="KGI80" s="406"/>
      <c r="KGJ80" s="406"/>
      <c r="KGK80" s="406"/>
      <c r="KGL80" s="406"/>
      <c r="KGM80" s="406"/>
      <c r="KGN80" s="406"/>
      <c r="KGO80" s="406"/>
      <c r="KGP80" s="406"/>
      <c r="KGQ80" s="406"/>
      <c r="KGR80" s="406"/>
      <c r="KGS80" s="406"/>
      <c r="KGT80" s="406"/>
      <c r="KGU80" s="406"/>
      <c r="KGV80" s="406"/>
      <c r="KGW80" s="406"/>
      <c r="KGX80" s="406"/>
      <c r="KGY80" s="406"/>
      <c r="KGZ80" s="406"/>
      <c r="KHA80" s="406"/>
      <c r="KHB80" s="406"/>
      <c r="KHC80" s="406"/>
      <c r="KHD80" s="406"/>
      <c r="KHE80" s="406"/>
      <c r="KHF80" s="406"/>
      <c r="KHG80" s="406"/>
      <c r="KHH80" s="406"/>
      <c r="KHI80" s="406"/>
      <c r="KHJ80" s="406"/>
      <c r="KHK80" s="406"/>
      <c r="KHL80" s="406"/>
      <c r="KHM80" s="406"/>
      <c r="KHN80" s="406"/>
      <c r="KHO80" s="406"/>
      <c r="KHP80" s="406"/>
      <c r="KHQ80" s="406"/>
      <c r="KHR80" s="406"/>
      <c r="KHS80" s="406"/>
      <c r="KHT80" s="406"/>
      <c r="KHU80" s="406"/>
      <c r="KHV80" s="406"/>
      <c r="KHW80" s="406"/>
      <c r="KHX80" s="406"/>
      <c r="KHY80" s="406"/>
      <c r="KHZ80" s="406"/>
      <c r="KIA80" s="406"/>
      <c r="KIB80" s="406"/>
      <c r="KIC80" s="406"/>
      <c r="KID80" s="406"/>
      <c r="KIE80" s="406"/>
      <c r="KIF80" s="406"/>
      <c r="KIG80" s="406"/>
      <c r="KIH80" s="406"/>
      <c r="KII80" s="406"/>
      <c r="KIJ80" s="406"/>
      <c r="KIK80" s="406"/>
      <c r="KIL80" s="406"/>
      <c r="KIM80" s="406"/>
      <c r="KIN80" s="406"/>
      <c r="KIO80" s="406"/>
      <c r="KIP80" s="406"/>
      <c r="KIQ80" s="406"/>
      <c r="KIR80" s="406"/>
      <c r="KIS80" s="406"/>
      <c r="KIT80" s="406"/>
      <c r="KIU80" s="406"/>
      <c r="KIV80" s="406"/>
      <c r="KIW80" s="406"/>
      <c r="KIX80" s="406"/>
      <c r="KIY80" s="406"/>
      <c r="KIZ80" s="406"/>
      <c r="KJA80" s="406"/>
      <c r="KJB80" s="406"/>
      <c r="KJC80" s="406"/>
      <c r="KJD80" s="406"/>
      <c r="KJE80" s="406"/>
      <c r="KJF80" s="406"/>
      <c r="KJG80" s="406"/>
      <c r="KJH80" s="406"/>
      <c r="KJI80" s="406"/>
      <c r="KJJ80" s="406"/>
      <c r="KJK80" s="406"/>
      <c r="KJL80" s="406"/>
      <c r="KJM80" s="406"/>
      <c r="KJN80" s="406"/>
      <c r="KJO80" s="406"/>
      <c r="KJP80" s="406"/>
      <c r="KJQ80" s="406"/>
      <c r="KJR80" s="406"/>
      <c r="KJS80" s="406"/>
      <c r="KJT80" s="406"/>
      <c r="KJU80" s="406"/>
      <c r="KJV80" s="406"/>
      <c r="KJW80" s="406"/>
      <c r="KJX80" s="406"/>
      <c r="KJY80" s="406"/>
      <c r="KJZ80" s="406"/>
      <c r="KKA80" s="406"/>
      <c r="KKB80" s="406"/>
      <c r="KKC80" s="406"/>
      <c r="KKD80" s="406"/>
      <c r="KKE80" s="406"/>
      <c r="KKF80" s="406"/>
      <c r="KKG80" s="406"/>
      <c r="KKH80" s="406"/>
      <c r="KKI80" s="406"/>
      <c r="KKJ80" s="406"/>
      <c r="KKK80" s="406"/>
      <c r="KKL80" s="406"/>
      <c r="KKM80" s="406"/>
      <c r="KKN80" s="406"/>
      <c r="KKO80" s="406"/>
      <c r="KKP80" s="406"/>
      <c r="KKQ80" s="406"/>
      <c r="KKR80" s="406"/>
      <c r="KKS80" s="406"/>
      <c r="KKT80" s="406"/>
      <c r="KKU80" s="406"/>
      <c r="KKV80" s="406"/>
      <c r="KKW80" s="406"/>
      <c r="KKX80" s="406"/>
      <c r="KKY80" s="406"/>
      <c r="KKZ80" s="406"/>
      <c r="KLA80" s="406"/>
      <c r="KLB80" s="406"/>
      <c r="KLC80" s="406"/>
      <c r="KLD80" s="406"/>
      <c r="KLE80" s="406"/>
      <c r="KLF80" s="406"/>
      <c r="KLG80" s="406"/>
      <c r="KLH80" s="406"/>
      <c r="KLI80" s="406"/>
      <c r="KLJ80" s="406"/>
      <c r="KLK80" s="406"/>
      <c r="KLL80" s="406"/>
      <c r="KLM80" s="406"/>
      <c r="KLN80" s="406"/>
      <c r="KLO80" s="406"/>
      <c r="KLP80" s="406"/>
      <c r="KLQ80" s="406"/>
      <c r="KLR80" s="406"/>
      <c r="KLS80" s="406"/>
      <c r="KLT80" s="406"/>
      <c r="KLU80" s="406"/>
      <c r="KLV80" s="406"/>
      <c r="KLW80" s="406"/>
      <c r="KLX80" s="406"/>
      <c r="KLY80" s="406"/>
      <c r="KLZ80" s="406"/>
      <c r="KMA80" s="406"/>
      <c r="KMB80" s="406"/>
      <c r="KMC80" s="406"/>
      <c r="KMD80" s="406"/>
      <c r="KME80" s="406"/>
      <c r="KMF80" s="406"/>
      <c r="KMG80" s="406"/>
      <c r="KMH80" s="406"/>
      <c r="KMI80" s="406"/>
      <c r="KMJ80" s="406"/>
      <c r="KMK80" s="406"/>
      <c r="KML80" s="406"/>
      <c r="KMM80" s="406"/>
      <c r="KMN80" s="406"/>
      <c r="KMO80" s="406"/>
      <c r="KMP80" s="406"/>
      <c r="KMQ80" s="406"/>
      <c r="KMR80" s="406"/>
      <c r="KMS80" s="406"/>
      <c r="KMT80" s="406"/>
      <c r="KMU80" s="406"/>
      <c r="KMV80" s="406"/>
      <c r="KMW80" s="406"/>
      <c r="KMX80" s="406"/>
      <c r="KMY80" s="406"/>
      <c r="KMZ80" s="406"/>
      <c r="KNA80" s="406"/>
      <c r="KNB80" s="406"/>
      <c r="KNC80" s="406"/>
      <c r="KND80" s="406"/>
      <c r="KNE80" s="406"/>
      <c r="KNF80" s="406"/>
      <c r="KNG80" s="406"/>
      <c r="KNH80" s="406"/>
      <c r="KNI80" s="406"/>
      <c r="KNJ80" s="406"/>
      <c r="KNK80" s="406"/>
      <c r="KNL80" s="406"/>
      <c r="KNM80" s="406"/>
      <c r="KNN80" s="406"/>
      <c r="KNO80" s="406"/>
      <c r="KNP80" s="406"/>
      <c r="KNQ80" s="406"/>
      <c r="KNR80" s="406"/>
      <c r="KNS80" s="406"/>
      <c r="KNT80" s="406"/>
      <c r="KNU80" s="406"/>
      <c r="KNV80" s="406"/>
      <c r="KNW80" s="406"/>
      <c r="KNX80" s="406"/>
      <c r="KNY80" s="406"/>
      <c r="KNZ80" s="406"/>
      <c r="KOA80" s="406"/>
      <c r="KOB80" s="406"/>
      <c r="KOC80" s="406"/>
      <c r="KOD80" s="406"/>
      <c r="KOE80" s="406"/>
      <c r="KOF80" s="406"/>
      <c r="KOG80" s="406"/>
      <c r="KOH80" s="406"/>
      <c r="KOI80" s="406"/>
      <c r="KOJ80" s="406"/>
      <c r="KOK80" s="406"/>
      <c r="KOL80" s="406"/>
      <c r="KOM80" s="406"/>
      <c r="KON80" s="406"/>
      <c r="KOO80" s="406"/>
      <c r="KOP80" s="406"/>
      <c r="KOQ80" s="406"/>
      <c r="KOR80" s="406"/>
      <c r="KOS80" s="406"/>
      <c r="KOT80" s="406"/>
      <c r="KOU80" s="406"/>
      <c r="KOV80" s="406"/>
      <c r="KOW80" s="406"/>
      <c r="KOX80" s="406"/>
      <c r="KOY80" s="406"/>
      <c r="KOZ80" s="406"/>
      <c r="KPA80" s="406"/>
      <c r="KPB80" s="406"/>
      <c r="KPC80" s="406"/>
      <c r="KPD80" s="406"/>
      <c r="KPE80" s="406"/>
      <c r="KPF80" s="406"/>
      <c r="KPG80" s="406"/>
      <c r="KPH80" s="406"/>
      <c r="KPI80" s="406"/>
      <c r="KPJ80" s="406"/>
      <c r="KPK80" s="406"/>
      <c r="KPL80" s="406"/>
      <c r="KPM80" s="406"/>
      <c r="KPN80" s="406"/>
      <c r="KPO80" s="406"/>
      <c r="KPP80" s="406"/>
      <c r="KPQ80" s="406"/>
      <c r="KPR80" s="406"/>
      <c r="KPS80" s="406"/>
      <c r="KPT80" s="406"/>
      <c r="KPU80" s="406"/>
      <c r="KPV80" s="406"/>
      <c r="KPW80" s="406"/>
      <c r="KPX80" s="406"/>
      <c r="KPY80" s="406"/>
      <c r="KPZ80" s="406"/>
      <c r="KQA80" s="406"/>
      <c r="KQB80" s="406"/>
      <c r="KQC80" s="406"/>
      <c r="KQD80" s="406"/>
      <c r="KQE80" s="406"/>
      <c r="KQF80" s="406"/>
      <c r="KQG80" s="406"/>
      <c r="KQH80" s="406"/>
      <c r="KQI80" s="406"/>
      <c r="KQJ80" s="406"/>
      <c r="KQK80" s="406"/>
      <c r="KQL80" s="406"/>
      <c r="KQM80" s="406"/>
      <c r="KQN80" s="406"/>
      <c r="KQO80" s="406"/>
      <c r="KQP80" s="406"/>
      <c r="KQQ80" s="406"/>
      <c r="KQR80" s="406"/>
      <c r="KQS80" s="406"/>
      <c r="KQT80" s="406"/>
      <c r="KQU80" s="406"/>
      <c r="KQV80" s="406"/>
      <c r="KQW80" s="406"/>
      <c r="KQX80" s="406"/>
      <c r="KQY80" s="406"/>
      <c r="KQZ80" s="406"/>
      <c r="KRA80" s="406"/>
      <c r="KRB80" s="406"/>
      <c r="KRC80" s="406"/>
      <c r="KRD80" s="406"/>
      <c r="KRE80" s="406"/>
      <c r="KRF80" s="406"/>
      <c r="KRG80" s="406"/>
      <c r="KRH80" s="406"/>
      <c r="KRI80" s="406"/>
      <c r="KRJ80" s="406"/>
      <c r="KRK80" s="406"/>
      <c r="KRL80" s="406"/>
      <c r="KRM80" s="406"/>
      <c r="KRN80" s="406"/>
      <c r="KRO80" s="406"/>
      <c r="KRP80" s="406"/>
      <c r="KRQ80" s="406"/>
      <c r="KRR80" s="406"/>
      <c r="KRS80" s="406"/>
      <c r="KRT80" s="406"/>
      <c r="KRU80" s="406"/>
      <c r="KRV80" s="406"/>
      <c r="KRW80" s="406"/>
      <c r="KRX80" s="406"/>
      <c r="KRY80" s="406"/>
      <c r="KRZ80" s="406"/>
      <c r="KSA80" s="406"/>
      <c r="KSB80" s="406"/>
      <c r="KSC80" s="406"/>
      <c r="KSD80" s="406"/>
      <c r="KSE80" s="406"/>
      <c r="KSF80" s="406"/>
      <c r="KSG80" s="406"/>
      <c r="KSH80" s="406"/>
      <c r="KSI80" s="406"/>
      <c r="KSJ80" s="406"/>
      <c r="KSK80" s="406"/>
      <c r="KSL80" s="406"/>
      <c r="KSM80" s="406"/>
      <c r="KSN80" s="406"/>
      <c r="KSO80" s="406"/>
      <c r="KSP80" s="406"/>
      <c r="KSQ80" s="406"/>
      <c r="KSR80" s="406"/>
      <c r="KSS80" s="406"/>
      <c r="KST80" s="406"/>
      <c r="KSU80" s="406"/>
      <c r="KSV80" s="406"/>
      <c r="KSW80" s="406"/>
      <c r="KSX80" s="406"/>
      <c r="KSY80" s="406"/>
      <c r="KSZ80" s="406"/>
      <c r="KTA80" s="406"/>
      <c r="KTB80" s="406"/>
      <c r="KTC80" s="406"/>
      <c r="KTD80" s="406"/>
      <c r="KTE80" s="406"/>
      <c r="KTF80" s="406"/>
      <c r="KTG80" s="406"/>
      <c r="KTH80" s="406"/>
      <c r="KTI80" s="406"/>
      <c r="KTJ80" s="406"/>
      <c r="KTK80" s="406"/>
      <c r="KTL80" s="406"/>
      <c r="KTM80" s="406"/>
      <c r="KTN80" s="406"/>
      <c r="KTO80" s="406"/>
      <c r="KTP80" s="406"/>
      <c r="KTQ80" s="406"/>
      <c r="KTR80" s="406"/>
      <c r="KTS80" s="406"/>
      <c r="KTT80" s="406"/>
      <c r="KTU80" s="406"/>
      <c r="KTV80" s="406"/>
      <c r="KTW80" s="406"/>
      <c r="KTX80" s="406"/>
      <c r="KTY80" s="406"/>
      <c r="KTZ80" s="406"/>
      <c r="KUA80" s="406"/>
      <c r="KUB80" s="406"/>
      <c r="KUC80" s="406"/>
      <c r="KUD80" s="406"/>
      <c r="KUE80" s="406"/>
      <c r="KUF80" s="406"/>
      <c r="KUG80" s="406"/>
      <c r="KUH80" s="406"/>
      <c r="KUI80" s="406"/>
      <c r="KUJ80" s="406"/>
      <c r="KUK80" s="406"/>
      <c r="KUL80" s="406"/>
      <c r="KUM80" s="406"/>
      <c r="KUN80" s="406"/>
      <c r="KUO80" s="406"/>
      <c r="KUP80" s="406"/>
      <c r="KUQ80" s="406"/>
      <c r="KUR80" s="406"/>
      <c r="KUS80" s="406"/>
      <c r="KUT80" s="406"/>
      <c r="KUU80" s="406"/>
      <c r="KUV80" s="406"/>
      <c r="KUW80" s="406"/>
      <c r="KUX80" s="406"/>
      <c r="KUY80" s="406"/>
      <c r="KUZ80" s="406"/>
      <c r="KVA80" s="406"/>
      <c r="KVB80" s="406"/>
      <c r="KVC80" s="406"/>
      <c r="KVD80" s="406"/>
      <c r="KVE80" s="406"/>
      <c r="KVF80" s="406"/>
      <c r="KVG80" s="406"/>
      <c r="KVH80" s="406"/>
      <c r="KVI80" s="406"/>
      <c r="KVJ80" s="406"/>
      <c r="KVK80" s="406"/>
      <c r="KVL80" s="406"/>
      <c r="KVM80" s="406"/>
      <c r="KVN80" s="406"/>
      <c r="KVO80" s="406"/>
      <c r="KVP80" s="406"/>
      <c r="KVQ80" s="406"/>
      <c r="KVR80" s="406"/>
      <c r="KVS80" s="406"/>
      <c r="KVT80" s="406"/>
      <c r="KVU80" s="406"/>
      <c r="KVV80" s="406"/>
      <c r="KVW80" s="406"/>
      <c r="KVX80" s="406"/>
      <c r="KVY80" s="406"/>
      <c r="KVZ80" s="406"/>
      <c r="KWA80" s="406"/>
      <c r="KWB80" s="406"/>
      <c r="KWC80" s="406"/>
      <c r="KWD80" s="406"/>
      <c r="KWE80" s="406"/>
      <c r="KWF80" s="406"/>
      <c r="KWG80" s="406"/>
      <c r="KWH80" s="406"/>
      <c r="KWI80" s="406"/>
      <c r="KWJ80" s="406"/>
      <c r="KWK80" s="406"/>
      <c r="KWL80" s="406"/>
      <c r="KWM80" s="406"/>
      <c r="KWN80" s="406"/>
      <c r="KWO80" s="406"/>
      <c r="KWP80" s="406"/>
      <c r="KWQ80" s="406"/>
      <c r="KWR80" s="406"/>
      <c r="KWS80" s="406"/>
      <c r="KWT80" s="406"/>
      <c r="KWU80" s="406"/>
      <c r="KWV80" s="406"/>
      <c r="KWW80" s="406"/>
      <c r="KWX80" s="406"/>
      <c r="KWY80" s="406"/>
      <c r="KWZ80" s="406"/>
      <c r="KXA80" s="406"/>
      <c r="KXB80" s="406"/>
      <c r="KXC80" s="406"/>
      <c r="KXD80" s="406"/>
      <c r="KXE80" s="406"/>
      <c r="KXF80" s="406"/>
      <c r="KXG80" s="406"/>
      <c r="KXH80" s="406"/>
      <c r="KXI80" s="406"/>
      <c r="KXJ80" s="406"/>
      <c r="KXK80" s="406"/>
      <c r="KXL80" s="406"/>
      <c r="KXM80" s="406"/>
      <c r="KXN80" s="406"/>
      <c r="KXO80" s="406"/>
      <c r="KXP80" s="406"/>
      <c r="KXQ80" s="406"/>
      <c r="KXR80" s="406"/>
      <c r="KXS80" s="406"/>
      <c r="KXT80" s="406"/>
      <c r="KXU80" s="406"/>
      <c r="KXV80" s="406"/>
      <c r="KXW80" s="406"/>
      <c r="KXX80" s="406"/>
      <c r="KXY80" s="406"/>
      <c r="KXZ80" s="406"/>
      <c r="KYA80" s="406"/>
      <c r="KYB80" s="406"/>
      <c r="KYC80" s="406"/>
      <c r="KYD80" s="406"/>
      <c r="KYE80" s="406"/>
      <c r="KYF80" s="406"/>
      <c r="KYG80" s="406"/>
      <c r="KYH80" s="406"/>
      <c r="KYI80" s="406"/>
      <c r="KYJ80" s="406"/>
      <c r="KYK80" s="406"/>
      <c r="KYL80" s="406"/>
      <c r="KYM80" s="406"/>
      <c r="KYN80" s="406"/>
      <c r="KYO80" s="406"/>
      <c r="KYP80" s="406"/>
      <c r="KYQ80" s="406"/>
      <c r="KYR80" s="406"/>
      <c r="KYS80" s="406"/>
      <c r="KYT80" s="406"/>
      <c r="KYU80" s="406"/>
      <c r="KYV80" s="406"/>
      <c r="KYW80" s="406"/>
      <c r="KYX80" s="406"/>
      <c r="KYY80" s="406"/>
      <c r="KYZ80" s="406"/>
      <c r="KZA80" s="406"/>
      <c r="KZB80" s="406"/>
      <c r="KZC80" s="406"/>
      <c r="KZD80" s="406"/>
      <c r="KZE80" s="406"/>
      <c r="KZF80" s="406"/>
      <c r="KZG80" s="406"/>
      <c r="KZH80" s="406"/>
      <c r="KZI80" s="406"/>
      <c r="KZJ80" s="406"/>
      <c r="KZK80" s="406"/>
      <c r="KZL80" s="406"/>
      <c r="KZM80" s="406"/>
      <c r="KZN80" s="406"/>
      <c r="KZO80" s="406"/>
      <c r="KZP80" s="406"/>
      <c r="KZQ80" s="406"/>
      <c r="KZR80" s="406"/>
      <c r="KZS80" s="406"/>
      <c r="KZT80" s="406"/>
      <c r="KZU80" s="406"/>
      <c r="KZV80" s="406"/>
      <c r="KZW80" s="406"/>
      <c r="KZX80" s="406"/>
      <c r="KZY80" s="406"/>
      <c r="KZZ80" s="406"/>
      <c r="LAA80" s="406"/>
      <c r="LAB80" s="406"/>
      <c r="LAC80" s="406"/>
      <c r="LAD80" s="406"/>
      <c r="LAE80" s="406"/>
      <c r="LAF80" s="406"/>
      <c r="LAG80" s="406"/>
      <c r="LAH80" s="406"/>
      <c r="LAI80" s="406"/>
      <c r="LAJ80" s="406"/>
      <c r="LAK80" s="406"/>
      <c r="LAL80" s="406"/>
      <c r="LAM80" s="406"/>
      <c r="LAN80" s="406"/>
      <c r="LAO80" s="406"/>
      <c r="LAP80" s="406"/>
      <c r="LAQ80" s="406"/>
      <c r="LAR80" s="406"/>
      <c r="LAS80" s="406"/>
      <c r="LAT80" s="406"/>
      <c r="LAU80" s="406"/>
      <c r="LAV80" s="406"/>
      <c r="LAW80" s="406"/>
      <c r="LAX80" s="406"/>
      <c r="LAY80" s="406"/>
      <c r="LAZ80" s="406"/>
      <c r="LBA80" s="406"/>
      <c r="LBB80" s="406"/>
      <c r="LBC80" s="406"/>
      <c r="LBD80" s="406"/>
      <c r="LBE80" s="406"/>
      <c r="LBF80" s="406"/>
      <c r="LBG80" s="406"/>
      <c r="LBH80" s="406"/>
      <c r="LBI80" s="406"/>
      <c r="LBJ80" s="406"/>
      <c r="LBK80" s="406"/>
      <c r="LBL80" s="406"/>
      <c r="LBM80" s="406"/>
      <c r="LBN80" s="406"/>
      <c r="LBO80" s="406"/>
      <c r="LBP80" s="406"/>
      <c r="LBQ80" s="406"/>
      <c r="LBR80" s="406"/>
      <c r="LBS80" s="406"/>
      <c r="LBT80" s="406"/>
      <c r="LBU80" s="406"/>
      <c r="LBV80" s="406"/>
      <c r="LBW80" s="406"/>
      <c r="LBX80" s="406"/>
      <c r="LBY80" s="406"/>
      <c r="LBZ80" s="406"/>
      <c r="LCA80" s="406"/>
      <c r="LCB80" s="406"/>
      <c r="LCC80" s="406"/>
      <c r="LCD80" s="406"/>
      <c r="LCE80" s="406"/>
      <c r="LCF80" s="406"/>
      <c r="LCG80" s="406"/>
      <c r="LCH80" s="406"/>
      <c r="LCI80" s="406"/>
      <c r="LCJ80" s="406"/>
      <c r="LCK80" s="406"/>
      <c r="LCL80" s="406"/>
      <c r="LCM80" s="406"/>
      <c r="LCN80" s="406"/>
      <c r="LCO80" s="406"/>
      <c r="LCP80" s="406"/>
      <c r="LCQ80" s="406"/>
      <c r="LCR80" s="406"/>
      <c r="LCS80" s="406"/>
      <c r="LCT80" s="406"/>
      <c r="LCU80" s="406"/>
      <c r="LCV80" s="406"/>
      <c r="LCW80" s="406"/>
      <c r="LCX80" s="406"/>
      <c r="LCY80" s="406"/>
      <c r="LCZ80" s="406"/>
      <c r="LDA80" s="406"/>
      <c r="LDB80" s="406"/>
      <c r="LDC80" s="406"/>
      <c r="LDD80" s="406"/>
      <c r="LDE80" s="406"/>
      <c r="LDF80" s="406"/>
      <c r="LDG80" s="406"/>
      <c r="LDH80" s="406"/>
      <c r="LDI80" s="406"/>
      <c r="LDJ80" s="406"/>
      <c r="LDK80" s="406"/>
      <c r="LDL80" s="406"/>
      <c r="LDM80" s="406"/>
      <c r="LDN80" s="406"/>
      <c r="LDO80" s="406"/>
      <c r="LDP80" s="406"/>
      <c r="LDQ80" s="406"/>
      <c r="LDR80" s="406"/>
      <c r="LDS80" s="406"/>
      <c r="LDT80" s="406"/>
      <c r="LDU80" s="406"/>
      <c r="LDV80" s="406"/>
      <c r="LDW80" s="406"/>
      <c r="LDX80" s="406"/>
      <c r="LDY80" s="406"/>
      <c r="LDZ80" s="406"/>
      <c r="LEA80" s="406"/>
      <c r="LEB80" s="406"/>
      <c r="LEC80" s="406"/>
      <c r="LED80" s="406"/>
      <c r="LEE80" s="406"/>
      <c r="LEF80" s="406"/>
      <c r="LEG80" s="406"/>
      <c r="LEH80" s="406"/>
      <c r="LEI80" s="406"/>
      <c r="LEJ80" s="406"/>
      <c r="LEK80" s="406"/>
      <c r="LEL80" s="406"/>
      <c r="LEM80" s="406"/>
      <c r="LEN80" s="406"/>
      <c r="LEO80" s="406"/>
      <c r="LEP80" s="406"/>
      <c r="LEQ80" s="406"/>
      <c r="LER80" s="406"/>
      <c r="LES80" s="406"/>
      <c r="LET80" s="406"/>
      <c r="LEU80" s="406"/>
      <c r="LEV80" s="406"/>
      <c r="LEW80" s="406"/>
      <c r="LEX80" s="406"/>
      <c r="LEY80" s="406"/>
      <c r="LEZ80" s="406"/>
      <c r="LFA80" s="406"/>
      <c r="LFB80" s="406"/>
      <c r="LFC80" s="406"/>
      <c r="LFD80" s="406"/>
      <c r="LFE80" s="406"/>
      <c r="LFF80" s="406"/>
      <c r="LFG80" s="406"/>
      <c r="LFH80" s="406"/>
      <c r="LFI80" s="406"/>
      <c r="LFJ80" s="406"/>
      <c r="LFK80" s="406"/>
      <c r="LFL80" s="406"/>
      <c r="LFM80" s="406"/>
      <c r="LFN80" s="406"/>
      <c r="LFO80" s="406"/>
      <c r="LFP80" s="406"/>
      <c r="LFQ80" s="406"/>
      <c r="LFR80" s="406"/>
      <c r="LFS80" s="406"/>
      <c r="LFT80" s="406"/>
      <c r="LFU80" s="406"/>
      <c r="LFV80" s="406"/>
      <c r="LFW80" s="406"/>
      <c r="LFX80" s="406"/>
      <c r="LFY80" s="406"/>
      <c r="LFZ80" s="406"/>
      <c r="LGA80" s="406"/>
      <c r="LGB80" s="406"/>
      <c r="LGC80" s="406"/>
      <c r="LGD80" s="406"/>
      <c r="LGE80" s="406"/>
      <c r="LGF80" s="406"/>
      <c r="LGG80" s="406"/>
      <c r="LGH80" s="406"/>
      <c r="LGI80" s="406"/>
      <c r="LGJ80" s="406"/>
      <c r="LGK80" s="406"/>
      <c r="LGL80" s="406"/>
      <c r="LGM80" s="406"/>
      <c r="LGN80" s="406"/>
      <c r="LGO80" s="406"/>
      <c r="LGP80" s="406"/>
      <c r="LGQ80" s="406"/>
      <c r="LGR80" s="406"/>
      <c r="LGS80" s="406"/>
      <c r="LGT80" s="406"/>
      <c r="LGU80" s="406"/>
      <c r="LGV80" s="406"/>
      <c r="LGW80" s="406"/>
      <c r="LGX80" s="406"/>
      <c r="LGY80" s="406"/>
      <c r="LGZ80" s="406"/>
      <c r="LHA80" s="406"/>
      <c r="LHB80" s="406"/>
      <c r="LHC80" s="406"/>
      <c r="LHD80" s="406"/>
      <c r="LHE80" s="406"/>
      <c r="LHF80" s="406"/>
      <c r="LHG80" s="406"/>
      <c r="LHH80" s="406"/>
      <c r="LHI80" s="406"/>
      <c r="LHJ80" s="406"/>
      <c r="LHK80" s="406"/>
      <c r="LHL80" s="406"/>
      <c r="LHM80" s="406"/>
      <c r="LHN80" s="406"/>
      <c r="LHO80" s="406"/>
      <c r="LHP80" s="406"/>
      <c r="LHQ80" s="406"/>
      <c r="LHR80" s="406"/>
      <c r="LHS80" s="406"/>
      <c r="LHT80" s="406"/>
      <c r="LHU80" s="406"/>
      <c r="LHV80" s="406"/>
      <c r="LHW80" s="406"/>
      <c r="LHX80" s="406"/>
      <c r="LHY80" s="406"/>
      <c r="LHZ80" s="406"/>
      <c r="LIA80" s="406"/>
      <c r="LIB80" s="406"/>
      <c r="LIC80" s="406"/>
      <c r="LID80" s="406"/>
      <c r="LIE80" s="406"/>
      <c r="LIF80" s="406"/>
      <c r="LIG80" s="406"/>
      <c r="LIH80" s="406"/>
      <c r="LII80" s="406"/>
      <c r="LIJ80" s="406"/>
      <c r="LIK80" s="406"/>
      <c r="LIL80" s="406"/>
      <c r="LIM80" s="406"/>
      <c r="LIN80" s="406"/>
      <c r="LIO80" s="406"/>
      <c r="LIP80" s="406"/>
      <c r="LIQ80" s="406"/>
      <c r="LIR80" s="406"/>
      <c r="LIS80" s="406"/>
      <c r="LIT80" s="406"/>
      <c r="LIU80" s="406"/>
      <c r="LIV80" s="406"/>
      <c r="LIW80" s="406"/>
      <c r="LIX80" s="406"/>
      <c r="LIY80" s="406"/>
      <c r="LIZ80" s="406"/>
      <c r="LJA80" s="406"/>
      <c r="LJB80" s="406"/>
      <c r="LJC80" s="406"/>
      <c r="LJD80" s="406"/>
      <c r="LJE80" s="406"/>
      <c r="LJF80" s="406"/>
      <c r="LJG80" s="406"/>
      <c r="LJH80" s="406"/>
      <c r="LJI80" s="406"/>
      <c r="LJJ80" s="406"/>
      <c r="LJK80" s="406"/>
      <c r="LJL80" s="406"/>
      <c r="LJM80" s="406"/>
      <c r="LJN80" s="406"/>
      <c r="LJO80" s="406"/>
      <c r="LJP80" s="406"/>
      <c r="LJQ80" s="406"/>
      <c r="LJR80" s="406"/>
      <c r="LJS80" s="406"/>
      <c r="LJT80" s="406"/>
      <c r="LJU80" s="406"/>
      <c r="LJV80" s="406"/>
      <c r="LJW80" s="406"/>
      <c r="LJX80" s="406"/>
      <c r="LJY80" s="406"/>
      <c r="LJZ80" s="406"/>
      <c r="LKA80" s="406"/>
      <c r="LKB80" s="406"/>
      <c r="LKC80" s="406"/>
      <c r="LKD80" s="406"/>
      <c r="LKE80" s="406"/>
      <c r="LKF80" s="406"/>
      <c r="LKG80" s="406"/>
      <c r="LKH80" s="406"/>
      <c r="LKI80" s="406"/>
      <c r="LKJ80" s="406"/>
      <c r="LKK80" s="406"/>
      <c r="LKL80" s="406"/>
      <c r="LKM80" s="406"/>
      <c r="LKN80" s="406"/>
      <c r="LKO80" s="406"/>
      <c r="LKP80" s="406"/>
      <c r="LKQ80" s="406"/>
      <c r="LKR80" s="406"/>
      <c r="LKS80" s="406"/>
      <c r="LKT80" s="406"/>
      <c r="LKU80" s="406"/>
      <c r="LKV80" s="406"/>
      <c r="LKW80" s="406"/>
      <c r="LKX80" s="406"/>
      <c r="LKY80" s="406"/>
      <c r="LKZ80" s="406"/>
      <c r="LLA80" s="406"/>
      <c r="LLB80" s="406"/>
      <c r="LLC80" s="406"/>
      <c r="LLD80" s="406"/>
      <c r="LLE80" s="406"/>
      <c r="LLF80" s="406"/>
      <c r="LLG80" s="406"/>
      <c r="LLH80" s="406"/>
      <c r="LLI80" s="406"/>
      <c r="LLJ80" s="406"/>
      <c r="LLK80" s="406"/>
      <c r="LLL80" s="406"/>
      <c r="LLM80" s="406"/>
      <c r="LLN80" s="406"/>
      <c r="LLO80" s="406"/>
      <c r="LLP80" s="406"/>
      <c r="LLQ80" s="406"/>
      <c r="LLR80" s="406"/>
      <c r="LLS80" s="406"/>
      <c r="LLT80" s="406"/>
      <c r="LLU80" s="406"/>
      <c r="LLV80" s="406"/>
      <c r="LLW80" s="406"/>
      <c r="LLX80" s="406"/>
      <c r="LLY80" s="406"/>
      <c r="LLZ80" s="406"/>
      <c r="LMA80" s="406"/>
      <c r="LMB80" s="406"/>
      <c r="LMC80" s="406"/>
      <c r="LMD80" s="406"/>
      <c r="LME80" s="406"/>
      <c r="LMF80" s="406"/>
      <c r="LMG80" s="406"/>
      <c r="LMH80" s="406"/>
      <c r="LMI80" s="406"/>
      <c r="LMJ80" s="406"/>
      <c r="LMK80" s="406"/>
      <c r="LML80" s="406"/>
      <c r="LMM80" s="406"/>
      <c r="LMN80" s="406"/>
      <c r="LMO80" s="406"/>
      <c r="LMP80" s="406"/>
      <c r="LMQ80" s="406"/>
      <c r="LMR80" s="406"/>
      <c r="LMS80" s="406"/>
      <c r="LMT80" s="406"/>
      <c r="LMU80" s="406"/>
      <c r="LMV80" s="406"/>
      <c r="LMW80" s="406"/>
      <c r="LMX80" s="406"/>
      <c r="LMY80" s="406"/>
      <c r="LMZ80" s="406"/>
      <c r="LNA80" s="406"/>
      <c r="LNB80" s="406"/>
      <c r="LNC80" s="406"/>
      <c r="LND80" s="406"/>
      <c r="LNE80" s="406"/>
      <c r="LNF80" s="406"/>
      <c r="LNG80" s="406"/>
      <c r="LNH80" s="406"/>
      <c r="LNI80" s="406"/>
      <c r="LNJ80" s="406"/>
      <c r="LNK80" s="406"/>
      <c r="LNL80" s="406"/>
      <c r="LNM80" s="406"/>
      <c r="LNN80" s="406"/>
      <c r="LNO80" s="406"/>
      <c r="LNP80" s="406"/>
      <c r="LNQ80" s="406"/>
      <c r="LNR80" s="406"/>
      <c r="LNS80" s="406"/>
      <c r="LNT80" s="406"/>
      <c r="LNU80" s="406"/>
      <c r="LNV80" s="406"/>
      <c r="LNW80" s="406"/>
      <c r="LNX80" s="406"/>
      <c r="LNY80" s="406"/>
      <c r="LNZ80" s="406"/>
      <c r="LOA80" s="406"/>
      <c r="LOB80" s="406"/>
      <c r="LOC80" s="406"/>
      <c r="LOD80" s="406"/>
      <c r="LOE80" s="406"/>
      <c r="LOF80" s="406"/>
      <c r="LOG80" s="406"/>
      <c r="LOH80" s="406"/>
      <c r="LOI80" s="406"/>
      <c r="LOJ80" s="406"/>
      <c r="LOK80" s="406"/>
      <c r="LOL80" s="406"/>
      <c r="LOM80" s="406"/>
      <c r="LON80" s="406"/>
      <c r="LOO80" s="406"/>
      <c r="LOP80" s="406"/>
      <c r="LOQ80" s="406"/>
      <c r="LOR80" s="406"/>
      <c r="LOS80" s="406"/>
      <c r="LOT80" s="406"/>
      <c r="LOU80" s="406"/>
      <c r="LOV80" s="406"/>
      <c r="LOW80" s="406"/>
      <c r="LOX80" s="406"/>
      <c r="LOY80" s="406"/>
      <c r="LOZ80" s="406"/>
      <c r="LPA80" s="406"/>
      <c r="LPB80" s="406"/>
      <c r="LPC80" s="406"/>
      <c r="LPD80" s="406"/>
      <c r="LPE80" s="406"/>
      <c r="LPF80" s="406"/>
      <c r="LPG80" s="406"/>
      <c r="LPH80" s="406"/>
      <c r="LPI80" s="406"/>
      <c r="LPJ80" s="406"/>
      <c r="LPK80" s="406"/>
      <c r="LPL80" s="406"/>
      <c r="LPM80" s="406"/>
      <c r="LPN80" s="406"/>
      <c r="LPO80" s="406"/>
      <c r="LPP80" s="406"/>
      <c r="LPQ80" s="406"/>
      <c r="LPR80" s="406"/>
      <c r="LPS80" s="406"/>
      <c r="LPT80" s="406"/>
      <c r="LPU80" s="406"/>
      <c r="LPV80" s="406"/>
      <c r="LPW80" s="406"/>
      <c r="LPX80" s="406"/>
      <c r="LPY80" s="406"/>
      <c r="LPZ80" s="406"/>
      <c r="LQA80" s="406"/>
      <c r="LQB80" s="406"/>
      <c r="LQC80" s="406"/>
      <c r="LQD80" s="406"/>
      <c r="LQE80" s="406"/>
      <c r="LQF80" s="406"/>
      <c r="LQG80" s="406"/>
      <c r="LQH80" s="406"/>
      <c r="LQI80" s="406"/>
      <c r="LQJ80" s="406"/>
      <c r="LQK80" s="406"/>
      <c r="LQL80" s="406"/>
      <c r="LQM80" s="406"/>
      <c r="LQN80" s="406"/>
      <c r="LQO80" s="406"/>
      <c r="LQP80" s="406"/>
      <c r="LQQ80" s="406"/>
      <c r="LQR80" s="406"/>
      <c r="LQS80" s="406"/>
      <c r="LQT80" s="406"/>
      <c r="LQU80" s="406"/>
      <c r="LQV80" s="406"/>
      <c r="LQW80" s="406"/>
      <c r="LQX80" s="406"/>
      <c r="LQY80" s="406"/>
      <c r="LQZ80" s="406"/>
      <c r="LRA80" s="406"/>
      <c r="LRB80" s="406"/>
      <c r="LRC80" s="406"/>
      <c r="LRD80" s="406"/>
      <c r="LRE80" s="406"/>
      <c r="LRF80" s="406"/>
      <c r="LRG80" s="406"/>
      <c r="LRH80" s="406"/>
      <c r="LRI80" s="406"/>
      <c r="LRJ80" s="406"/>
      <c r="LRK80" s="406"/>
      <c r="LRL80" s="406"/>
      <c r="LRM80" s="406"/>
      <c r="LRN80" s="406"/>
      <c r="LRO80" s="406"/>
      <c r="LRP80" s="406"/>
      <c r="LRQ80" s="406"/>
      <c r="LRR80" s="406"/>
      <c r="LRS80" s="406"/>
      <c r="LRT80" s="406"/>
      <c r="LRU80" s="406"/>
      <c r="LRV80" s="406"/>
      <c r="LRW80" s="406"/>
      <c r="LRX80" s="406"/>
      <c r="LRY80" s="406"/>
      <c r="LRZ80" s="406"/>
      <c r="LSA80" s="406"/>
      <c r="LSB80" s="406"/>
      <c r="LSC80" s="406"/>
      <c r="LSD80" s="406"/>
      <c r="LSE80" s="406"/>
      <c r="LSF80" s="406"/>
      <c r="LSG80" s="406"/>
      <c r="LSH80" s="406"/>
      <c r="LSI80" s="406"/>
      <c r="LSJ80" s="406"/>
      <c r="LSK80" s="406"/>
      <c r="LSL80" s="406"/>
      <c r="LSM80" s="406"/>
      <c r="LSN80" s="406"/>
      <c r="LSO80" s="406"/>
      <c r="LSP80" s="406"/>
      <c r="LSQ80" s="406"/>
      <c r="LSR80" s="406"/>
      <c r="LSS80" s="406"/>
      <c r="LST80" s="406"/>
      <c r="LSU80" s="406"/>
      <c r="LSV80" s="406"/>
      <c r="LSW80" s="406"/>
      <c r="LSX80" s="406"/>
      <c r="LSY80" s="406"/>
      <c r="LSZ80" s="406"/>
      <c r="LTA80" s="406"/>
      <c r="LTB80" s="406"/>
      <c r="LTC80" s="406"/>
      <c r="LTD80" s="406"/>
      <c r="LTE80" s="406"/>
      <c r="LTF80" s="406"/>
      <c r="LTG80" s="406"/>
      <c r="LTH80" s="406"/>
      <c r="LTI80" s="406"/>
      <c r="LTJ80" s="406"/>
      <c r="LTK80" s="406"/>
      <c r="LTL80" s="406"/>
      <c r="LTM80" s="406"/>
      <c r="LTN80" s="406"/>
      <c r="LTO80" s="406"/>
      <c r="LTP80" s="406"/>
      <c r="LTQ80" s="406"/>
      <c r="LTR80" s="406"/>
      <c r="LTS80" s="406"/>
      <c r="LTT80" s="406"/>
      <c r="LTU80" s="406"/>
      <c r="LTV80" s="406"/>
      <c r="LTW80" s="406"/>
      <c r="LTX80" s="406"/>
      <c r="LTY80" s="406"/>
      <c r="LTZ80" s="406"/>
      <c r="LUA80" s="406"/>
      <c r="LUB80" s="406"/>
      <c r="LUC80" s="406"/>
      <c r="LUD80" s="406"/>
      <c r="LUE80" s="406"/>
      <c r="LUF80" s="406"/>
      <c r="LUG80" s="406"/>
      <c r="LUH80" s="406"/>
      <c r="LUI80" s="406"/>
      <c r="LUJ80" s="406"/>
      <c r="LUK80" s="406"/>
      <c r="LUL80" s="406"/>
      <c r="LUM80" s="406"/>
      <c r="LUN80" s="406"/>
      <c r="LUO80" s="406"/>
      <c r="LUP80" s="406"/>
      <c r="LUQ80" s="406"/>
      <c r="LUR80" s="406"/>
      <c r="LUS80" s="406"/>
      <c r="LUT80" s="406"/>
      <c r="LUU80" s="406"/>
      <c r="LUV80" s="406"/>
      <c r="LUW80" s="406"/>
      <c r="LUX80" s="406"/>
      <c r="LUY80" s="406"/>
      <c r="LUZ80" s="406"/>
      <c r="LVA80" s="406"/>
      <c r="LVB80" s="406"/>
      <c r="LVC80" s="406"/>
      <c r="LVD80" s="406"/>
      <c r="LVE80" s="406"/>
      <c r="LVF80" s="406"/>
      <c r="LVG80" s="406"/>
      <c r="LVH80" s="406"/>
      <c r="LVI80" s="406"/>
      <c r="LVJ80" s="406"/>
      <c r="LVK80" s="406"/>
      <c r="LVL80" s="406"/>
      <c r="LVM80" s="406"/>
      <c r="LVN80" s="406"/>
      <c r="LVO80" s="406"/>
      <c r="LVP80" s="406"/>
      <c r="LVQ80" s="406"/>
      <c r="LVR80" s="406"/>
      <c r="LVS80" s="406"/>
      <c r="LVT80" s="406"/>
      <c r="LVU80" s="406"/>
      <c r="LVV80" s="406"/>
      <c r="LVW80" s="406"/>
      <c r="LVX80" s="406"/>
      <c r="LVY80" s="406"/>
      <c r="LVZ80" s="406"/>
      <c r="LWA80" s="406"/>
      <c r="LWB80" s="406"/>
      <c r="LWC80" s="406"/>
      <c r="LWD80" s="406"/>
      <c r="LWE80" s="406"/>
      <c r="LWF80" s="406"/>
      <c r="LWG80" s="406"/>
      <c r="LWH80" s="406"/>
      <c r="LWI80" s="406"/>
      <c r="LWJ80" s="406"/>
      <c r="LWK80" s="406"/>
      <c r="LWL80" s="406"/>
      <c r="LWM80" s="406"/>
      <c r="LWN80" s="406"/>
      <c r="LWO80" s="406"/>
      <c r="LWP80" s="406"/>
      <c r="LWQ80" s="406"/>
      <c r="LWR80" s="406"/>
      <c r="LWS80" s="406"/>
      <c r="LWT80" s="406"/>
      <c r="LWU80" s="406"/>
      <c r="LWV80" s="406"/>
      <c r="LWW80" s="406"/>
      <c r="LWX80" s="406"/>
      <c r="LWY80" s="406"/>
      <c r="LWZ80" s="406"/>
      <c r="LXA80" s="406"/>
      <c r="LXB80" s="406"/>
      <c r="LXC80" s="406"/>
      <c r="LXD80" s="406"/>
      <c r="LXE80" s="406"/>
      <c r="LXF80" s="406"/>
      <c r="LXG80" s="406"/>
      <c r="LXH80" s="406"/>
      <c r="LXI80" s="406"/>
      <c r="LXJ80" s="406"/>
      <c r="LXK80" s="406"/>
      <c r="LXL80" s="406"/>
      <c r="LXM80" s="406"/>
      <c r="LXN80" s="406"/>
      <c r="LXO80" s="406"/>
      <c r="LXP80" s="406"/>
      <c r="LXQ80" s="406"/>
      <c r="LXR80" s="406"/>
      <c r="LXS80" s="406"/>
      <c r="LXT80" s="406"/>
      <c r="LXU80" s="406"/>
      <c r="LXV80" s="406"/>
      <c r="LXW80" s="406"/>
      <c r="LXX80" s="406"/>
      <c r="LXY80" s="406"/>
      <c r="LXZ80" s="406"/>
      <c r="LYA80" s="406"/>
      <c r="LYB80" s="406"/>
      <c r="LYC80" s="406"/>
      <c r="LYD80" s="406"/>
      <c r="LYE80" s="406"/>
      <c r="LYF80" s="406"/>
      <c r="LYG80" s="406"/>
      <c r="LYH80" s="406"/>
      <c r="LYI80" s="406"/>
      <c r="LYJ80" s="406"/>
      <c r="LYK80" s="406"/>
      <c r="LYL80" s="406"/>
      <c r="LYM80" s="406"/>
      <c r="LYN80" s="406"/>
      <c r="LYO80" s="406"/>
      <c r="LYP80" s="406"/>
      <c r="LYQ80" s="406"/>
      <c r="LYR80" s="406"/>
      <c r="LYS80" s="406"/>
      <c r="LYT80" s="406"/>
      <c r="LYU80" s="406"/>
      <c r="LYV80" s="406"/>
      <c r="LYW80" s="406"/>
      <c r="LYX80" s="406"/>
      <c r="LYY80" s="406"/>
      <c r="LYZ80" s="406"/>
      <c r="LZA80" s="406"/>
      <c r="LZB80" s="406"/>
      <c r="LZC80" s="406"/>
      <c r="LZD80" s="406"/>
      <c r="LZE80" s="406"/>
      <c r="LZF80" s="406"/>
      <c r="LZG80" s="406"/>
      <c r="LZH80" s="406"/>
      <c r="LZI80" s="406"/>
      <c r="LZJ80" s="406"/>
      <c r="LZK80" s="406"/>
      <c r="LZL80" s="406"/>
      <c r="LZM80" s="406"/>
      <c r="LZN80" s="406"/>
      <c r="LZO80" s="406"/>
      <c r="LZP80" s="406"/>
      <c r="LZQ80" s="406"/>
      <c r="LZR80" s="406"/>
      <c r="LZS80" s="406"/>
      <c r="LZT80" s="406"/>
      <c r="LZU80" s="406"/>
      <c r="LZV80" s="406"/>
      <c r="LZW80" s="406"/>
      <c r="LZX80" s="406"/>
      <c r="LZY80" s="406"/>
      <c r="LZZ80" s="406"/>
      <c r="MAA80" s="406"/>
      <c r="MAB80" s="406"/>
      <c r="MAC80" s="406"/>
      <c r="MAD80" s="406"/>
      <c r="MAE80" s="406"/>
      <c r="MAF80" s="406"/>
      <c r="MAG80" s="406"/>
      <c r="MAH80" s="406"/>
      <c r="MAI80" s="406"/>
      <c r="MAJ80" s="406"/>
      <c r="MAK80" s="406"/>
      <c r="MAL80" s="406"/>
      <c r="MAM80" s="406"/>
      <c r="MAN80" s="406"/>
      <c r="MAO80" s="406"/>
      <c r="MAP80" s="406"/>
      <c r="MAQ80" s="406"/>
      <c r="MAR80" s="406"/>
      <c r="MAS80" s="406"/>
      <c r="MAT80" s="406"/>
      <c r="MAU80" s="406"/>
      <c r="MAV80" s="406"/>
      <c r="MAW80" s="406"/>
      <c r="MAX80" s="406"/>
      <c r="MAY80" s="406"/>
      <c r="MAZ80" s="406"/>
      <c r="MBA80" s="406"/>
      <c r="MBB80" s="406"/>
      <c r="MBC80" s="406"/>
      <c r="MBD80" s="406"/>
      <c r="MBE80" s="406"/>
      <c r="MBF80" s="406"/>
      <c r="MBG80" s="406"/>
      <c r="MBH80" s="406"/>
      <c r="MBI80" s="406"/>
      <c r="MBJ80" s="406"/>
      <c r="MBK80" s="406"/>
      <c r="MBL80" s="406"/>
      <c r="MBM80" s="406"/>
      <c r="MBN80" s="406"/>
      <c r="MBO80" s="406"/>
      <c r="MBP80" s="406"/>
      <c r="MBQ80" s="406"/>
      <c r="MBR80" s="406"/>
      <c r="MBS80" s="406"/>
      <c r="MBT80" s="406"/>
      <c r="MBU80" s="406"/>
      <c r="MBV80" s="406"/>
      <c r="MBW80" s="406"/>
      <c r="MBX80" s="406"/>
      <c r="MBY80" s="406"/>
      <c r="MBZ80" s="406"/>
      <c r="MCA80" s="406"/>
      <c r="MCB80" s="406"/>
      <c r="MCC80" s="406"/>
      <c r="MCD80" s="406"/>
      <c r="MCE80" s="406"/>
      <c r="MCF80" s="406"/>
      <c r="MCG80" s="406"/>
      <c r="MCH80" s="406"/>
      <c r="MCI80" s="406"/>
      <c r="MCJ80" s="406"/>
      <c r="MCK80" s="406"/>
      <c r="MCL80" s="406"/>
      <c r="MCM80" s="406"/>
      <c r="MCN80" s="406"/>
      <c r="MCO80" s="406"/>
      <c r="MCP80" s="406"/>
      <c r="MCQ80" s="406"/>
      <c r="MCR80" s="406"/>
      <c r="MCS80" s="406"/>
      <c r="MCT80" s="406"/>
      <c r="MCU80" s="406"/>
      <c r="MCV80" s="406"/>
      <c r="MCW80" s="406"/>
      <c r="MCX80" s="406"/>
      <c r="MCY80" s="406"/>
      <c r="MCZ80" s="406"/>
      <c r="MDA80" s="406"/>
      <c r="MDB80" s="406"/>
      <c r="MDC80" s="406"/>
      <c r="MDD80" s="406"/>
      <c r="MDE80" s="406"/>
      <c r="MDF80" s="406"/>
      <c r="MDG80" s="406"/>
      <c r="MDH80" s="406"/>
      <c r="MDI80" s="406"/>
      <c r="MDJ80" s="406"/>
      <c r="MDK80" s="406"/>
      <c r="MDL80" s="406"/>
      <c r="MDM80" s="406"/>
      <c r="MDN80" s="406"/>
      <c r="MDO80" s="406"/>
      <c r="MDP80" s="406"/>
      <c r="MDQ80" s="406"/>
      <c r="MDR80" s="406"/>
      <c r="MDS80" s="406"/>
      <c r="MDT80" s="406"/>
      <c r="MDU80" s="406"/>
      <c r="MDV80" s="406"/>
      <c r="MDW80" s="406"/>
      <c r="MDX80" s="406"/>
      <c r="MDY80" s="406"/>
      <c r="MDZ80" s="406"/>
      <c r="MEA80" s="406"/>
      <c r="MEB80" s="406"/>
      <c r="MEC80" s="406"/>
      <c r="MED80" s="406"/>
      <c r="MEE80" s="406"/>
      <c r="MEF80" s="406"/>
      <c r="MEG80" s="406"/>
      <c r="MEH80" s="406"/>
      <c r="MEI80" s="406"/>
      <c r="MEJ80" s="406"/>
      <c r="MEK80" s="406"/>
      <c r="MEL80" s="406"/>
      <c r="MEM80" s="406"/>
      <c r="MEN80" s="406"/>
      <c r="MEO80" s="406"/>
      <c r="MEP80" s="406"/>
      <c r="MEQ80" s="406"/>
      <c r="MER80" s="406"/>
      <c r="MES80" s="406"/>
      <c r="MET80" s="406"/>
      <c r="MEU80" s="406"/>
      <c r="MEV80" s="406"/>
      <c r="MEW80" s="406"/>
      <c r="MEX80" s="406"/>
      <c r="MEY80" s="406"/>
      <c r="MEZ80" s="406"/>
      <c r="MFA80" s="406"/>
      <c r="MFB80" s="406"/>
      <c r="MFC80" s="406"/>
      <c r="MFD80" s="406"/>
      <c r="MFE80" s="406"/>
      <c r="MFF80" s="406"/>
      <c r="MFG80" s="406"/>
      <c r="MFH80" s="406"/>
      <c r="MFI80" s="406"/>
      <c r="MFJ80" s="406"/>
      <c r="MFK80" s="406"/>
      <c r="MFL80" s="406"/>
      <c r="MFM80" s="406"/>
      <c r="MFN80" s="406"/>
      <c r="MFO80" s="406"/>
      <c r="MFP80" s="406"/>
      <c r="MFQ80" s="406"/>
      <c r="MFR80" s="406"/>
      <c r="MFS80" s="406"/>
      <c r="MFT80" s="406"/>
      <c r="MFU80" s="406"/>
      <c r="MFV80" s="406"/>
      <c r="MFW80" s="406"/>
      <c r="MFX80" s="406"/>
      <c r="MFY80" s="406"/>
      <c r="MFZ80" s="406"/>
      <c r="MGA80" s="406"/>
      <c r="MGB80" s="406"/>
      <c r="MGC80" s="406"/>
      <c r="MGD80" s="406"/>
      <c r="MGE80" s="406"/>
      <c r="MGF80" s="406"/>
      <c r="MGG80" s="406"/>
      <c r="MGH80" s="406"/>
      <c r="MGI80" s="406"/>
      <c r="MGJ80" s="406"/>
      <c r="MGK80" s="406"/>
      <c r="MGL80" s="406"/>
      <c r="MGM80" s="406"/>
      <c r="MGN80" s="406"/>
      <c r="MGO80" s="406"/>
      <c r="MGP80" s="406"/>
      <c r="MGQ80" s="406"/>
      <c r="MGR80" s="406"/>
      <c r="MGS80" s="406"/>
      <c r="MGT80" s="406"/>
      <c r="MGU80" s="406"/>
      <c r="MGV80" s="406"/>
      <c r="MGW80" s="406"/>
      <c r="MGX80" s="406"/>
      <c r="MGY80" s="406"/>
      <c r="MGZ80" s="406"/>
      <c r="MHA80" s="406"/>
      <c r="MHB80" s="406"/>
      <c r="MHC80" s="406"/>
      <c r="MHD80" s="406"/>
      <c r="MHE80" s="406"/>
      <c r="MHF80" s="406"/>
      <c r="MHG80" s="406"/>
      <c r="MHH80" s="406"/>
      <c r="MHI80" s="406"/>
      <c r="MHJ80" s="406"/>
      <c r="MHK80" s="406"/>
      <c r="MHL80" s="406"/>
      <c r="MHM80" s="406"/>
      <c r="MHN80" s="406"/>
      <c r="MHO80" s="406"/>
      <c r="MHP80" s="406"/>
      <c r="MHQ80" s="406"/>
      <c r="MHR80" s="406"/>
      <c r="MHS80" s="406"/>
      <c r="MHT80" s="406"/>
      <c r="MHU80" s="406"/>
      <c r="MHV80" s="406"/>
      <c r="MHW80" s="406"/>
      <c r="MHX80" s="406"/>
      <c r="MHY80" s="406"/>
      <c r="MHZ80" s="406"/>
      <c r="MIA80" s="406"/>
      <c r="MIB80" s="406"/>
      <c r="MIC80" s="406"/>
      <c r="MID80" s="406"/>
      <c r="MIE80" s="406"/>
      <c r="MIF80" s="406"/>
      <c r="MIG80" s="406"/>
      <c r="MIH80" s="406"/>
      <c r="MII80" s="406"/>
      <c r="MIJ80" s="406"/>
      <c r="MIK80" s="406"/>
      <c r="MIL80" s="406"/>
      <c r="MIM80" s="406"/>
      <c r="MIN80" s="406"/>
      <c r="MIO80" s="406"/>
      <c r="MIP80" s="406"/>
      <c r="MIQ80" s="406"/>
      <c r="MIR80" s="406"/>
      <c r="MIS80" s="406"/>
      <c r="MIT80" s="406"/>
      <c r="MIU80" s="406"/>
      <c r="MIV80" s="406"/>
      <c r="MIW80" s="406"/>
      <c r="MIX80" s="406"/>
      <c r="MIY80" s="406"/>
      <c r="MIZ80" s="406"/>
      <c r="MJA80" s="406"/>
      <c r="MJB80" s="406"/>
      <c r="MJC80" s="406"/>
      <c r="MJD80" s="406"/>
      <c r="MJE80" s="406"/>
      <c r="MJF80" s="406"/>
      <c r="MJG80" s="406"/>
      <c r="MJH80" s="406"/>
      <c r="MJI80" s="406"/>
      <c r="MJJ80" s="406"/>
      <c r="MJK80" s="406"/>
      <c r="MJL80" s="406"/>
      <c r="MJM80" s="406"/>
      <c r="MJN80" s="406"/>
      <c r="MJO80" s="406"/>
      <c r="MJP80" s="406"/>
      <c r="MJQ80" s="406"/>
      <c r="MJR80" s="406"/>
      <c r="MJS80" s="406"/>
      <c r="MJT80" s="406"/>
      <c r="MJU80" s="406"/>
      <c r="MJV80" s="406"/>
      <c r="MJW80" s="406"/>
      <c r="MJX80" s="406"/>
      <c r="MJY80" s="406"/>
      <c r="MJZ80" s="406"/>
      <c r="MKA80" s="406"/>
      <c r="MKB80" s="406"/>
      <c r="MKC80" s="406"/>
      <c r="MKD80" s="406"/>
      <c r="MKE80" s="406"/>
      <c r="MKF80" s="406"/>
      <c r="MKG80" s="406"/>
      <c r="MKH80" s="406"/>
      <c r="MKI80" s="406"/>
      <c r="MKJ80" s="406"/>
      <c r="MKK80" s="406"/>
      <c r="MKL80" s="406"/>
      <c r="MKM80" s="406"/>
      <c r="MKN80" s="406"/>
      <c r="MKO80" s="406"/>
      <c r="MKP80" s="406"/>
      <c r="MKQ80" s="406"/>
      <c r="MKR80" s="406"/>
      <c r="MKS80" s="406"/>
      <c r="MKT80" s="406"/>
      <c r="MKU80" s="406"/>
      <c r="MKV80" s="406"/>
      <c r="MKW80" s="406"/>
      <c r="MKX80" s="406"/>
      <c r="MKY80" s="406"/>
      <c r="MKZ80" s="406"/>
      <c r="MLA80" s="406"/>
      <c r="MLB80" s="406"/>
      <c r="MLC80" s="406"/>
      <c r="MLD80" s="406"/>
      <c r="MLE80" s="406"/>
      <c r="MLF80" s="406"/>
      <c r="MLG80" s="406"/>
      <c r="MLH80" s="406"/>
      <c r="MLI80" s="406"/>
      <c r="MLJ80" s="406"/>
      <c r="MLK80" s="406"/>
      <c r="MLL80" s="406"/>
      <c r="MLM80" s="406"/>
      <c r="MLN80" s="406"/>
      <c r="MLO80" s="406"/>
      <c r="MLP80" s="406"/>
      <c r="MLQ80" s="406"/>
      <c r="MLR80" s="406"/>
      <c r="MLS80" s="406"/>
      <c r="MLT80" s="406"/>
      <c r="MLU80" s="406"/>
      <c r="MLV80" s="406"/>
      <c r="MLW80" s="406"/>
      <c r="MLX80" s="406"/>
      <c r="MLY80" s="406"/>
      <c r="MLZ80" s="406"/>
      <c r="MMA80" s="406"/>
      <c r="MMB80" s="406"/>
      <c r="MMC80" s="406"/>
      <c r="MMD80" s="406"/>
      <c r="MME80" s="406"/>
      <c r="MMF80" s="406"/>
      <c r="MMG80" s="406"/>
      <c r="MMH80" s="406"/>
      <c r="MMI80" s="406"/>
      <c r="MMJ80" s="406"/>
      <c r="MMK80" s="406"/>
      <c r="MML80" s="406"/>
      <c r="MMM80" s="406"/>
      <c r="MMN80" s="406"/>
      <c r="MMO80" s="406"/>
      <c r="MMP80" s="406"/>
      <c r="MMQ80" s="406"/>
      <c r="MMR80" s="406"/>
      <c r="MMS80" s="406"/>
      <c r="MMT80" s="406"/>
      <c r="MMU80" s="406"/>
      <c r="MMV80" s="406"/>
      <c r="MMW80" s="406"/>
      <c r="MMX80" s="406"/>
      <c r="MMY80" s="406"/>
      <c r="MMZ80" s="406"/>
      <c r="MNA80" s="406"/>
      <c r="MNB80" s="406"/>
      <c r="MNC80" s="406"/>
      <c r="MND80" s="406"/>
      <c r="MNE80" s="406"/>
      <c r="MNF80" s="406"/>
      <c r="MNG80" s="406"/>
      <c r="MNH80" s="406"/>
      <c r="MNI80" s="406"/>
      <c r="MNJ80" s="406"/>
      <c r="MNK80" s="406"/>
      <c r="MNL80" s="406"/>
      <c r="MNM80" s="406"/>
      <c r="MNN80" s="406"/>
      <c r="MNO80" s="406"/>
      <c r="MNP80" s="406"/>
      <c r="MNQ80" s="406"/>
      <c r="MNR80" s="406"/>
      <c r="MNS80" s="406"/>
      <c r="MNT80" s="406"/>
      <c r="MNU80" s="406"/>
      <c r="MNV80" s="406"/>
      <c r="MNW80" s="406"/>
      <c r="MNX80" s="406"/>
      <c r="MNY80" s="406"/>
      <c r="MNZ80" s="406"/>
      <c r="MOA80" s="406"/>
      <c r="MOB80" s="406"/>
      <c r="MOC80" s="406"/>
      <c r="MOD80" s="406"/>
      <c r="MOE80" s="406"/>
      <c r="MOF80" s="406"/>
      <c r="MOG80" s="406"/>
      <c r="MOH80" s="406"/>
      <c r="MOI80" s="406"/>
      <c r="MOJ80" s="406"/>
      <c r="MOK80" s="406"/>
      <c r="MOL80" s="406"/>
      <c r="MOM80" s="406"/>
      <c r="MON80" s="406"/>
      <c r="MOO80" s="406"/>
      <c r="MOP80" s="406"/>
      <c r="MOQ80" s="406"/>
      <c r="MOR80" s="406"/>
      <c r="MOS80" s="406"/>
      <c r="MOT80" s="406"/>
      <c r="MOU80" s="406"/>
      <c r="MOV80" s="406"/>
      <c r="MOW80" s="406"/>
      <c r="MOX80" s="406"/>
      <c r="MOY80" s="406"/>
      <c r="MOZ80" s="406"/>
      <c r="MPA80" s="406"/>
      <c r="MPB80" s="406"/>
      <c r="MPC80" s="406"/>
      <c r="MPD80" s="406"/>
      <c r="MPE80" s="406"/>
      <c r="MPF80" s="406"/>
      <c r="MPG80" s="406"/>
      <c r="MPH80" s="406"/>
      <c r="MPI80" s="406"/>
      <c r="MPJ80" s="406"/>
      <c r="MPK80" s="406"/>
      <c r="MPL80" s="406"/>
      <c r="MPM80" s="406"/>
      <c r="MPN80" s="406"/>
      <c r="MPO80" s="406"/>
      <c r="MPP80" s="406"/>
      <c r="MPQ80" s="406"/>
      <c r="MPR80" s="406"/>
      <c r="MPS80" s="406"/>
      <c r="MPT80" s="406"/>
      <c r="MPU80" s="406"/>
      <c r="MPV80" s="406"/>
      <c r="MPW80" s="406"/>
      <c r="MPX80" s="406"/>
      <c r="MPY80" s="406"/>
      <c r="MPZ80" s="406"/>
      <c r="MQA80" s="406"/>
      <c r="MQB80" s="406"/>
      <c r="MQC80" s="406"/>
      <c r="MQD80" s="406"/>
      <c r="MQE80" s="406"/>
      <c r="MQF80" s="406"/>
      <c r="MQG80" s="406"/>
      <c r="MQH80" s="406"/>
      <c r="MQI80" s="406"/>
      <c r="MQJ80" s="406"/>
      <c r="MQK80" s="406"/>
      <c r="MQL80" s="406"/>
      <c r="MQM80" s="406"/>
      <c r="MQN80" s="406"/>
      <c r="MQO80" s="406"/>
      <c r="MQP80" s="406"/>
      <c r="MQQ80" s="406"/>
      <c r="MQR80" s="406"/>
      <c r="MQS80" s="406"/>
      <c r="MQT80" s="406"/>
      <c r="MQU80" s="406"/>
      <c r="MQV80" s="406"/>
      <c r="MQW80" s="406"/>
      <c r="MQX80" s="406"/>
      <c r="MQY80" s="406"/>
      <c r="MQZ80" s="406"/>
      <c r="MRA80" s="406"/>
      <c r="MRB80" s="406"/>
      <c r="MRC80" s="406"/>
      <c r="MRD80" s="406"/>
      <c r="MRE80" s="406"/>
      <c r="MRF80" s="406"/>
      <c r="MRG80" s="406"/>
      <c r="MRH80" s="406"/>
      <c r="MRI80" s="406"/>
      <c r="MRJ80" s="406"/>
      <c r="MRK80" s="406"/>
      <c r="MRL80" s="406"/>
      <c r="MRM80" s="406"/>
      <c r="MRN80" s="406"/>
      <c r="MRO80" s="406"/>
      <c r="MRP80" s="406"/>
      <c r="MRQ80" s="406"/>
      <c r="MRR80" s="406"/>
      <c r="MRS80" s="406"/>
      <c r="MRT80" s="406"/>
      <c r="MRU80" s="406"/>
      <c r="MRV80" s="406"/>
      <c r="MRW80" s="406"/>
      <c r="MRX80" s="406"/>
      <c r="MRY80" s="406"/>
      <c r="MRZ80" s="406"/>
      <c r="MSA80" s="406"/>
      <c r="MSB80" s="406"/>
      <c r="MSC80" s="406"/>
      <c r="MSD80" s="406"/>
      <c r="MSE80" s="406"/>
      <c r="MSF80" s="406"/>
      <c r="MSG80" s="406"/>
      <c r="MSH80" s="406"/>
      <c r="MSI80" s="406"/>
      <c r="MSJ80" s="406"/>
      <c r="MSK80" s="406"/>
      <c r="MSL80" s="406"/>
      <c r="MSM80" s="406"/>
      <c r="MSN80" s="406"/>
      <c r="MSO80" s="406"/>
      <c r="MSP80" s="406"/>
      <c r="MSQ80" s="406"/>
      <c r="MSR80" s="406"/>
      <c r="MSS80" s="406"/>
      <c r="MST80" s="406"/>
      <c r="MSU80" s="406"/>
      <c r="MSV80" s="406"/>
      <c r="MSW80" s="406"/>
      <c r="MSX80" s="406"/>
      <c r="MSY80" s="406"/>
      <c r="MSZ80" s="406"/>
      <c r="MTA80" s="406"/>
      <c r="MTB80" s="406"/>
      <c r="MTC80" s="406"/>
      <c r="MTD80" s="406"/>
      <c r="MTE80" s="406"/>
      <c r="MTF80" s="406"/>
      <c r="MTG80" s="406"/>
      <c r="MTH80" s="406"/>
      <c r="MTI80" s="406"/>
      <c r="MTJ80" s="406"/>
      <c r="MTK80" s="406"/>
      <c r="MTL80" s="406"/>
      <c r="MTM80" s="406"/>
      <c r="MTN80" s="406"/>
      <c r="MTO80" s="406"/>
      <c r="MTP80" s="406"/>
      <c r="MTQ80" s="406"/>
      <c r="MTR80" s="406"/>
      <c r="MTS80" s="406"/>
      <c r="MTT80" s="406"/>
      <c r="MTU80" s="406"/>
      <c r="MTV80" s="406"/>
      <c r="MTW80" s="406"/>
      <c r="MTX80" s="406"/>
      <c r="MTY80" s="406"/>
      <c r="MTZ80" s="406"/>
      <c r="MUA80" s="406"/>
      <c r="MUB80" s="406"/>
      <c r="MUC80" s="406"/>
      <c r="MUD80" s="406"/>
      <c r="MUE80" s="406"/>
      <c r="MUF80" s="406"/>
      <c r="MUG80" s="406"/>
      <c r="MUH80" s="406"/>
      <c r="MUI80" s="406"/>
      <c r="MUJ80" s="406"/>
      <c r="MUK80" s="406"/>
      <c r="MUL80" s="406"/>
      <c r="MUM80" s="406"/>
      <c r="MUN80" s="406"/>
      <c r="MUO80" s="406"/>
      <c r="MUP80" s="406"/>
      <c r="MUQ80" s="406"/>
      <c r="MUR80" s="406"/>
      <c r="MUS80" s="406"/>
      <c r="MUT80" s="406"/>
      <c r="MUU80" s="406"/>
      <c r="MUV80" s="406"/>
      <c r="MUW80" s="406"/>
      <c r="MUX80" s="406"/>
      <c r="MUY80" s="406"/>
      <c r="MUZ80" s="406"/>
      <c r="MVA80" s="406"/>
      <c r="MVB80" s="406"/>
      <c r="MVC80" s="406"/>
      <c r="MVD80" s="406"/>
      <c r="MVE80" s="406"/>
      <c r="MVF80" s="406"/>
      <c r="MVG80" s="406"/>
      <c r="MVH80" s="406"/>
      <c r="MVI80" s="406"/>
      <c r="MVJ80" s="406"/>
      <c r="MVK80" s="406"/>
      <c r="MVL80" s="406"/>
      <c r="MVM80" s="406"/>
      <c r="MVN80" s="406"/>
      <c r="MVO80" s="406"/>
      <c r="MVP80" s="406"/>
      <c r="MVQ80" s="406"/>
      <c r="MVR80" s="406"/>
      <c r="MVS80" s="406"/>
      <c r="MVT80" s="406"/>
      <c r="MVU80" s="406"/>
      <c r="MVV80" s="406"/>
      <c r="MVW80" s="406"/>
      <c r="MVX80" s="406"/>
      <c r="MVY80" s="406"/>
      <c r="MVZ80" s="406"/>
      <c r="MWA80" s="406"/>
      <c r="MWB80" s="406"/>
      <c r="MWC80" s="406"/>
      <c r="MWD80" s="406"/>
      <c r="MWE80" s="406"/>
      <c r="MWF80" s="406"/>
      <c r="MWG80" s="406"/>
      <c r="MWH80" s="406"/>
      <c r="MWI80" s="406"/>
      <c r="MWJ80" s="406"/>
      <c r="MWK80" s="406"/>
      <c r="MWL80" s="406"/>
      <c r="MWM80" s="406"/>
      <c r="MWN80" s="406"/>
      <c r="MWO80" s="406"/>
      <c r="MWP80" s="406"/>
      <c r="MWQ80" s="406"/>
      <c r="MWR80" s="406"/>
      <c r="MWS80" s="406"/>
      <c r="MWT80" s="406"/>
      <c r="MWU80" s="406"/>
      <c r="MWV80" s="406"/>
      <c r="MWW80" s="406"/>
      <c r="MWX80" s="406"/>
      <c r="MWY80" s="406"/>
      <c r="MWZ80" s="406"/>
      <c r="MXA80" s="406"/>
      <c r="MXB80" s="406"/>
      <c r="MXC80" s="406"/>
      <c r="MXD80" s="406"/>
      <c r="MXE80" s="406"/>
      <c r="MXF80" s="406"/>
      <c r="MXG80" s="406"/>
      <c r="MXH80" s="406"/>
      <c r="MXI80" s="406"/>
      <c r="MXJ80" s="406"/>
      <c r="MXK80" s="406"/>
      <c r="MXL80" s="406"/>
      <c r="MXM80" s="406"/>
      <c r="MXN80" s="406"/>
      <c r="MXO80" s="406"/>
      <c r="MXP80" s="406"/>
      <c r="MXQ80" s="406"/>
      <c r="MXR80" s="406"/>
      <c r="MXS80" s="406"/>
      <c r="MXT80" s="406"/>
      <c r="MXU80" s="406"/>
      <c r="MXV80" s="406"/>
      <c r="MXW80" s="406"/>
      <c r="MXX80" s="406"/>
      <c r="MXY80" s="406"/>
      <c r="MXZ80" s="406"/>
      <c r="MYA80" s="406"/>
      <c r="MYB80" s="406"/>
      <c r="MYC80" s="406"/>
      <c r="MYD80" s="406"/>
      <c r="MYE80" s="406"/>
      <c r="MYF80" s="406"/>
      <c r="MYG80" s="406"/>
      <c r="MYH80" s="406"/>
      <c r="MYI80" s="406"/>
      <c r="MYJ80" s="406"/>
      <c r="MYK80" s="406"/>
      <c r="MYL80" s="406"/>
      <c r="MYM80" s="406"/>
      <c r="MYN80" s="406"/>
      <c r="MYO80" s="406"/>
      <c r="MYP80" s="406"/>
      <c r="MYQ80" s="406"/>
      <c r="MYR80" s="406"/>
      <c r="MYS80" s="406"/>
      <c r="MYT80" s="406"/>
      <c r="MYU80" s="406"/>
      <c r="MYV80" s="406"/>
      <c r="MYW80" s="406"/>
      <c r="MYX80" s="406"/>
      <c r="MYY80" s="406"/>
      <c r="MYZ80" s="406"/>
      <c r="MZA80" s="406"/>
      <c r="MZB80" s="406"/>
      <c r="MZC80" s="406"/>
      <c r="MZD80" s="406"/>
      <c r="MZE80" s="406"/>
      <c r="MZF80" s="406"/>
      <c r="MZG80" s="406"/>
      <c r="MZH80" s="406"/>
      <c r="MZI80" s="406"/>
      <c r="MZJ80" s="406"/>
      <c r="MZK80" s="406"/>
      <c r="MZL80" s="406"/>
      <c r="MZM80" s="406"/>
      <c r="MZN80" s="406"/>
      <c r="MZO80" s="406"/>
      <c r="MZP80" s="406"/>
      <c r="MZQ80" s="406"/>
      <c r="MZR80" s="406"/>
      <c r="MZS80" s="406"/>
      <c r="MZT80" s="406"/>
      <c r="MZU80" s="406"/>
      <c r="MZV80" s="406"/>
      <c r="MZW80" s="406"/>
      <c r="MZX80" s="406"/>
      <c r="MZY80" s="406"/>
      <c r="MZZ80" s="406"/>
      <c r="NAA80" s="406"/>
      <c r="NAB80" s="406"/>
      <c r="NAC80" s="406"/>
      <c r="NAD80" s="406"/>
      <c r="NAE80" s="406"/>
      <c r="NAF80" s="406"/>
      <c r="NAG80" s="406"/>
      <c r="NAH80" s="406"/>
      <c r="NAI80" s="406"/>
      <c r="NAJ80" s="406"/>
      <c r="NAK80" s="406"/>
      <c r="NAL80" s="406"/>
      <c r="NAM80" s="406"/>
      <c r="NAN80" s="406"/>
      <c r="NAO80" s="406"/>
      <c r="NAP80" s="406"/>
      <c r="NAQ80" s="406"/>
      <c r="NAR80" s="406"/>
      <c r="NAS80" s="406"/>
      <c r="NAT80" s="406"/>
      <c r="NAU80" s="406"/>
      <c r="NAV80" s="406"/>
      <c r="NAW80" s="406"/>
      <c r="NAX80" s="406"/>
      <c r="NAY80" s="406"/>
      <c r="NAZ80" s="406"/>
      <c r="NBA80" s="406"/>
      <c r="NBB80" s="406"/>
      <c r="NBC80" s="406"/>
      <c r="NBD80" s="406"/>
      <c r="NBE80" s="406"/>
      <c r="NBF80" s="406"/>
      <c r="NBG80" s="406"/>
      <c r="NBH80" s="406"/>
      <c r="NBI80" s="406"/>
      <c r="NBJ80" s="406"/>
      <c r="NBK80" s="406"/>
      <c r="NBL80" s="406"/>
      <c r="NBM80" s="406"/>
      <c r="NBN80" s="406"/>
      <c r="NBO80" s="406"/>
      <c r="NBP80" s="406"/>
      <c r="NBQ80" s="406"/>
      <c r="NBR80" s="406"/>
      <c r="NBS80" s="406"/>
      <c r="NBT80" s="406"/>
      <c r="NBU80" s="406"/>
      <c r="NBV80" s="406"/>
      <c r="NBW80" s="406"/>
      <c r="NBX80" s="406"/>
      <c r="NBY80" s="406"/>
      <c r="NBZ80" s="406"/>
      <c r="NCA80" s="406"/>
      <c r="NCB80" s="406"/>
      <c r="NCC80" s="406"/>
      <c r="NCD80" s="406"/>
      <c r="NCE80" s="406"/>
      <c r="NCF80" s="406"/>
      <c r="NCG80" s="406"/>
      <c r="NCH80" s="406"/>
      <c r="NCI80" s="406"/>
      <c r="NCJ80" s="406"/>
      <c r="NCK80" s="406"/>
      <c r="NCL80" s="406"/>
      <c r="NCM80" s="406"/>
      <c r="NCN80" s="406"/>
      <c r="NCO80" s="406"/>
      <c r="NCP80" s="406"/>
      <c r="NCQ80" s="406"/>
      <c r="NCR80" s="406"/>
      <c r="NCS80" s="406"/>
      <c r="NCT80" s="406"/>
      <c r="NCU80" s="406"/>
      <c r="NCV80" s="406"/>
      <c r="NCW80" s="406"/>
      <c r="NCX80" s="406"/>
      <c r="NCY80" s="406"/>
      <c r="NCZ80" s="406"/>
      <c r="NDA80" s="406"/>
      <c r="NDB80" s="406"/>
      <c r="NDC80" s="406"/>
      <c r="NDD80" s="406"/>
      <c r="NDE80" s="406"/>
      <c r="NDF80" s="406"/>
      <c r="NDG80" s="406"/>
      <c r="NDH80" s="406"/>
      <c r="NDI80" s="406"/>
      <c r="NDJ80" s="406"/>
      <c r="NDK80" s="406"/>
      <c r="NDL80" s="406"/>
      <c r="NDM80" s="406"/>
      <c r="NDN80" s="406"/>
      <c r="NDO80" s="406"/>
      <c r="NDP80" s="406"/>
      <c r="NDQ80" s="406"/>
      <c r="NDR80" s="406"/>
      <c r="NDS80" s="406"/>
      <c r="NDT80" s="406"/>
      <c r="NDU80" s="406"/>
      <c r="NDV80" s="406"/>
      <c r="NDW80" s="406"/>
      <c r="NDX80" s="406"/>
      <c r="NDY80" s="406"/>
      <c r="NDZ80" s="406"/>
      <c r="NEA80" s="406"/>
      <c r="NEB80" s="406"/>
      <c r="NEC80" s="406"/>
      <c r="NED80" s="406"/>
      <c r="NEE80" s="406"/>
      <c r="NEF80" s="406"/>
      <c r="NEG80" s="406"/>
      <c r="NEH80" s="406"/>
      <c r="NEI80" s="406"/>
      <c r="NEJ80" s="406"/>
      <c r="NEK80" s="406"/>
      <c r="NEL80" s="406"/>
      <c r="NEM80" s="406"/>
      <c r="NEN80" s="406"/>
      <c r="NEO80" s="406"/>
      <c r="NEP80" s="406"/>
      <c r="NEQ80" s="406"/>
      <c r="NER80" s="406"/>
      <c r="NES80" s="406"/>
      <c r="NET80" s="406"/>
      <c r="NEU80" s="406"/>
      <c r="NEV80" s="406"/>
      <c r="NEW80" s="406"/>
      <c r="NEX80" s="406"/>
      <c r="NEY80" s="406"/>
      <c r="NEZ80" s="406"/>
      <c r="NFA80" s="406"/>
      <c r="NFB80" s="406"/>
      <c r="NFC80" s="406"/>
      <c r="NFD80" s="406"/>
      <c r="NFE80" s="406"/>
      <c r="NFF80" s="406"/>
      <c r="NFG80" s="406"/>
      <c r="NFH80" s="406"/>
      <c r="NFI80" s="406"/>
      <c r="NFJ80" s="406"/>
      <c r="NFK80" s="406"/>
      <c r="NFL80" s="406"/>
      <c r="NFM80" s="406"/>
      <c r="NFN80" s="406"/>
      <c r="NFO80" s="406"/>
      <c r="NFP80" s="406"/>
      <c r="NFQ80" s="406"/>
      <c r="NFR80" s="406"/>
      <c r="NFS80" s="406"/>
      <c r="NFT80" s="406"/>
      <c r="NFU80" s="406"/>
      <c r="NFV80" s="406"/>
      <c r="NFW80" s="406"/>
      <c r="NFX80" s="406"/>
      <c r="NFY80" s="406"/>
      <c r="NFZ80" s="406"/>
      <c r="NGA80" s="406"/>
      <c r="NGB80" s="406"/>
      <c r="NGC80" s="406"/>
      <c r="NGD80" s="406"/>
      <c r="NGE80" s="406"/>
      <c r="NGF80" s="406"/>
      <c r="NGG80" s="406"/>
      <c r="NGH80" s="406"/>
      <c r="NGI80" s="406"/>
      <c r="NGJ80" s="406"/>
      <c r="NGK80" s="406"/>
      <c r="NGL80" s="406"/>
      <c r="NGM80" s="406"/>
      <c r="NGN80" s="406"/>
      <c r="NGO80" s="406"/>
      <c r="NGP80" s="406"/>
      <c r="NGQ80" s="406"/>
      <c r="NGR80" s="406"/>
      <c r="NGS80" s="406"/>
      <c r="NGT80" s="406"/>
      <c r="NGU80" s="406"/>
      <c r="NGV80" s="406"/>
      <c r="NGW80" s="406"/>
      <c r="NGX80" s="406"/>
      <c r="NGY80" s="406"/>
      <c r="NGZ80" s="406"/>
      <c r="NHA80" s="406"/>
      <c r="NHB80" s="406"/>
      <c r="NHC80" s="406"/>
      <c r="NHD80" s="406"/>
      <c r="NHE80" s="406"/>
      <c r="NHF80" s="406"/>
      <c r="NHG80" s="406"/>
      <c r="NHH80" s="406"/>
      <c r="NHI80" s="406"/>
      <c r="NHJ80" s="406"/>
      <c r="NHK80" s="406"/>
      <c r="NHL80" s="406"/>
      <c r="NHM80" s="406"/>
      <c r="NHN80" s="406"/>
      <c r="NHO80" s="406"/>
      <c r="NHP80" s="406"/>
      <c r="NHQ80" s="406"/>
      <c r="NHR80" s="406"/>
      <c r="NHS80" s="406"/>
      <c r="NHT80" s="406"/>
      <c r="NHU80" s="406"/>
      <c r="NHV80" s="406"/>
      <c r="NHW80" s="406"/>
      <c r="NHX80" s="406"/>
      <c r="NHY80" s="406"/>
      <c r="NHZ80" s="406"/>
      <c r="NIA80" s="406"/>
      <c r="NIB80" s="406"/>
      <c r="NIC80" s="406"/>
      <c r="NID80" s="406"/>
      <c r="NIE80" s="406"/>
      <c r="NIF80" s="406"/>
      <c r="NIG80" s="406"/>
      <c r="NIH80" s="406"/>
      <c r="NII80" s="406"/>
      <c r="NIJ80" s="406"/>
      <c r="NIK80" s="406"/>
      <c r="NIL80" s="406"/>
      <c r="NIM80" s="406"/>
      <c r="NIN80" s="406"/>
      <c r="NIO80" s="406"/>
      <c r="NIP80" s="406"/>
      <c r="NIQ80" s="406"/>
      <c r="NIR80" s="406"/>
      <c r="NIS80" s="406"/>
      <c r="NIT80" s="406"/>
      <c r="NIU80" s="406"/>
      <c r="NIV80" s="406"/>
      <c r="NIW80" s="406"/>
      <c r="NIX80" s="406"/>
      <c r="NIY80" s="406"/>
      <c r="NIZ80" s="406"/>
      <c r="NJA80" s="406"/>
      <c r="NJB80" s="406"/>
      <c r="NJC80" s="406"/>
      <c r="NJD80" s="406"/>
      <c r="NJE80" s="406"/>
      <c r="NJF80" s="406"/>
      <c r="NJG80" s="406"/>
      <c r="NJH80" s="406"/>
      <c r="NJI80" s="406"/>
      <c r="NJJ80" s="406"/>
      <c r="NJK80" s="406"/>
      <c r="NJL80" s="406"/>
      <c r="NJM80" s="406"/>
      <c r="NJN80" s="406"/>
      <c r="NJO80" s="406"/>
      <c r="NJP80" s="406"/>
      <c r="NJQ80" s="406"/>
      <c r="NJR80" s="406"/>
      <c r="NJS80" s="406"/>
      <c r="NJT80" s="406"/>
      <c r="NJU80" s="406"/>
      <c r="NJV80" s="406"/>
      <c r="NJW80" s="406"/>
      <c r="NJX80" s="406"/>
      <c r="NJY80" s="406"/>
      <c r="NJZ80" s="406"/>
      <c r="NKA80" s="406"/>
      <c r="NKB80" s="406"/>
      <c r="NKC80" s="406"/>
      <c r="NKD80" s="406"/>
      <c r="NKE80" s="406"/>
      <c r="NKF80" s="406"/>
      <c r="NKG80" s="406"/>
      <c r="NKH80" s="406"/>
      <c r="NKI80" s="406"/>
      <c r="NKJ80" s="406"/>
      <c r="NKK80" s="406"/>
      <c r="NKL80" s="406"/>
      <c r="NKM80" s="406"/>
      <c r="NKN80" s="406"/>
      <c r="NKO80" s="406"/>
      <c r="NKP80" s="406"/>
      <c r="NKQ80" s="406"/>
      <c r="NKR80" s="406"/>
      <c r="NKS80" s="406"/>
      <c r="NKT80" s="406"/>
      <c r="NKU80" s="406"/>
      <c r="NKV80" s="406"/>
      <c r="NKW80" s="406"/>
      <c r="NKX80" s="406"/>
      <c r="NKY80" s="406"/>
      <c r="NKZ80" s="406"/>
      <c r="NLA80" s="406"/>
      <c r="NLB80" s="406"/>
      <c r="NLC80" s="406"/>
      <c r="NLD80" s="406"/>
      <c r="NLE80" s="406"/>
      <c r="NLF80" s="406"/>
      <c r="NLG80" s="406"/>
      <c r="NLH80" s="406"/>
      <c r="NLI80" s="406"/>
      <c r="NLJ80" s="406"/>
      <c r="NLK80" s="406"/>
      <c r="NLL80" s="406"/>
      <c r="NLM80" s="406"/>
      <c r="NLN80" s="406"/>
      <c r="NLO80" s="406"/>
      <c r="NLP80" s="406"/>
      <c r="NLQ80" s="406"/>
      <c r="NLR80" s="406"/>
      <c r="NLS80" s="406"/>
      <c r="NLT80" s="406"/>
      <c r="NLU80" s="406"/>
      <c r="NLV80" s="406"/>
      <c r="NLW80" s="406"/>
      <c r="NLX80" s="406"/>
      <c r="NLY80" s="406"/>
      <c r="NLZ80" s="406"/>
      <c r="NMA80" s="406"/>
      <c r="NMB80" s="406"/>
      <c r="NMC80" s="406"/>
      <c r="NMD80" s="406"/>
      <c r="NME80" s="406"/>
      <c r="NMF80" s="406"/>
      <c r="NMG80" s="406"/>
      <c r="NMH80" s="406"/>
      <c r="NMI80" s="406"/>
      <c r="NMJ80" s="406"/>
      <c r="NMK80" s="406"/>
      <c r="NML80" s="406"/>
      <c r="NMM80" s="406"/>
      <c r="NMN80" s="406"/>
      <c r="NMO80" s="406"/>
      <c r="NMP80" s="406"/>
      <c r="NMQ80" s="406"/>
      <c r="NMR80" s="406"/>
      <c r="NMS80" s="406"/>
      <c r="NMT80" s="406"/>
      <c r="NMU80" s="406"/>
      <c r="NMV80" s="406"/>
      <c r="NMW80" s="406"/>
      <c r="NMX80" s="406"/>
      <c r="NMY80" s="406"/>
      <c r="NMZ80" s="406"/>
      <c r="NNA80" s="406"/>
      <c r="NNB80" s="406"/>
      <c r="NNC80" s="406"/>
      <c r="NND80" s="406"/>
      <c r="NNE80" s="406"/>
      <c r="NNF80" s="406"/>
      <c r="NNG80" s="406"/>
      <c r="NNH80" s="406"/>
      <c r="NNI80" s="406"/>
      <c r="NNJ80" s="406"/>
      <c r="NNK80" s="406"/>
      <c r="NNL80" s="406"/>
      <c r="NNM80" s="406"/>
      <c r="NNN80" s="406"/>
      <c r="NNO80" s="406"/>
      <c r="NNP80" s="406"/>
      <c r="NNQ80" s="406"/>
      <c r="NNR80" s="406"/>
      <c r="NNS80" s="406"/>
      <c r="NNT80" s="406"/>
      <c r="NNU80" s="406"/>
      <c r="NNV80" s="406"/>
      <c r="NNW80" s="406"/>
      <c r="NNX80" s="406"/>
      <c r="NNY80" s="406"/>
      <c r="NNZ80" s="406"/>
      <c r="NOA80" s="406"/>
      <c r="NOB80" s="406"/>
      <c r="NOC80" s="406"/>
      <c r="NOD80" s="406"/>
      <c r="NOE80" s="406"/>
      <c r="NOF80" s="406"/>
      <c r="NOG80" s="406"/>
      <c r="NOH80" s="406"/>
      <c r="NOI80" s="406"/>
      <c r="NOJ80" s="406"/>
      <c r="NOK80" s="406"/>
      <c r="NOL80" s="406"/>
      <c r="NOM80" s="406"/>
      <c r="NON80" s="406"/>
      <c r="NOO80" s="406"/>
      <c r="NOP80" s="406"/>
      <c r="NOQ80" s="406"/>
      <c r="NOR80" s="406"/>
      <c r="NOS80" s="406"/>
      <c r="NOT80" s="406"/>
      <c r="NOU80" s="406"/>
      <c r="NOV80" s="406"/>
      <c r="NOW80" s="406"/>
      <c r="NOX80" s="406"/>
      <c r="NOY80" s="406"/>
      <c r="NOZ80" s="406"/>
      <c r="NPA80" s="406"/>
      <c r="NPB80" s="406"/>
      <c r="NPC80" s="406"/>
      <c r="NPD80" s="406"/>
      <c r="NPE80" s="406"/>
      <c r="NPF80" s="406"/>
      <c r="NPG80" s="406"/>
      <c r="NPH80" s="406"/>
      <c r="NPI80" s="406"/>
      <c r="NPJ80" s="406"/>
      <c r="NPK80" s="406"/>
      <c r="NPL80" s="406"/>
      <c r="NPM80" s="406"/>
      <c r="NPN80" s="406"/>
      <c r="NPO80" s="406"/>
      <c r="NPP80" s="406"/>
      <c r="NPQ80" s="406"/>
      <c r="NPR80" s="406"/>
      <c r="NPS80" s="406"/>
      <c r="NPT80" s="406"/>
      <c r="NPU80" s="406"/>
      <c r="NPV80" s="406"/>
      <c r="NPW80" s="406"/>
      <c r="NPX80" s="406"/>
      <c r="NPY80" s="406"/>
      <c r="NPZ80" s="406"/>
      <c r="NQA80" s="406"/>
      <c r="NQB80" s="406"/>
      <c r="NQC80" s="406"/>
      <c r="NQD80" s="406"/>
      <c r="NQE80" s="406"/>
      <c r="NQF80" s="406"/>
      <c r="NQG80" s="406"/>
      <c r="NQH80" s="406"/>
      <c r="NQI80" s="406"/>
      <c r="NQJ80" s="406"/>
      <c r="NQK80" s="406"/>
      <c r="NQL80" s="406"/>
      <c r="NQM80" s="406"/>
      <c r="NQN80" s="406"/>
      <c r="NQO80" s="406"/>
      <c r="NQP80" s="406"/>
      <c r="NQQ80" s="406"/>
      <c r="NQR80" s="406"/>
      <c r="NQS80" s="406"/>
      <c r="NQT80" s="406"/>
      <c r="NQU80" s="406"/>
      <c r="NQV80" s="406"/>
      <c r="NQW80" s="406"/>
      <c r="NQX80" s="406"/>
      <c r="NQY80" s="406"/>
      <c r="NQZ80" s="406"/>
      <c r="NRA80" s="406"/>
      <c r="NRB80" s="406"/>
      <c r="NRC80" s="406"/>
      <c r="NRD80" s="406"/>
      <c r="NRE80" s="406"/>
      <c r="NRF80" s="406"/>
      <c r="NRG80" s="406"/>
      <c r="NRH80" s="406"/>
      <c r="NRI80" s="406"/>
      <c r="NRJ80" s="406"/>
      <c r="NRK80" s="406"/>
      <c r="NRL80" s="406"/>
      <c r="NRM80" s="406"/>
      <c r="NRN80" s="406"/>
      <c r="NRO80" s="406"/>
      <c r="NRP80" s="406"/>
      <c r="NRQ80" s="406"/>
      <c r="NRR80" s="406"/>
      <c r="NRS80" s="406"/>
      <c r="NRT80" s="406"/>
      <c r="NRU80" s="406"/>
      <c r="NRV80" s="406"/>
      <c r="NRW80" s="406"/>
      <c r="NRX80" s="406"/>
      <c r="NRY80" s="406"/>
      <c r="NRZ80" s="406"/>
      <c r="NSA80" s="406"/>
      <c r="NSB80" s="406"/>
      <c r="NSC80" s="406"/>
      <c r="NSD80" s="406"/>
      <c r="NSE80" s="406"/>
      <c r="NSF80" s="406"/>
      <c r="NSG80" s="406"/>
      <c r="NSH80" s="406"/>
      <c r="NSI80" s="406"/>
      <c r="NSJ80" s="406"/>
      <c r="NSK80" s="406"/>
      <c r="NSL80" s="406"/>
      <c r="NSM80" s="406"/>
      <c r="NSN80" s="406"/>
      <c r="NSO80" s="406"/>
      <c r="NSP80" s="406"/>
      <c r="NSQ80" s="406"/>
      <c r="NSR80" s="406"/>
      <c r="NSS80" s="406"/>
      <c r="NST80" s="406"/>
      <c r="NSU80" s="406"/>
      <c r="NSV80" s="406"/>
      <c r="NSW80" s="406"/>
      <c r="NSX80" s="406"/>
      <c r="NSY80" s="406"/>
      <c r="NSZ80" s="406"/>
      <c r="NTA80" s="406"/>
      <c r="NTB80" s="406"/>
      <c r="NTC80" s="406"/>
      <c r="NTD80" s="406"/>
      <c r="NTE80" s="406"/>
      <c r="NTF80" s="406"/>
      <c r="NTG80" s="406"/>
      <c r="NTH80" s="406"/>
      <c r="NTI80" s="406"/>
      <c r="NTJ80" s="406"/>
      <c r="NTK80" s="406"/>
      <c r="NTL80" s="406"/>
      <c r="NTM80" s="406"/>
      <c r="NTN80" s="406"/>
      <c r="NTO80" s="406"/>
      <c r="NTP80" s="406"/>
      <c r="NTQ80" s="406"/>
      <c r="NTR80" s="406"/>
      <c r="NTS80" s="406"/>
      <c r="NTT80" s="406"/>
      <c r="NTU80" s="406"/>
      <c r="NTV80" s="406"/>
      <c r="NTW80" s="406"/>
      <c r="NTX80" s="406"/>
      <c r="NTY80" s="406"/>
      <c r="NTZ80" s="406"/>
      <c r="NUA80" s="406"/>
      <c r="NUB80" s="406"/>
      <c r="NUC80" s="406"/>
      <c r="NUD80" s="406"/>
      <c r="NUE80" s="406"/>
      <c r="NUF80" s="406"/>
      <c r="NUG80" s="406"/>
      <c r="NUH80" s="406"/>
      <c r="NUI80" s="406"/>
      <c r="NUJ80" s="406"/>
      <c r="NUK80" s="406"/>
      <c r="NUL80" s="406"/>
      <c r="NUM80" s="406"/>
      <c r="NUN80" s="406"/>
      <c r="NUO80" s="406"/>
      <c r="NUP80" s="406"/>
      <c r="NUQ80" s="406"/>
      <c r="NUR80" s="406"/>
      <c r="NUS80" s="406"/>
      <c r="NUT80" s="406"/>
      <c r="NUU80" s="406"/>
      <c r="NUV80" s="406"/>
      <c r="NUW80" s="406"/>
      <c r="NUX80" s="406"/>
      <c r="NUY80" s="406"/>
      <c r="NUZ80" s="406"/>
      <c r="NVA80" s="406"/>
      <c r="NVB80" s="406"/>
      <c r="NVC80" s="406"/>
      <c r="NVD80" s="406"/>
      <c r="NVE80" s="406"/>
      <c r="NVF80" s="406"/>
      <c r="NVG80" s="406"/>
      <c r="NVH80" s="406"/>
      <c r="NVI80" s="406"/>
      <c r="NVJ80" s="406"/>
      <c r="NVK80" s="406"/>
      <c r="NVL80" s="406"/>
      <c r="NVM80" s="406"/>
      <c r="NVN80" s="406"/>
      <c r="NVO80" s="406"/>
      <c r="NVP80" s="406"/>
      <c r="NVQ80" s="406"/>
      <c r="NVR80" s="406"/>
      <c r="NVS80" s="406"/>
      <c r="NVT80" s="406"/>
      <c r="NVU80" s="406"/>
      <c r="NVV80" s="406"/>
      <c r="NVW80" s="406"/>
      <c r="NVX80" s="406"/>
      <c r="NVY80" s="406"/>
      <c r="NVZ80" s="406"/>
      <c r="NWA80" s="406"/>
      <c r="NWB80" s="406"/>
      <c r="NWC80" s="406"/>
      <c r="NWD80" s="406"/>
      <c r="NWE80" s="406"/>
      <c r="NWF80" s="406"/>
      <c r="NWG80" s="406"/>
      <c r="NWH80" s="406"/>
      <c r="NWI80" s="406"/>
      <c r="NWJ80" s="406"/>
      <c r="NWK80" s="406"/>
      <c r="NWL80" s="406"/>
      <c r="NWM80" s="406"/>
      <c r="NWN80" s="406"/>
      <c r="NWO80" s="406"/>
      <c r="NWP80" s="406"/>
      <c r="NWQ80" s="406"/>
      <c r="NWR80" s="406"/>
      <c r="NWS80" s="406"/>
      <c r="NWT80" s="406"/>
      <c r="NWU80" s="406"/>
      <c r="NWV80" s="406"/>
      <c r="NWW80" s="406"/>
      <c r="NWX80" s="406"/>
      <c r="NWY80" s="406"/>
      <c r="NWZ80" s="406"/>
      <c r="NXA80" s="406"/>
      <c r="NXB80" s="406"/>
      <c r="NXC80" s="406"/>
      <c r="NXD80" s="406"/>
      <c r="NXE80" s="406"/>
      <c r="NXF80" s="406"/>
      <c r="NXG80" s="406"/>
      <c r="NXH80" s="406"/>
      <c r="NXI80" s="406"/>
      <c r="NXJ80" s="406"/>
      <c r="NXK80" s="406"/>
      <c r="NXL80" s="406"/>
      <c r="NXM80" s="406"/>
      <c r="NXN80" s="406"/>
      <c r="NXO80" s="406"/>
      <c r="NXP80" s="406"/>
      <c r="NXQ80" s="406"/>
      <c r="NXR80" s="406"/>
      <c r="NXS80" s="406"/>
      <c r="NXT80" s="406"/>
      <c r="NXU80" s="406"/>
      <c r="NXV80" s="406"/>
      <c r="NXW80" s="406"/>
      <c r="NXX80" s="406"/>
      <c r="NXY80" s="406"/>
      <c r="NXZ80" s="406"/>
      <c r="NYA80" s="406"/>
      <c r="NYB80" s="406"/>
      <c r="NYC80" s="406"/>
      <c r="NYD80" s="406"/>
      <c r="NYE80" s="406"/>
      <c r="NYF80" s="406"/>
      <c r="NYG80" s="406"/>
      <c r="NYH80" s="406"/>
      <c r="NYI80" s="406"/>
      <c r="NYJ80" s="406"/>
      <c r="NYK80" s="406"/>
      <c r="NYL80" s="406"/>
      <c r="NYM80" s="406"/>
      <c r="NYN80" s="406"/>
      <c r="NYO80" s="406"/>
      <c r="NYP80" s="406"/>
      <c r="NYQ80" s="406"/>
      <c r="NYR80" s="406"/>
      <c r="NYS80" s="406"/>
      <c r="NYT80" s="406"/>
      <c r="NYU80" s="406"/>
      <c r="NYV80" s="406"/>
      <c r="NYW80" s="406"/>
      <c r="NYX80" s="406"/>
      <c r="NYY80" s="406"/>
      <c r="NYZ80" s="406"/>
      <c r="NZA80" s="406"/>
      <c r="NZB80" s="406"/>
      <c r="NZC80" s="406"/>
      <c r="NZD80" s="406"/>
      <c r="NZE80" s="406"/>
      <c r="NZF80" s="406"/>
      <c r="NZG80" s="406"/>
      <c r="NZH80" s="406"/>
      <c r="NZI80" s="406"/>
      <c r="NZJ80" s="406"/>
      <c r="NZK80" s="406"/>
      <c r="NZL80" s="406"/>
      <c r="NZM80" s="406"/>
      <c r="NZN80" s="406"/>
      <c r="NZO80" s="406"/>
      <c r="NZP80" s="406"/>
      <c r="NZQ80" s="406"/>
      <c r="NZR80" s="406"/>
      <c r="NZS80" s="406"/>
      <c r="NZT80" s="406"/>
      <c r="NZU80" s="406"/>
      <c r="NZV80" s="406"/>
      <c r="NZW80" s="406"/>
      <c r="NZX80" s="406"/>
      <c r="NZY80" s="406"/>
      <c r="NZZ80" s="406"/>
      <c r="OAA80" s="406"/>
      <c r="OAB80" s="406"/>
      <c r="OAC80" s="406"/>
      <c r="OAD80" s="406"/>
      <c r="OAE80" s="406"/>
      <c r="OAF80" s="406"/>
      <c r="OAG80" s="406"/>
      <c r="OAH80" s="406"/>
      <c r="OAI80" s="406"/>
      <c r="OAJ80" s="406"/>
      <c r="OAK80" s="406"/>
      <c r="OAL80" s="406"/>
      <c r="OAM80" s="406"/>
      <c r="OAN80" s="406"/>
      <c r="OAO80" s="406"/>
      <c r="OAP80" s="406"/>
      <c r="OAQ80" s="406"/>
      <c r="OAR80" s="406"/>
      <c r="OAS80" s="406"/>
      <c r="OAT80" s="406"/>
      <c r="OAU80" s="406"/>
      <c r="OAV80" s="406"/>
      <c r="OAW80" s="406"/>
      <c r="OAX80" s="406"/>
      <c r="OAY80" s="406"/>
      <c r="OAZ80" s="406"/>
      <c r="OBA80" s="406"/>
      <c r="OBB80" s="406"/>
      <c r="OBC80" s="406"/>
      <c r="OBD80" s="406"/>
      <c r="OBE80" s="406"/>
      <c r="OBF80" s="406"/>
      <c r="OBG80" s="406"/>
      <c r="OBH80" s="406"/>
      <c r="OBI80" s="406"/>
      <c r="OBJ80" s="406"/>
      <c r="OBK80" s="406"/>
      <c r="OBL80" s="406"/>
      <c r="OBM80" s="406"/>
      <c r="OBN80" s="406"/>
      <c r="OBO80" s="406"/>
      <c r="OBP80" s="406"/>
      <c r="OBQ80" s="406"/>
      <c r="OBR80" s="406"/>
      <c r="OBS80" s="406"/>
      <c r="OBT80" s="406"/>
      <c r="OBU80" s="406"/>
      <c r="OBV80" s="406"/>
      <c r="OBW80" s="406"/>
      <c r="OBX80" s="406"/>
      <c r="OBY80" s="406"/>
      <c r="OBZ80" s="406"/>
      <c r="OCA80" s="406"/>
      <c r="OCB80" s="406"/>
      <c r="OCC80" s="406"/>
      <c r="OCD80" s="406"/>
      <c r="OCE80" s="406"/>
      <c r="OCF80" s="406"/>
      <c r="OCG80" s="406"/>
      <c r="OCH80" s="406"/>
      <c r="OCI80" s="406"/>
      <c r="OCJ80" s="406"/>
      <c r="OCK80" s="406"/>
      <c r="OCL80" s="406"/>
      <c r="OCM80" s="406"/>
      <c r="OCN80" s="406"/>
      <c r="OCO80" s="406"/>
      <c r="OCP80" s="406"/>
      <c r="OCQ80" s="406"/>
      <c r="OCR80" s="406"/>
      <c r="OCS80" s="406"/>
      <c r="OCT80" s="406"/>
      <c r="OCU80" s="406"/>
      <c r="OCV80" s="406"/>
      <c r="OCW80" s="406"/>
      <c r="OCX80" s="406"/>
      <c r="OCY80" s="406"/>
      <c r="OCZ80" s="406"/>
      <c r="ODA80" s="406"/>
      <c r="ODB80" s="406"/>
      <c r="ODC80" s="406"/>
      <c r="ODD80" s="406"/>
      <c r="ODE80" s="406"/>
      <c r="ODF80" s="406"/>
      <c r="ODG80" s="406"/>
      <c r="ODH80" s="406"/>
      <c r="ODI80" s="406"/>
      <c r="ODJ80" s="406"/>
      <c r="ODK80" s="406"/>
      <c r="ODL80" s="406"/>
      <c r="ODM80" s="406"/>
      <c r="ODN80" s="406"/>
      <c r="ODO80" s="406"/>
      <c r="ODP80" s="406"/>
      <c r="ODQ80" s="406"/>
      <c r="ODR80" s="406"/>
      <c r="ODS80" s="406"/>
      <c r="ODT80" s="406"/>
      <c r="ODU80" s="406"/>
      <c r="ODV80" s="406"/>
      <c r="ODW80" s="406"/>
      <c r="ODX80" s="406"/>
      <c r="ODY80" s="406"/>
      <c r="ODZ80" s="406"/>
      <c r="OEA80" s="406"/>
      <c r="OEB80" s="406"/>
      <c r="OEC80" s="406"/>
      <c r="OED80" s="406"/>
      <c r="OEE80" s="406"/>
      <c r="OEF80" s="406"/>
      <c r="OEG80" s="406"/>
      <c r="OEH80" s="406"/>
      <c r="OEI80" s="406"/>
      <c r="OEJ80" s="406"/>
      <c r="OEK80" s="406"/>
      <c r="OEL80" s="406"/>
      <c r="OEM80" s="406"/>
      <c r="OEN80" s="406"/>
      <c r="OEO80" s="406"/>
      <c r="OEP80" s="406"/>
      <c r="OEQ80" s="406"/>
      <c r="OER80" s="406"/>
      <c r="OES80" s="406"/>
      <c r="OET80" s="406"/>
      <c r="OEU80" s="406"/>
      <c r="OEV80" s="406"/>
      <c r="OEW80" s="406"/>
      <c r="OEX80" s="406"/>
      <c r="OEY80" s="406"/>
      <c r="OEZ80" s="406"/>
      <c r="OFA80" s="406"/>
      <c r="OFB80" s="406"/>
      <c r="OFC80" s="406"/>
      <c r="OFD80" s="406"/>
      <c r="OFE80" s="406"/>
      <c r="OFF80" s="406"/>
      <c r="OFG80" s="406"/>
      <c r="OFH80" s="406"/>
      <c r="OFI80" s="406"/>
      <c r="OFJ80" s="406"/>
      <c r="OFK80" s="406"/>
      <c r="OFL80" s="406"/>
      <c r="OFM80" s="406"/>
      <c r="OFN80" s="406"/>
      <c r="OFO80" s="406"/>
      <c r="OFP80" s="406"/>
      <c r="OFQ80" s="406"/>
      <c r="OFR80" s="406"/>
      <c r="OFS80" s="406"/>
      <c r="OFT80" s="406"/>
      <c r="OFU80" s="406"/>
      <c r="OFV80" s="406"/>
      <c r="OFW80" s="406"/>
      <c r="OFX80" s="406"/>
      <c r="OFY80" s="406"/>
      <c r="OFZ80" s="406"/>
      <c r="OGA80" s="406"/>
      <c r="OGB80" s="406"/>
      <c r="OGC80" s="406"/>
      <c r="OGD80" s="406"/>
      <c r="OGE80" s="406"/>
      <c r="OGF80" s="406"/>
      <c r="OGG80" s="406"/>
      <c r="OGH80" s="406"/>
      <c r="OGI80" s="406"/>
      <c r="OGJ80" s="406"/>
      <c r="OGK80" s="406"/>
      <c r="OGL80" s="406"/>
      <c r="OGM80" s="406"/>
      <c r="OGN80" s="406"/>
      <c r="OGO80" s="406"/>
      <c r="OGP80" s="406"/>
      <c r="OGQ80" s="406"/>
      <c r="OGR80" s="406"/>
      <c r="OGS80" s="406"/>
      <c r="OGT80" s="406"/>
      <c r="OGU80" s="406"/>
      <c r="OGV80" s="406"/>
      <c r="OGW80" s="406"/>
      <c r="OGX80" s="406"/>
      <c r="OGY80" s="406"/>
      <c r="OGZ80" s="406"/>
      <c r="OHA80" s="406"/>
      <c r="OHB80" s="406"/>
      <c r="OHC80" s="406"/>
      <c r="OHD80" s="406"/>
      <c r="OHE80" s="406"/>
      <c r="OHF80" s="406"/>
      <c r="OHG80" s="406"/>
      <c r="OHH80" s="406"/>
      <c r="OHI80" s="406"/>
      <c r="OHJ80" s="406"/>
      <c r="OHK80" s="406"/>
      <c r="OHL80" s="406"/>
      <c r="OHM80" s="406"/>
      <c r="OHN80" s="406"/>
      <c r="OHO80" s="406"/>
      <c r="OHP80" s="406"/>
      <c r="OHQ80" s="406"/>
      <c r="OHR80" s="406"/>
      <c r="OHS80" s="406"/>
      <c r="OHT80" s="406"/>
      <c r="OHU80" s="406"/>
      <c r="OHV80" s="406"/>
      <c r="OHW80" s="406"/>
      <c r="OHX80" s="406"/>
      <c r="OHY80" s="406"/>
      <c r="OHZ80" s="406"/>
      <c r="OIA80" s="406"/>
      <c r="OIB80" s="406"/>
      <c r="OIC80" s="406"/>
      <c r="OID80" s="406"/>
      <c r="OIE80" s="406"/>
      <c r="OIF80" s="406"/>
      <c r="OIG80" s="406"/>
      <c r="OIH80" s="406"/>
      <c r="OII80" s="406"/>
      <c r="OIJ80" s="406"/>
      <c r="OIK80" s="406"/>
      <c r="OIL80" s="406"/>
      <c r="OIM80" s="406"/>
      <c r="OIN80" s="406"/>
      <c r="OIO80" s="406"/>
      <c r="OIP80" s="406"/>
      <c r="OIQ80" s="406"/>
      <c r="OIR80" s="406"/>
      <c r="OIS80" s="406"/>
      <c r="OIT80" s="406"/>
      <c r="OIU80" s="406"/>
      <c r="OIV80" s="406"/>
      <c r="OIW80" s="406"/>
      <c r="OIX80" s="406"/>
      <c r="OIY80" s="406"/>
      <c r="OIZ80" s="406"/>
      <c r="OJA80" s="406"/>
      <c r="OJB80" s="406"/>
      <c r="OJC80" s="406"/>
      <c r="OJD80" s="406"/>
      <c r="OJE80" s="406"/>
      <c r="OJF80" s="406"/>
      <c r="OJG80" s="406"/>
      <c r="OJH80" s="406"/>
      <c r="OJI80" s="406"/>
      <c r="OJJ80" s="406"/>
      <c r="OJK80" s="406"/>
      <c r="OJL80" s="406"/>
      <c r="OJM80" s="406"/>
      <c r="OJN80" s="406"/>
      <c r="OJO80" s="406"/>
      <c r="OJP80" s="406"/>
      <c r="OJQ80" s="406"/>
      <c r="OJR80" s="406"/>
      <c r="OJS80" s="406"/>
      <c r="OJT80" s="406"/>
      <c r="OJU80" s="406"/>
      <c r="OJV80" s="406"/>
      <c r="OJW80" s="406"/>
      <c r="OJX80" s="406"/>
      <c r="OJY80" s="406"/>
      <c r="OJZ80" s="406"/>
      <c r="OKA80" s="406"/>
      <c r="OKB80" s="406"/>
      <c r="OKC80" s="406"/>
      <c r="OKD80" s="406"/>
      <c r="OKE80" s="406"/>
      <c r="OKF80" s="406"/>
      <c r="OKG80" s="406"/>
      <c r="OKH80" s="406"/>
      <c r="OKI80" s="406"/>
      <c r="OKJ80" s="406"/>
      <c r="OKK80" s="406"/>
      <c r="OKL80" s="406"/>
      <c r="OKM80" s="406"/>
      <c r="OKN80" s="406"/>
      <c r="OKO80" s="406"/>
      <c r="OKP80" s="406"/>
      <c r="OKQ80" s="406"/>
      <c r="OKR80" s="406"/>
      <c r="OKS80" s="406"/>
      <c r="OKT80" s="406"/>
      <c r="OKU80" s="406"/>
      <c r="OKV80" s="406"/>
      <c r="OKW80" s="406"/>
      <c r="OKX80" s="406"/>
      <c r="OKY80" s="406"/>
      <c r="OKZ80" s="406"/>
      <c r="OLA80" s="406"/>
      <c r="OLB80" s="406"/>
      <c r="OLC80" s="406"/>
      <c r="OLD80" s="406"/>
      <c r="OLE80" s="406"/>
      <c r="OLF80" s="406"/>
      <c r="OLG80" s="406"/>
      <c r="OLH80" s="406"/>
      <c r="OLI80" s="406"/>
      <c r="OLJ80" s="406"/>
      <c r="OLK80" s="406"/>
      <c r="OLL80" s="406"/>
      <c r="OLM80" s="406"/>
      <c r="OLN80" s="406"/>
      <c r="OLO80" s="406"/>
      <c r="OLP80" s="406"/>
      <c r="OLQ80" s="406"/>
      <c r="OLR80" s="406"/>
      <c r="OLS80" s="406"/>
      <c r="OLT80" s="406"/>
      <c r="OLU80" s="406"/>
      <c r="OLV80" s="406"/>
      <c r="OLW80" s="406"/>
      <c r="OLX80" s="406"/>
      <c r="OLY80" s="406"/>
      <c r="OLZ80" s="406"/>
      <c r="OMA80" s="406"/>
      <c r="OMB80" s="406"/>
      <c r="OMC80" s="406"/>
      <c r="OMD80" s="406"/>
      <c r="OME80" s="406"/>
      <c r="OMF80" s="406"/>
      <c r="OMG80" s="406"/>
      <c r="OMH80" s="406"/>
      <c r="OMI80" s="406"/>
      <c r="OMJ80" s="406"/>
      <c r="OMK80" s="406"/>
      <c r="OML80" s="406"/>
      <c r="OMM80" s="406"/>
      <c r="OMN80" s="406"/>
      <c r="OMO80" s="406"/>
      <c r="OMP80" s="406"/>
      <c r="OMQ80" s="406"/>
      <c r="OMR80" s="406"/>
      <c r="OMS80" s="406"/>
      <c r="OMT80" s="406"/>
      <c r="OMU80" s="406"/>
      <c r="OMV80" s="406"/>
      <c r="OMW80" s="406"/>
      <c r="OMX80" s="406"/>
      <c r="OMY80" s="406"/>
      <c r="OMZ80" s="406"/>
      <c r="ONA80" s="406"/>
      <c r="ONB80" s="406"/>
      <c r="ONC80" s="406"/>
      <c r="OND80" s="406"/>
      <c r="ONE80" s="406"/>
      <c r="ONF80" s="406"/>
      <c r="ONG80" s="406"/>
      <c r="ONH80" s="406"/>
      <c r="ONI80" s="406"/>
      <c r="ONJ80" s="406"/>
      <c r="ONK80" s="406"/>
      <c r="ONL80" s="406"/>
      <c r="ONM80" s="406"/>
      <c r="ONN80" s="406"/>
      <c r="ONO80" s="406"/>
      <c r="ONP80" s="406"/>
      <c r="ONQ80" s="406"/>
      <c r="ONR80" s="406"/>
      <c r="ONS80" s="406"/>
      <c r="ONT80" s="406"/>
      <c r="ONU80" s="406"/>
      <c r="ONV80" s="406"/>
      <c r="ONW80" s="406"/>
      <c r="ONX80" s="406"/>
      <c r="ONY80" s="406"/>
      <c r="ONZ80" s="406"/>
      <c r="OOA80" s="406"/>
      <c r="OOB80" s="406"/>
      <c r="OOC80" s="406"/>
      <c r="OOD80" s="406"/>
      <c r="OOE80" s="406"/>
      <c r="OOF80" s="406"/>
      <c r="OOG80" s="406"/>
      <c r="OOH80" s="406"/>
      <c r="OOI80" s="406"/>
      <c r="OOJ80" s="406"/>
      <c r="OOK80" s="406"/>
      <c r="OOL80" s="406"/>
      <c r="OOM80" s="406"/>
      <c r="OON80" s="406"/>
      <c r="OOO80" s="406"/>
      <c r="OOP80" s="406"/>
      <c r="OOQ80" s="406"/>
      <c r="OOR80" s="406"/>
      <c r="OOS80" s="406"/>
      <c r="OOT80" s="406"/>
      <c r="OOU80" s="406"/>
      <c r="OOV80" s="406"/>
      <c r="OOW80" s="406"/>
      <c r="OOX80" s="406"/>
      <c r="OOY80" s="406"/>
      <c r="OOZ80" s="406"/>
      <c r="OPA80" s="406"/>
      <c r="OPB80" s="406"/>
      <c r="OPC80" s="406"/>
      <c r="OPD80" s="406"/>
      <c r="OPE80" s="406"/>
      <c r="OPF80" s="406"/>
      <c r="OPG80" s="406"/>
      <c r="OPH80" s="406"/>
      <c r="OPI80" s="406"/>
      <c r="OPJ80" s="406"/>
      <c r="OPK80" s="406"/>
      <c r="OPL80" s="406"/>
      <c r="OPM80" s="406"/>
      <c r="OPN80" s="406"/>
      <c r="OPO80" s="406"/>
      <c r="OPP80" s="406"/>
      <c r="OPQ80" s="406"/>
      <c r="OPR80" s="406"/>
      <c r="OPS80" s="406"/>
      <c r="OPT80" s="406"/>
      <c r="OPU80" s="406"/>
      <c r="OPV80" s="406"/>
      <c r="OPW80" s="406"/>
      <c r="OPX80" s="406"/>
      <c r="OPY80" s="406"/>
      <c r="OPZ80" s="406"/>
      <c r="OQA80" s="406"/>
      <c r="OQB80" s="406"/>
      <c r="OQC80" s="406"/>
      <c r="OQD80" s="406"/>
      <c r="OQE80" s="406"/>
      <c r="OQF80" s="406"/>
      <c r="OQG80" s="406"/>
      <c r="OQH80" s="406"/>
      <c r="OQI80" s="406"/>
      <c r="OQJ80" s="406"/>
      <c r="OQK80" s="406"/>
      <c r="OQL80" s="406"/>
      <c r="OQM80" s="406"/>
      <c r="OQN80" s="406"/>
      <c r="OQO80" s="406"/>
      <c r="OQP80" s="406"/>
      <c r="OQQ80" s="406"/>
      <c r="OQR80" s="406"/>
      <c r="OQS80" s="406"/>
      <c r="OQT80" s="406"/>
      <c r="OQU80" s="406"/>
      <c r="OQV80" s="406"/>
      <c r="OQW80" s="406"/>
      <c r="OQX80" s="406"/>
      <c r="OQY80" s="406"/>
      <c r="OQZ80" s="406"/>
      <c r="ORA80" s="406"/>
      <c r="ORB80" s="406"/>
      <c r="ORC80" s="406"/>
      <c r="ORD80" s="406"/>
      <c r="ORE80" s="406"/>
      <c r="ORF80" s="406"/>
      <c r="ORG80" s="406"/>
      <c r="ORH80" s="406"/>
      <c r="ORI80" s="406"/>
      <c r="ORJ80" s="406"/>
      <c r="ORK80" s="406"/>
      <c r="ORL80" s="406"/>
      <c r="ORM80" s="406"/>
      <c r="ORN80" s="406"/>
      <c r="ORO80" s="406"/>
      <c r="ORP80" s="406"/>
      <c r="ORQ80" s="406"/>
      <c r="ORR80" s="406"/>
      <c r="ORS80" s="406"/>
      <c r="ORT80" s="406"/>
      <c r="ORU80" s="406"/>
      <c r="ORV80" s="406"/>
      <c r="ORW80" s="406"/>
      <c r="ORX80" s="406"/>
      <c r="ORY80" s="406"/>
      <c r="ORZ80" s="406"/>
      <c r="OSA80" s="406"/>
      <c r="OSB80" s="406"/>
      <c r="OSC80" s="406"/>
      <c r="OSD80" s="406"/>
      <c r="OSE80" s="406"/>
      <c r="OSF80" s="406"/>
      <c r="OSG80" s="406"/>
      <c r="OSH80" s="406"/>
      <c r="OSI80" s="406"/>
      <c r="OSJ80" s="406"/>
      <c r="OSK80" s="406"/>
      <c r="OSL80" s="406"/>
      <c r="OSM80" s="406"/>
      <c r="OSN80" s="406"/>
      <c r="OSO80" s="406"/>
      <c r="OSP80" s="406"/>
      <c r="OSQ80" s="406"/>
      <c r="OSR80" s="406"/>
      <c r="OSS80" s="406"/>
      <c r="OST80" s="406"/>
      <c r="OSU80" s="406"/>
      <c r="OSV80" s="406"/>
      <c r="OSW80" s="406"/>
      <c r="OSX80" s="406"/>
      <c r="OSY80" s="406"/>
      <c r="OSZ80" s="406"/>
      <c r="OTA80" s="406"/>
      <c r="OTB80" s="406"/>
      <c r="OTC80" s="406"/>
      <c r="OTD80" s="406"/>
      <c r="OTE80" s="406"/>
      <c r="OTF80" s="406"/>
      <c r="OTG80" s="406"/>
      <c r="OTH80" s="406"/>
      <c r="OTI80" s="406"/>
      <c r="OTJ80" s="406"/>
      <c r="OTK80" s="406"/>
      <c r="OTL80" s="406"/>
      <c r="OTM80" s="406"/>
      <c r="OTN80" s="406"/>
      <c r="OTO80" s="406"/>
      <c r="OTP80" s="406"/>
      <c r="OTQ80" s="406"/>
      <c r="OTR80" s="406"/>
      <c r="OTS80" s="406"/>
      <c r="OTT80" s="406"/>
      <c r="OTU80" s="406"/>
      <c r="OTV80" s="406"/>
      <c r="OTW80" s="406"/>
      <c r="OTX80" s="406"/>
      <c r="OTY80" s="406"/>
      <c r="OTZ80" s="406"/>
      <c r="OUA80" s="406"/>
      <c r="OUB80" s="406"/>
      <c r="OUC80" s="406"/>
      <c r="OUD80" s="406"/>
      <c r="OUE80" s="406"/>
      <c r="OUF80" s="406"/>
      <c r="OUG80" s="406"/>
      <c r="OUH80" s="406"/>
      <c r="OUI80" s="406"/>
      <c r="OUJ80" s="406"/>
      <c r="OUK80" s="406"/>
      <c r="OUL80" s="406"/>
      <c r="OUM80" s="406"/>
      <c r="OUN80" s="406"/>
      <c r="OUO80" s="406"/>
      <c r="OUP80" s="406"/>
      <c r="OUQ80" s="406"/>
      <c r="OUR80" s="406"/>
      <c r="OUS80" s="406"/>
      <c r="OUT80" s="406"/>
      <c r="OUU80" s="406"/>
      <c r="OUV80" s="406"/>
      <c r="OUW80" s="406"/>
      <c r="OUX80" s="406"/>
      <c r="OUY80" s="406"/>
      <c r="OUZ80" s="406"/>
      <c r="OVA80" s="406"/>
      <c r="OVB80" s="406"/>
      <c r="OVC80" s="406"/>
      <c r="OVD80" s="406"/>
      <c r="OVE80" s="406"/>
      <c r="OVF80" s="406"/>
      <c r="OVG80" s="406"/>
      <c r="OVH80" s="406"/>
      <c r="OVI80" s="406"/>
      <c r="OVJ80" s="406"/>
      <c r="OVK80" s="406"/>
      <c r="OVL80" s="406"/>
      <c r="OVM80" s="406"/>
      <c r="OVN80" s="406"/>
      <c r="OVO80" s="406"/>
      <c r="OVP80" s="406"/>
      <c r="OVQ80" s="406"/>
      <c r="OVR80" s="406"/>
      <c r="OVS80" s="406"/>
      <c r="OVT80" s="406"/>
      <c r="OVU80" s="406"/>
      <c r="OVV80" s="406"/>
      <c r="OVW80" s="406"/>
      <c r="OVX80" s="406"/>
      <c r="OVY80" s="406"/>
      <c r="OVZ80" s="406"/>
      <c r="OWA80" s="406"/>
      <c r="OWB80" s="406"/>
      <c r="OWC80" s="406"/>
      <c r="OWD80" s="406"/>
      <c r="OWE80" s="406"/>
      <c r="OWF80" s="406"/>
      <c r="OWG80" s="406"/>
      <c r="OWH80" s="406"/>
      <c r="OWI80" s="406"/>
      <c r="OWJ80" s="406"/>
      <c r="OWK80" s="406"/>
      <c r="OWL80" s="406"/>
      <c r="OWM80" s="406"/>
      <c r="OWN80" s="406"/>
      <c r="OWO80" s="406"/>
      <c r="OWP80" s="406"/>
      <c r="OWQ80" s="406"/>
      <c r="OWR80" s="406"/>
      <c r="OWS80" s="406"/>
      <c r="OWT80" s="406"/>
      <c r="OWU80" s="406"/>
      <c r="OWV80" s="406"/>
      <c r="OWW80" s="406"/>
      <c r="OWX80" s="406"/>
      <c r="OWY80" s="406"/>
      <c r="OWZ80" s="406"/>
      <c r="OXA80" s="406"/>
      <c r="OXB80" s="406"/>
      <c r="OXC80" s="406"/>
      <c r="OXD80" s="406"/>
      <c r="OXE80" s="406"/>
      <c r="OXF80" s="406"/>
      <c r="OXG80" s="406"/>
      <c r="OXH80" s="406"/>
      <c r="OXI80" s="406"/>
      <c r="OXJ80" s="406"/>
      <c r="OXK80" s="406"/>
      <c r="OXL80" s="406"/>
      <c r="OXM80" s="406"/>
      <c r="OXN80" s="406"/>
      <c r="OXO80" s="406"/>
      <c r="OXP80" s="406"/>
      <c r="OXQ80" s="406"/>
      <c r="OXR80" s="406"/>
      <c r="OXS80" s="406"/>
      <c r="OXT80" s="406"/>
      <c r="OXU80" s="406"/>
      <c r="OXV80" s="406"/>
      <c r="OXW80" s="406"/>
      <c r="OXX80" s="406"/>
      <c r="OXY80" s="406"/>
      <c r="OXZ80" s="406"/>
      <c r="OYA80" s="406"/>
      <c r="OYB80" s="406"/>
      <c r="OYC80" s="406"/>
      <c r="OYD80" s="406"/>
      <c r="OYE80" s="406"/>
      <c r="OYF80" s="406"/>
      <c r="OYG80" s="406"/>
      <c r="OYH80" s="406"/>
      <c r="OYI80" s="406"/>
      <c r="OYJ80" s="406"/>
      <c r="OYK80" s="406"/>
      <c r="OYL80" s="406"/>
      <c r="OYM80" s="406"/>
      <c r="OYN80" s="406"/>
      <c r="OYO80" s="406"/>
      <c r="OYP80" s="406"/>
      <c r="OYQ80" s="406"/>
      <c r="OYR80" s="406"/>
      <c r="OYS80" s="406"/>
      <c r="OYT80" s="406"/>
      <c r="OYU80" s="406"/>
      <c r="OYV80" s="406"/>
      <c r="OYW80" s="406"/>
      <c r="OYX80" s="406"/>
      <c r="OYY80" s="406"/>
      <c r="OYZ80" s="406"/>
      <c r="OZA80" s="406"/>
      <c r="OZB80" s="406"/>
      <c r="OZC80" s="406"/>
      <c r="OZD80" s="406"/>
      <c r="OZE80" s="406"/>
      <c r="OZF80" s="406"/>
      <c r="OZG80" s="406"/>
      <c r="OZH80" s="406"/>
      <c r="OZI80" s="406"/>
      <c r="OZJ80" s="406"/>
      <c r="OZK80" s="406"/>
      <c r="OZL80" s="406"/>
      <c r="OZM80" s="406"/>
      <c r="OZN80" s="406"/>
      <c r="OZO80" s="406"/>
      <c r="OZP80" s="406"/>
      <c r="OZQ80" s="406"/>
      <c r="OZR80" s="406"/>
      <c r="OZS80" s="406"/>
      <c r="OZT80" s="406"/>
      <c r="OZU80" s="406"/>
      <c r="OZV80" s="406"/>
      <c r="OZW80" s="406"/>
      <c r="OZX80" s="406"/>
      <c r="OZY80" s="406"/>
      <c r="OZZ80" s="406"/>
      <c r="PAA80" s="406"/>
      <c r="PAB80" s="406"/>
      <c r="PAC80" s="406"/>
      <c r="PAD80" s="406"/>
      <c r="PAE80" s="406"/>
      <c r="PAF80" s="406"/>
      <c r="PAG80" s="406"/>
      <c r="PAH80" s="406"/>
      <c r="PAI80" s="406"/>
      <c r="PAJ80" s="406"/>
      <c r="PAK80" s="406"/>
      <c r="PAL80" s="406"/>
      <c r="PAM80" s="406"/>
      <c r="PAN80" s="406"/>
      <c r="PAO80" s="406"/>
      <c r="PAP80" s="406"/>
      <c r="PAQ80" s="406"/>
      <c r="PAR80" s="406"/>
      <c r="PAS80" s="406"/>
      <c r="PAT80" s="406"/>
      <c r="PAU80" s="406"/>
      <c r="PAV80" s="406"/>
      <c r="PAW80" s="406"/>
      <c r="PAX80" s="406"/>
      <c r="PAY80" s="406"/>
      <c r="PAZ80" s="406"/>
      <c r="PBA80" s="406"/>
      <c r="PBB80" s="406"/>
      <c r="PBC80" s="406"/>
      <c r="PBD80" s="406"/>
      <c r="PBE80" s="406"/>
      <c r="PBF80" s="406"/>
      <c r="PBG80" s="406"/>
      <c r="PBH80" s="406"/>
      <c r="PBI80" s="406"/>
      <c r="PBJ80" s="406"/>
      <c r="PBK80" s="406"/>
      <c r="PBL80" s="406"/>
      <c r="PBM80" s="406"/>
      <c r="PBN80" s="406"/>
      <c r="PBO80" s="406"/>
      <c r="PBP80" s="406"/>
      <c r="PBQ80" s="406"/>
      <c r="PBR80" s="406"/>
      <c r="PBS80" s="406"/>
      <c r="PBT80" s="406"/>
      <c r="PBU80" s="406"/>
      <c r="PBV80" s="406"/>
      <c r="PBW80" s="406"/>
      <c r="PBX80" s="406"/>
      <c r="PBY80" s="406"/>
      <c r="PBZ80" s="406"/>
      <c r="PCA80" s="406"/>
      <c r="PCB80" s="406"/>
      <c r="PCC80" s="406"/>
      <c r="PCD80" s="406"/>
      <c r="PCE80" s="406"/>
      <c r="PCF80" s="406"/>
      <c r="PCG80" s="406"/>
      <c r="PCH80" s="406"/>
      <c r="PCI80" s="406"/>
      <c r="PCJ80" s="406"/>
      <c r="PCK80" s="406"/>
      <c r="PCL80" s="406"/>
      <c r="PCM80" s="406"/>
      <c r="PCN80" s="406"/>
      <c r="PCO80" s="406"/>
      <c r="PCP80" s="406"/>
      <c r="PCQ80" s="406"/>
      <c r="PCR80" s="406"/>
      <c r="PCS80" s="406"/>
      <c r="PCT80" s="406"/>
      <c r="PCU80" s="406"/>
      <c r="PCV80" s="406"/>
      <c r="PCW80" s="406"/>
      <c r="PCX80" s="406"/>
      <c r="PCY80" s="406"/>
      <c r="PCZ80" s="406"/>
      <c r="PDA80" s="406"/>
      <c r="PDB80" s="406"/>
      <c r="PDC80" s="406"/>
      <c r="PDD80" s="406"/>
      <c r="PDE80" s="406"/>
      <c r="PDF80" s="406"/>
      <c r="PDG80" s="406"/>
      <c r="PDH80" s="406"/>
      <c r="PDI80" s="406"/>
      <c r="PDJ80" s="406"/>
      <c r="PDK80" s="406"/>
      <c r="PDL80" s="406"/>
      <c r="PDM80" s="406"/>
      <c r="PDN80" s="406"/>
      <c r="PDO80" s="406"/>
      <c r="PDP80" s="406"/>
      <c r="PDQ80" s="406"/>
      <c r="PDR80" s="406"/>
      <c r="PDS80" s="406"/>
      <c r="PDT80" s="406"/>
      <c r="PDU80" s="406"/>
      <c r="PDV80" s="406"/>
      <c r="PDW80" s="406"/>
      <c r="PDX80" s="406"/>
      <c r="PDY80" s="406"/>
      <c r="PDZ80" s="406"/>
      <c r="PEA80" s="406"/>
      <c r="PEB80" s="406"/>
      <c r="PEC80" s="406"/>
      <c r="PED80" s="406"/>
      <c r="PEE80" s="406"/>
      <c r="PEF80" s="406"/>
      <c r="PEG80" s="406"/>
      <c r="PEH80" s="406"/>
      <c r="PEI80" s="406"/>
      <c r="PEJ80" s="406"/>
      <c r="PEK80" s="406"/>
      <c r="PEL80" s="406"/>
      <c r="PEM80" s="406"/>
      <c r="PEN80" s="406"/>
      <c r="PEO80" s="406"/>
      <c r="PEP80" s="406"/>
      <c r="PEQ80" s="406"/>
      <c r="PER80" s="406"/>
      <c r="PES80" s="406"/>
      <c r="PET80" s="406"/>
      <c r="PEU80" s="406"/>
      <c r="PEV80" s="406"/>
      <c r="PEW80" s="406"/>
      <c r="PEX80" s="406"/>
      <c r="PEY80" s="406"/>
      <c r="PEZ80" s="406"/>
      <c r="PFA80" s="406"/>
      <c r="PFB80" s="406"/>
      <c r="PFC80" s="406"/>
      <c r="PFD80" s="406"/>
      <c r="PFE80" s="406"/>
      <c r="PFF80" s="406"/>
      <c r="PFG80" s="406"/>
      <c r="PFH80" s="406"/>
      <c r="PFI80" s="406"/>
      <c r="PFJ80" s="406"/>
      <c r="PFK80" s="406"/>
      <c r="PFL80" s="406"/>
      <c r="PFM80" s="406"/>
      <c r="PFN80" s="406"/>
      <c r="PFO80" s="406"/>
      <c r="PFP80" s="406"/>
      <c r="PFQ80" s="406"/>
      <c r="PFR80" s="406"/>
      <c r="PFS80" s="406"/>
      <c r="PFT80" s="406"/>
      <c r="PFU80" s="406"/>
      <c r="PFV80" s="406"/>
      <c r="PFW80" s="406"/>
      <c r="PFX80" s="406"/>
      <c r="PFY80" s="406"/>
      <c r="PFZ80" s="406"/>
      <c r="PGA80" s="406"/>
      <c r="PGB80" s="406"/>
      <c r="PGC80" s="406"/>
      <c r="PGD80" s="406"/>
      <c r="PGE80" s="406"/>
      <c r="PGF80" s="406"/>
      <c r="PGG80" s="406"/>
      <c r="PGH80" s="406"/>
      <c r="PGI80" s="406"/>
      <c r="PGJ80" s="406"/>
      <c r="PGK80" s="406"/>
      <c r="PGL80" s="406"/>
      <c r="PGM80" s="406"/>
      <c r="PGN80" s="406"/>
      <c r="PGO80" s="406"/>
      <c r="PGP80" s="406"/>
      <c r="PGQ80" s="406"/>
      <c r="PGR80" s="406"/>
      <c r="PGS80" s="406"/>
      <c r="PGT80" s="406"/>
      <c r="PGU80" s="406"/>
      <c r="PGV80" s="406"/>
      <c r="PGW80" s="406"/>
      <c r="PGX80" s="406"/>
      <c r="PGY80" s="406"/>
      <c r="PGZ80" s="406"/>
      <c r="PHA80" s="406"/>
      <c r="PHB80" s="406"/>
      <c r="PHC80" s="406"/>
      <c r="PHD80" s="406"/>
      <c r="PHE80" s="406"/>
      <c r="PHF80" s="406"/>
      <c r="PHG80" s="406"/>
      <c r="PHH80" s="406"/>
      <c r="PHI80" s="406"/>
      <c r="PHJ80" s="406"/>
      <c r="PHK80" s="406"/>
      <c r="PHL80" s="406"/>
      <c r="PHM80" s="406"/>
      <c r="PHN80" s="406"/>
      <c r="PHO80" s="406"/>
      <c r="PHP80" s="406"/>
      <c r="PHQ80" s="406"/>
      <c r="PHR80" s="406"/>
      <c r="PHS80" s="406"/>
      <c r="PHT80" s="406"/>
      <c r="PHU80" s="406"/>
      <c r="PHV80" s="406"/>
      <c r="PHW80" s="406"/>
      <c r="PHX80" s="406"/>
      <c r="PHY80" s="406"/>
      <c r="PHZ80" s="406"/>
      <c r="PIA80" s="406"/>
      <c r="PIB80" s="406"/>
      <c r="PIC80" s="406"/>
      <c r="PID80" s="406"/>
      <c r="PIE80" s="406"/>
      <c r="PIF80" s="406"/>
      <c r="PIG80" s="406"/>
      <c r="PIH80" s="406"/>
      <c r="PII80" s="406"/>
      <c r="PIJ80" s="406"/>
      <c r="PIK80" s="406"/>
      <c r="PIL80" s="406"/>
      <c r="PIM80" s="406"/>
      <c r="PIN80" s="406"/>
      <c r="PIO80" s="406"/>
      <c r="PIP80" s="406"/>
      <c r="PIQ80" s="406"/>
      <c r="PIR80" s="406"/>
      <c r="PIS80" s="406"/>
      <c r="PIT80" s="406"/>
      <c r="PIU80" s="406"/>
      <c r="PIV80" s="406"/>
      <c r="PIW80" s="406"/>
      <c r="PIX80" s="406"/>
      <c r="PIY80" s="406"/>
      <c r="PIZ80" s="406"/>
      <c r="PJA80" s="406"/>
      <c r="PJB80" s="406"/>
      <c r="PJC80" s="406"/>
      <c r="PJD80" s="406"/>
      <c r="PJE80" s="406"/>
      <c r="PJF80" s="406"/>
      <c r="PJG80" s="406"/>
      <c r="PJH80" s="406"/>
      <c r="PJI80" s="406"/>
      <c r="PJJ80" s="406"/>
      <c r="PJK80" s="406"/>
      <c r="PJL80" s="406"/>
      <c r="PJM80" s="406"/>
      <c r="PJN80" s="406"/>
      <c r="PJO80" s="406"/>
      <c r="PJP80" s="406"/>
      <c r="PJQ80" s="406"/>
      <c r="PJR80" s="406"/>
      <c r="PJS80" s="406"/>
      <c r="PJT80" s="406"/>
      <c r="PJU80" s="406"/>
      <c r="PJV80" s="406"/>
      <c r="PJW80" s="406"/>
      <c r="PJX80" s="406"/>
      <c r="PJY80" s="406"/>
      <c r="PJZ80" s="406"/>
      <c r="PKA80" s="406"/>
      <c r="PKB80" s="406"/>
      <c r="PKC80" s="406"/>
      <c r="PKD80" s="406"/>
      <c r="PKE80" s="406"/>
      <c r="PKF80" s="406"/>
      <c r="PKG80" s="406"/>
      <c r="PKH80" s="406"/>
      <c r="PKI80" s="406"/>
      <c r="PKJ80" s="406"/>
      <c r="PKK80" s="406"/>
      <c r="PKL80" s="406"/>
      <c r="PKM80" s="406"/>
      <c r="PKN80" s="406"/>
      <c r="PKO80" s="406"/>
      <c r="PKP80" s="406"/>
      <c r="PKQ80" s="406"/>
      <c r="PKR80" s="406"/>
      <c r="PKS80" s="406"/>
      <c r="PKT80" s="406"/>
      <c r="PKU80" s="406"/>
      <c r="PKV80" s="406"/>
      <c r="PKW80" s="406"/>
      <c r="PKX80" s="406"/>
      <c r="PKY80" s="406"/>
      <c r="PKZ80" s="406"/>
      <c r="PLA80" s="406"/>
      <c r="PLB80" s="406"/>
      <c r="PLC80" s="406"/>
      <c r="PLD80" s="406"/>
      <c r="PLE80" s="406"/>
      <c r="PLF80" s="406"/>
      <c r="PLG80" s="406"/>
      <c r="PLH80" s="406"/>
      <c r="PLI80" s="406"/>
      <c r="PLJ80" s="406"/>
      <c r="PLK80" s="406"/>
      <c r="PLL80" s="406"/>
      <c r="PLM80" s="406"/>
      <c r="PLN80" s="406"/>
      <c r="PLO80" s="406"/>
      <c r="PLP80" s="406"/>
      <c r="PLQ80" s="406"/>
      <c r="PLR80" s="406"/>
      <c r="PLS80" s="406"/>
      <c r="PLT80" s="406"/>
      <c r="PLU80" s="406"/>
      <c r="PLV80" s="406"/>
      <c r="PLW80" s="406"/>
      <c r="PLX80" s="406"/>
      <c r="PLY80" s="406"/>
      <c r="PLZ80" s="406"/>
      <c r="PMA80" s="406"/>
      <c r="PMB80" s="406"/>
      <c r="PMC80" s="406"/>
      <c r="PMD80" s="406"/>
      <c r="PME80" s="406"/>
      <c r="PMF80" s="406"/>
      <c r="PMG80" s="406"/>
      <c r="PMH80" s="406"/>
      <c r="PMI80" s="406"/>
      <c r="PMJ80" s="406"/>
      <c r="PMK80" s="406"/>
      <c r="PML80" s="406"/>
      <c r="PMM80" s="406"/>
      <c r="PMN80" s="406"/>
      <c r="PMO80" s="406"/>
      <c r="PMP80" s="406"/>
      <c r="PMQ80" s="406"/>
      <c r="PMR80" s="406"/>
      <c r="PMS80" s="406"/>
      <c r="PMT80" s="406"/>
      <c r="PMU80" s="406"/>
      <c r="PMV80" s="406"/>
      <c r="PMW80" s="406"/>
      <c r="PMX80" s="406"/>
      <c r="PMY80" s="406"/>
      <c r="PMZ80" s="406"/>
      <c r="PNA80" s="406"/>
      <c r="PNB80" s="406"/>
      <c r="PNC80" s="406"/>
      <c r="PND80" s="406"/>
      <c r="PNE80" s="406"/>
      <c r="PNF80" s="406"/>
      <c r="PNG80" s="406"/>
      <c r="PNH80" s="406"/>
      <c r="PNI80" s="406"/>
      <c r="PNJ80" s="406"/>
      <c r="PNK80" s="406"/>
      <c r="PNL80" s="406"/>
      <c r="PNM80" s="406"/>
      <c r="PNN80" s="406"/>
      <c r="PNO80" s="406"/>
      <c r="PNP80" s="406"/>
      <c r="PNQ80" s="406"/>
      <c r="PNR80" s="406"/>
      <c r="PNS80" s="406"/>
      <c r="PNT80" s="406"/>
      <c r="PNU80" s="406"/>
      <c r="PNV80" s="406"/>
      <c r="PNW80" s="406"/>
      <c r="PNX80" s="406"/>
      <c r="PNY80" s="406"/>
      <c r="PNZ80" s="406"/>
      <c r="POA80" s="406"/>
      <c r="POB80" s="406"/>
      <c r="POC80" s="406"/>
      <c r="POD80" s="406"/>
      <c r="POE80" s="406"/>
      <c r="POF80" s="406"/>
      <c r="POG80" s="406"/>
      <c r="POH80" s="406"/>
      <c r="POI80" s="406"/>
      <c r="POJ80" s="406"/>
      <c r="POK80" s="406"/>
      <c r="POL80" s="406"/>
      <c r="POM80" s="406"/>
      <c r="PON80" s="406"/>
      <c r="POO80" s="406"/>
      <c r="POP80" s="406"/>
      <c r="POQ80" s="406"/>
      <c r="POR80" s="406"/>
      <c r="POS80" s="406"/>
      <c r="POT80" s="406"/>
      <c r="POU80" s="406"/>
      <c r="POV80" s="406"/>
      <c r="POW80" s="406"/>
      <c r="POX80" s="406"/>
      <c r="POY80" s="406"/>
      <c r="POZ80" s="406"/>
      <c r="PPA80" s="406"/>
      <c r="PPB80" s="406"/>
      <c r="PPC80" s="406"/>
      <c r="PPD80" s="406"/>
      <c r="PPE80" s="406"/>
      <c r="PPF80" s="406"/>
      <c r="PPG80" s="406"/>
      <c r="PPH80" s="406"/>
      <c r="PPI80" s="406"/>
      <c r="PPJ80" s="406"/>
      <c r="PPK80" s="406"/>
      <c r="PPL80" s="406"/>
      <c r="PPM80" s="406"/>
      <c r="PPN80" s="406"/>
      <c r="PPO80" s="406"/>
      <c r="PPP80" s="406"/>
      <c r="PPQ80" s="406"/>
      <c r="PPR80" s="406"/>
      <c r="PPS80" s="406"/>
      <c r="PPT80" s="406"/>
      <c r="PPU80" s="406"/>
      <c r="PPV80" s="406"/>
      <c r="PPW80" s="406"/>
      <c r="PPX80" s="406"/>
      <c r="PPY80" s="406"/>
      <c r="PPZ80" s="406"/>
      <c r="PQA80" s="406"/>
      <c r="PQB80" s="406"/>
      <c r="PQC80" s="406"/>
      <c r="PQD80" s="406"/>
      <c r="PQE80" s="406"/>
      <c r="PQF80" s="406"/>
      <c r="PQG80" s="406"/>
      <c r="PQH80" s="406"/>
      <c r="PQI80" s="406"/>
      <c r="PQJ80" s="406"/>
      <c r="PQK80" s="406"/>
      <c r="PQL80" s="406"/>
      <c r="PQM80" s="406"/>
      <c r="PQN80" s="406"/>
      <c r="PQO80" s="406"/>
      <c r="PQP80" s="406"/>
      <c r="PQQ80" s="406"/>
      <c r="PQR80" s="406"/>
      <c r="PQS80" s="406"/>
      <c r="PQT80" s="406"/>
      <c r="PQU80" s="406"/>
      <c r="PQV80" s="406"/>
      <c r="PQW80" s="406"/>
      <c r="PQX80" s="406"/>
      <c r="PQY80" s="406"/>
      <c r="PQZ80" s="406"/>
      <c r="PRA80" s="406"/>
      <c r="PRB80" s="406"/>
      <c r="PRC80" s="406"/>
      <c r="PRD80" s="406"/>
      <c r="PRE80" s="406"/>
      <c r="PRF80" s="406"/>
      <c r="PRG80" s="406"/>
      <c r="PRH80" s="406"/>
      <c r="PRI80" s="406"/>
      <c r="PRJ80" s="406"/>
      <c r="PRK80" s="406"/>
      <c r="PRL80" s="406"/>
      <c r="PRM80" s="406"/>
      <c r="PRN80" s="406"/>
      <c r="PRO80" s="406"/>
      <c r="PRP80" s="406"/>
      <c r="PRQ80" s="406"/>
      <c r="PRR80" s="406"/>
      <c r="PRS80" s="406"/>
      <c r="PRT80" s="406"/>
      <c r="PRU80" s="406"/>
      <c r="PRV80" s="406"/>
      <c r="PRW80" s="406"/>
      <c r="PRX80" s="406"/>
      <c r="PRY80" s="406"/>
      <c r="PRZ80" s="406"/>
      <c r="PSA80" s="406"/>
      <c r="PSB80" s="406"/>
      <c r="PSC80" s="406"/>
      <c r="PSD80" s="406"/>
      <c r="PSE80" s="406"/>
      <c r="PSF80" s="406"/>
      <c r="PSG80" s="406"/>
      <c r="PSH80" s="406"/>
      <c r="PSI80" s="406"/>
      <c r="PSJ80" s="406"/>
      <c r="PSK80" s="406"/>
      <c r="PSL80" s="406"/>
      <c r="PSM80" s="406"/>
      <c r="PSN80" s="406"/>
      <c r="PSO80" s="406"/>
      <c r="PSP80" s="406"/>
      <c r="PSQ80" s="406"/>
      <c r="PSR80" s="406"/>
      <c r="PSS80" s="406"/>
      <c r="PST80" s="406"/>
      <c r="PSU80" s="406"/>
      <c r="PSV80" s="406"/>
      <c r="PSW80" s="406"/>
      <c r="PSX80" s="406"/>
      <c r="PSY80" s="406"/>
      <c r="PSZ80" s="406"/>
      <c r="PTA80" s="406"/>
      <c r="PTB80" s="406"/>
      <c r="PTC80" s="406"/>
      <c r="PTD80" s="406"/>
      <c r="PTE80" s="406"/>
      <c r="PTF80" s="406"/>
      <c r="PTG80" s="406"/>
      <c r="PTH80" s="406"/>
      <c r="PTI80" s="406"/>
      <c r="PTJ80" s="406"/>
      <c r="PTK80" s="406"/>
      <c r="PTL80" s="406"/>
      <c r="PTM80" s="406"/>
      <c r="PTN80" s="406"/>
      <c r="PTO80" s="406"/>
      <c r="PTP80" s="406"/>
      <c r="PTQ80" s="406"/>
      <c r="PTR80" s="406"/>
      <c r="PTS80" s="406"/>
      <c r="PTT80" s="406"/>
      <c r="PTU80" s="406"/>
      <c r="PTV80" s="406"/>
      <c r="PTW80" s="406"/>
      <c r="PTX80" s="406"/>
      <c r="PTY80" s="406"/>
      <c r="PTZ80" s="406"/>
      <c r="PUA80" s="406"/>
      <c r="PUB80" s="406"/>
      <c r="PUC80" s="406"/>
      <c r="PUD80" s="406"/>
      <c r="PUE80" s="406"/>
      <c r="PUF80" s="406"/>
      <c r="PUG80" s="406"/>
      <c r="PUH80" s="406"/>
      <c r="PUI80" s="406"/>
      <c r="PUJ80" s="406"/>
      <c r="PUK80" s="406"/>
      <c r="PUL80" s="406"/>
      <c r="PUM80" s="406"/>
      <c r="PUN80" s="406"/>
      <c r="PUO80" s="406"/>
      <c r="PUP80" s="406"/>
      <c r="PUQ80" s="406"/>
      <c r="PUR80" s="406"/>
      <c r="PUS80" s="406"/>
      <c r="PUT80" s="406"/>
      <c r="PUU80" s="406"/>
      <c r="PUV80" s="406"/>
      <c r="PUW80" s="406"/>
      <c r="PUX80" s="406"/>
      <c r="PUY80" s="406"/>
      <c r="PUZ80" s="406"/>
      <c r="PVA80" s="406"/>
      <c r="PVB80" s="406"/>
      <c r="PVC80" s="406"/>
      <c r="PVD80" s="406"/>
      <c r="PVE80" s="406"/>
      <c r="PVF80" s="406"/>
      <c r="PVG80" s="406"/>
      <c r="PVH80" s="406"/>
      <c r="PVI80" s="406"/>
      <c r="PVJ80" s="406"/>
      <c r="PVK80" s="406"/>
      <c r="PVL80" s="406"/>
      <c r="PVM80" s="406"/>
      <c r="PVN80" s="406"/>
      <c r="PVO80" s="406"/>
      <c r="PVP80" s="406"/>
      <c r="PVQ80" s="406"/>
      <c r="PVR80" s="406"/>
      <c r="PVS80" s="406"/>
      <c r="PVT80" s="406"/>
      <c r="PVU80" s="406"/>
      <c r="PVV80" s="406"/>
      <c r="PVW80" s="406"/>
      <c r="PVX80" s="406"/>
      <c r="PVY80" s="406"/>
      <c r="PVZ80" s="406"/>
      <c r="PWA80" s="406"/>
      <c r="PWB80" s="406"/>
      <c r="PWC80" s="406"/>
      <c r="PWD80" s="406"/>
      <c r="PWE80" s="406"/>
      <c r="PWF80" s="406"/>
      <c r="PWG80" s="406"/>
      <c r="PWH80" s="406"/>
      <c r="PWI80" s="406"/>
      <c r="PWJ80" s="406"/>
      <c r="PWK80" s="406"/>
      <c r="PWL80" s="406"/>
      <c r="PWM80" s="406"/>
      <c r="PWN80" s="406"/>
      <c r="PWO80" s="406"/>
      <c r="PWP80" s="406"/>
      <c r="PWQ80" s="406"/>
      <c r="PWR80" s="406"/>
      <c r="PWS80" s="406"/>
      <c r="PWT80" s="406"/>
      <c r="PWU80" s="406"/>
      <c r="PWV80" s="406"/>
      <c r="PWW80" s="406"/>
      <c r="PWX80" s="406"/>
      <c r="PWY80" s="406"/>
      <c r="PWZ80" s="406"/>
      <c r="PXA80" s="406"/>
      <c r="PXB80" s="406"/>
      <c r="PXC80" s="406"/>
      <c r="PXD80" s="406"/>
      <c r="PXE80" s="406"/>
      <c r="PXF80" s="406"/>
      <c r="PXG80" s="406"/>
      <c r="PXH80" s="406"/>
      <c r="PXI80" s="406"/>
      <c r="PXJ80" s="406"/>
      <c r="PXK80" s="406"/>
      <c r="PXL80" s="406"/>
      <c r="PXM80" s="406"/>
      <c r="PXN80" s="406"/>
      <c r="PXO80" s="406"/>
      <c r="PXP80" s="406"/>
      <c r="PXQ80" s="406"/>
      <c r="PXR80" s="406"/>
      <c r="PXS80" s="406"/>
      <c r="PXT80" s="406"/>
      <c r="PXU80" s="406"/>
      <c r="PXV80" s="406"/>
      <c r="PXW80" s="406"/>
      <c r="PXX80" s="406"/>
      <c r="PXY80" s="406"/>
      <c r="PXZ80" s="406"/>
      <c r="PYA80" s="406"/>
      <c r="PYB80" s="406"/>
      <c r="PYC80" s="406"/>
      <c r="PYD80" s="406"/>
      <c r="PYE80" s="406"/>
      <c r="PYF80" s="406"/>
      <c r="PYG80" s="406"/>
      <c r="PYH80" s="406"/>
      <c r="PYI80" s="406"/>
      <c r="PYJ80" s="406"/>
      <c r="PYK80" s="406"/>
      <c r="PYL80" s="406"/>
      <c r="PYM80" s="406"/>
      <c r="PYN80" s="406"/>
      <c r="PYO80" s="406"/>
      <c r="PYP80" s="406"/>
      <c r="PYQ80" s="406"/>
      <c r="PYR80" s="406"/>
      <c r="PYS80" s="406"/>
      <c r="PYT80" s="406"/>
      <c r="PYU80" s="406"/>
      <c r="PYV80" s="406"/>
      <c r="PYW80" s="406"/>
      <c r="PYX80" s="406"/>
      <c r="PYY80" s="406"/>
      <c r="PYZ80" s="406"/>
      <c r="PZA80" s="406"/>
      <c r="PZB80" s="406"/>
      <c r="PZC80" s="406"/>
      <c r="PZD80" s="406"/>
      <c r="PZE80" s="406"/>
      <c r="PZF80" s="406"/>
      <c r="PZG80" s="406"/>
      <c r="PZH80" s="406"/>
      <c r="PZI80" s="406"/>
      <c r="PZJ80" s="406"/>
      <c r="PZK80" s="406"/>
      <c r="PZL80" s="406"/>
      <c r="PZM80" s="406"/>
      <c r="PZN80" s="406"/>
      <c r="PZO80" s="406"/>
      <c r="PZP80" s="406"/>
      <c r="PZQ80" s="406"/>
      <c r="PZR80" s="406"/>
      <c r="PZS80" s="406"/>
      <c r="PZT80" s="406"/>
      <c r="PZU80" s="406"/>
      <c r="PZV80" s="406"/>
      <c r="PZW80" s="406"/>
      <c r="PZX80" s="406"/>
      <c r="PZY80" s="406"/>
      <c r="PZZ80" s="406"/>
      <c r="QAA80" s="406"/>
      <c r="QAB80" s="406"/>
      <c r="QAC80" s="406"/>
      <c r="QAD80" s="406"/>
      <c r="QAE80" s="406"/>
      <c r="QAF80" s="406"/>
      <c r="QAG80" s="406"/>
      <c r="QAH80" s="406"/>
      <c r="QAI80" s="406"/>
      <c r="QAJ80" s="406"/>
      <c r="QAK80" s="406"/>
      <c r="QAL80" s="406"/>
      <c r="QAM80" s="406"/>
      <c r="QAN80" s="406"/>
      <c r="QAO80" s="406"/>
      <c r="QAP80" s="406"/>
      <c r="QAQ80" s="406"/>
      <c r="QAR80" s="406"/>
      <c r="QAS80" s="406"/>
      <c r="QAT80" s="406"/>
      <c r="QAU80" s="406"/>
      <c r="QAV80" s="406"/>
      <c r="QAW80" s="406"/>
      <c r="QAX80" s="406"/>
      <c r="QAY80" s="406"/>
      <c r="QAZ80" s="406"/>
      <c r="QBA80" s="406"/>
      <c r="QBB80" s="406"/>
      <c r="QBC80" s="406"/>
      <c r="QBD80" s="406"/>
      <c r="QBE80" s="406"/>
      <c r="QBF80" s="406"/>
      <c r="QBG80" s="406"/>
      <c r="QBH80" s="406"/>
      <c r="QBI80" s="406"/>
      <c r="QBJ80" s="406"/>
      <c r="QBK80" s="406"/>
      <c r="QBL80" s="406"/>
      <c r="QBM80" s="406"/>
      <c r="QBN80" s="406"/>
      <c r="QBO80" s="406"/>
      <c r="QBP80" s="406"/>
      <c r="QBQ80" s="406"/>
      <c r="QBR80" s="406"/>
      <c r="QBS80" s="406"/>
      <c r="QBT80" s="406"/>
      <c r="QBU80" s="406"/>
      <c r="QBV80" s="406"/>
      <c r="QBW80" s="406"/>
      <c r="QBX80" s="406"/>
      <c r="QBY80" s="406"/>
      <c r="QBZ80" s="406"/>
      <c r="QCA80" s="406"/>
      <c r="QCB80" s="406"/>
      <c r="QCC80" s="406"/>
      <c r="QCD80" s="406"/>
      <c r="QCE80" s="406"/>
      <c r="QCF80" s="406"/>
      <c r="QCG80" s="406"/>
      <c r="QCH80" s="406"/>
      <c r="QCI80" s="406"/>
      <c r="QCJ80" s="406"/>
      <c r="QCK80" s="406"/>
      <c r="QCL80" s="406"/>
      <c r="QCM80" s="406"/>
      <c r="QCN80" s="406"/>
      <c r="QCO80" s="406"/>
      <c r="QCP80" s="406"/>
      <c r="QCQ80" s="406"/>
      <c r="QCR80" s="406"/>
      <c r="QCS80" s="406"/>
      <c r="QCT80" s="406"/>
      <c r="QCU80" s="406"/>
      <c r="QCV80" s="406"/>
      <c r="QCW80" s="406"/>
      <c r="QCX80" s="406"/>
      <c r="QCY80" s="406"/>
      <c r="QCZ80" s="406"/>
      <c r="QDA80" s="406"/>
      <c r="QDB80" s="406"/>
      <c r="QDC80" s="406"/>
      <c r="QDD80" s="406"/>
      <c r="QDE80" s="406"/>
      <c r="QDF80" s="406"/>
      <c r="QDG80" s="406"/>
      <c r="QDH80" s="406"/>
      <c r="QDI80" s="406"/>
      <c r="QDJ80" s="406"/>
      <c r="QDK80" s="406"/>
      <c r="QDL80" s="406"/>
      <c r="QDM80" s="406"/>
      <c r="QDN80" s="406"/>
      <c r="QDO80" s="406"/>
      <c r="QDP80" s="406"/>
      <c r="QDQ80" s="406"/>
      <c r="QDR80" s="406"/>
      <c r="QDS80" s="406"/>
      <c r="QDT80" s="406"/>
      <c r="QDU80" s="406"/>
      <c r="QDV80" s="406"/>
      <c r="QDW80" s="406"/>
      <c r="QDX80" s="406"/>
      <c r="QDY80" s="406"/>
      <c r="QDZ80" s="406"/>
      <c r="QEA80" s="406"/>
      <c r="QEB80" s="406"/>
      <c r="QEC80" s="406"/>
      <c r="QED80" s="406"/>
      <c r="QEE80" s="406"/>
      <c r="QEF80" s="406"/>
      <c r="QEG80" s="406"/>
      <c r="QEH80" s="406"/>
      <c r="QEI80" s="406"/>
      <c r="QEJ80" s="406"/>
      <c r="QEK80" s="406"/>
      <c r="QEL80" s="406"/>
      <c r="QEM80" s="406"/>
      <c r="QEN80" s="406"/>
      <c r="QEO80" s="406"/>
      <c r="QEP80" s="406"/>
      <c r="QEQ80" s="406"/>
      <c r="QER80" s="406"/>
      <c r="QES80" s="406"/>
      <c r="QET80" s="406"/>
      <c r="QEU80" s="406"/>
      <c r="QEV80" s="406"/>
      <c r="QEW80" s="406"/>
      <c r="QEX80" s="406"/>
      <c r="QEY80" s="406"/>
      <c r="QEZ80" s="406"/>
      <c r="QFA80" s="406"/>
      <c r="QFB80" s="406"/>
      <c r="QFC80" s="406"/>
      <c r="QFD80" s="406"/>
      <c r="QFE80" s="406"/>
      <c r="QFF80" s="406"/>
      <c r="QFG80" s="406"/>
      <c r="QFH80" s="406"/>
      <c r="QFI80" s="406"/>
      <c r="QFJ80" s="406"/>
      <c r="QFK80" s="406"/>
      <c r="QFL80" s="406"/>
      <c r="QFM80" s="406"/>
      <c r="QFN80" s="406"/>
      <c r="QFO80" s="406"/>
      <c r="QFP80" s="406"/>
      <c r="QFQ80" s="406"/>
      <c r="QFR80" s="406"/>
      <c r="QFS80" s="406"/>
      <c r="QFT80" s="406"/>
      <c r="QFU80" s="406"/>
      <c r="QFV80" s="406"/>
      <c r="QFW80" s="406"/>
      <c r="QFX80" s="406"/>
      <c r="QFY80" s="406"/>
      <c r="QFZ80" s="406"/>
      <c r="QGA80" s="406"/>
      <c r="QGB80" s="406"/>
      <c r="QGC80" s="406"/>
      <c r="QGD80" s="406"/>
      <c r="QGE80" s="406"/>
      <c r="QGF80" s="406"/>
      <c r="QGG80" s="406"/>
      <c r="QGH80" s="406"/>
      <c r="QGI80" s="406"/>
      <c r="QGJ80" s="406"/>
      <c r="QGK80" s="406"/>
      <c r="QGL80" s="406"/>
      <c r="QGM80" s="406"/>
      <c r="QGN80" s="406"/>
      <c r="QGO80" s="406"/>
      <c r="QGP80" s="406"/>
      <c r="QGQ80" s="406"/>
      <c r="QGR80" s="406"/>
      <c r="QGS80" s="406"/>
      <c r="QGT80" s="406"/>
      <c r="QGU80" s="406"/>
      <c r="QGV80" s="406"/>
      <c r="QGW80" s="406"/>
      <c r="QGX80" s="406"/>
      <c r="QGY80" s="406"/>
      <c r="QGZ80" s="406"/>
      <c r="QHA80" s="406"/>
      <c r="QHB80" s="406"/>
      <c r="QHC80" s="406"/>
      <c r="QHD80" s="406"/>
      <c r="QHE80" s="406"/>
      <c r="QHF80" s="406"/>
      <c r="QHG80" s="406"/>
      <c r="QHH80" s="406"/>
      <c r="QHI80" s="406"/>
      <c r="QHJ80" s="406"/>
      <c r="QHK80" s="406"/>
      <c r="QHL80" s="406"/>
      <c r="QHM80" s="406"/>
      <c r="QHN80" s="406"/>
      <c r="QHO80" s="406"/>
      <c r="QHP80" s="406"/>
      <c r="QHQ80" s="406"/>
      <c r="QHR80" s="406"/>
      <c r="QHS80" s="406"/>
      <c r="QHT80" s="406"/>
      <c r="QHU80" s="406"/>
      <c r="QHV80" s="406"/>
      <c r="QHW80" s="406"/>
      <c r="QHX80" s="406"/>
      <c r="QHY80" s="406"/>
      <c r="QHZ80" s="406"/>
      <c r="QIA80" s="406"/>
      <c r="QIB80" s="406"/>
      <c r="QIC80" s="406"/>
      <c r="QID80" s="406"/>
      <c r="QIE80" s="406"/>
      <c r="QIF80" s="406"/>
      <c r="QIG80" s="406"/>
      <c r="QIH80" s="406"/>
      <c r="QII80" s="406"/>
      <c r="QIJ80" s="406"/>
      <c r="QIK80" s="406"/>
      <c r="QIL80" s="406"/>
      <c r="QIM80" s="406"/>
      <c r="QIN80" s="406"/>
      <c r="QIO80" s="406"/>
      <c r="QIP80" s="406"/>
      <c r="QIQ80" s="406"/>
      <c r="QIR80" s="406"/>
      <c r="QIS80" s="406"/>
      <c r="QIT80" s="406"/>
      <c r="QIU80" s="406"/>
      <c r="QIV80" s="406"/>
      <c r="QIW80" s="406"/>
      <c r="QIX80" s="406"/>
      <c r="QIY80" s="406"/>
      <c r="QIZ80" s="406"/>
      <c r="QJA80" s="406"/>
      <c r="QJB80" s="406"/>
      <c r="QJC80" s="406"/>
      <c r="QJD80" s="406"/>
      <c r="QJE80" s="406"/>
      <c r="QJF80" s="406"/>
      <c r="QJG80" s="406"/>
      <c r="QJH80" s="406"/>
      <c r="QJI80" s="406"/>
      <c r="QJJ80" s="406"/>
      <c r="QJK80" s="406"/>
      <c r="QJL80" s="406"/>
      <c r="QJM80" s="406"/>
      <c r="QJN80" s="406"/>
      <c r="QJO80" s="406"/>
      <c r="QJP80" s="406"/>
      <c r="QJQ80" s="406"/>
      <c r="QJR80" s="406"/>
      <c r="QJS80" s="406"/>
      <c r="QJT80" s="406"/>
      <c r="QJU80" s="406"/>
      <c r="QJV80" s="406"/>
      <c r="QJW80" s="406"/>
      <c r="QJX80" s="406"/>
      <c r="QJY80" s="406"/>
      <c r="QJZ80" s="406"/>
      <c r="QKA80" s="406"/>
      <c r="QKB80" s="406"/>
      <c r="QKC80" s="406"/>
      <c r="QKD80" s="406"/>
      <c r="QKE80" s="406"/>
      <c r="QKF80" s="406"/>
      <c r="QKG80" s="406"/>
      <c r="QKH80" s="406"/>
      <c r="QKI80" s="406"/>
      <c r="QKJ80" s="406"/>
      <c r="QKK80" s="406"/>
      <c r="QKL80" s="406"/>
      <c r="QKM80" s="406"/>
      <c r="QKN80" s="406"/>
      <c r="QKO80" s="406"/>
      <c r="QKP80" s="406"/>
      <c r="QKQ80" s="406"/>
      <c r="QKR80" s="406"/>
      <c r="QKS80" s="406"/>
      <c r="QKT80" s="406"/>
      <c r="QKU80" s="406"/>
      <c r="QKV80" s="406"/>
      <c r="QKW80" s="406"/>
      <c r="QKX80" s="406"/>
      <c r="QKY80" s="406"/>
      <c r="QKZ80" s="406"/>
      <c r="QLA80" s="406"/>
      <c r="QLB80" s="406"/>
      <c r="QLC80" s="406"/>
      <c r="QLD80" s="406"/>
      <c r="QLE80" s="406"/>
      <c r="QLF80" s="406"/>
      <c r="QLG80" s="406"/>
      <c r="QLH80" s="406"/>
      <c r="QLI80" s="406"/>
      <c r="QLJ80" s="406"/>
      <c r="QLK80" s="406"/>
      <c r="QLL80" s="406"/>
      <c r="QLM80" s="406"/>
      <c r="QLN80" s="406"/>
      <c r="QLO80" s="406"/>
      <c r="QLP80" s="406"/>
      <c r="QLQ80" s="406"/>
      <c r="QLR80" s="406"/>
      <c r="QLS80" s="406"/>
      <c r="QLT80" s="406"/>
      <c r="QLU80" s="406"/>
      <c r="QLV80" s="406"/>
      <c r="QLW80" s="406"/>
      <c r="QLX80" s="406"/>
      <c r="QLY80" s="406"/>
      <c r="QLZ80" s="406"/>
      <c r="QMA80" s="406"/>
      <c r="QMB80" s="406"/>
      <c r="QMC80" s="406"/>
      <c r="QMD80" s="406"/>
      <c r="QME80" s="406"/>
      <c r="QMF80" s="406"/>
      <c r="QMG80" s="406"/>
      <c r="QMH80" s="406"/>
      <c r="QMI80" s="406"/>
      <c r="QMJ80" s="406"/>
      <c r="QMK80" s="406"/>
      <c r="QML80" s="406"/>
      <c r="QMM80" s="406"/>
      <c r="QMN80" s="406"/>
      <c r="QMO80" s="406"/>
      <c r="QMP80" s="406"/>
      <c r="QMQ80" s="406"/>
      <c r="QMR80" s="406"/>
      <c r="QMS80" s="406"/>
      <c r="QMT80" s="406"/>
      <c r="QMU80" s="406"/>
      <c r="QMV80" s="406"/>
      <c r="QMW80" s="406"/>
      <c r="QMX80" s="406"/>
      <c r="QMY80" s="406"/>
      <c r="QMZ80" s="406"/>
      <c r="QNA80" s="406"/>
      <c r="QNB80" s="406"/>
      <c r="QNC80" s="406"/>
      <c r="QND80" s="406"/>
      <c r="QNE80" s="406"/>
      <c r="QNF80" s="406"/>
      <c r="QNG80" s="406"/>
      <c r="QNH80" s="406"/>
      <c r="QNI80" s="406"/>
      <c r="QNJ80" s="406"/>
      <c r="QNK80" s="406"/>
      <c r="QNL80" s="406"/>
      <c r="QNM80" s="406"/>
      <c r="QNN80" s="406"/>
      <c r="QNO80" s="406"/>
      <c r="QNP80" s="406"/>
      <c r="QNQ80" s="406"/>
      <c r="QNR80" s="406"/>
      <c r="QNS80" s="406"/>
      <c r="QNT80" s="406"/>
      <c r="QNU80" s="406"/>
      <c r="QNV80" s="406"/>
      <c r="QNW80" s="406"/>
      <c r="QNX80" s="406"/>
      <c r="QNY80" s="406"/>
      <c r="QNZ80" s="406"/>
      <c r="QOA80" s="406"/>
      <c r="QOB80" s="406"/>
      <c r="QOC80" s="406"/>
      <c r="QOD80" s="406"/>
      <c r="QOE80" s="406"/>
      <c r="QOF80" s="406"/>
      <c r="QOG80" s="406"/>
      <c r="QOH80" s="406"/>
      <c r="QOI80" s="406"/>
      <c r="QOJ80" s="406"/>
      <c r="QOK80" s="406"/>
      <c r="QOL80" s="406"/>
      <c r="QOM80" s="406"/>
      <c r="QON80" s="406"/>
      <c r="QOO80" s="406"/>
      <c r="QOP80" s="406"/>
      <c r="QOQ80" s="406"/>
      <c r="QOR80" s="406"/>
      <c r="QOS80" s="406"/>
      <c r="QOT80" s="406"/>
      <c r="QOU80" s="406"/>
      <c r="QOV80" s="406"/>
      <c r="QOW80" s="406"/>
      <c r="QOX80" s="406"/>
      <c r="QOY80" s="406"/>
      <c r="QOZ80" s="406"/>
      <c r="QPA80" s="406"/>
      <c r="QPB80" s="406"/>
      <c r="QPC80" s="406"/>
      <c r="QPD80" s="406"/>
      <c r="QPE80" s="406"/>
      <c r="QPF80" s="406"/>
      <c r="QPG80" s="406"/>
      <c r="QPH80" s="406"/>
      <c r="QPI80" s="406"/>
      <c r="QPJ80" s="406"/>
      <c r="QPK80" s="406"/>
      <c r="QPL80" s="406"/>
      <c r="QPM80" s="406"/>
      <c r="QPN80" s="406"/>
      <c r="QPO80" s="406"/>
      <c r="QPP80" s="406"/>
      <c r="QPQ80" s="406"/>
      <c r="QPR80" s="406"/>
      <c r="QPS80" s="406"/>
      <c r="QPT80" s="406"/>
      <c r="QPU80" s="406"/>
      <c r="QPV80" s="406"/>
      <c r="QPW80" s="406"/>
      <c r="QPX80" s="406"/>
      <c r="QPY80" s="406"/>
      <c r="QPZ80" s="406"/>
      <c r="QQA80" s="406"/>
      <c r="QQB80" s="406"/>
      <c r="QQC80" s="406"/>
      <c r="QQD80" s="406"/>
      <c r="QQE80" s="406"/>
      <c r="QQF80" s="406"/>
      <c r="QQG80" s="406"/>
      <c r="QQH80" s="406"/>
      <c r="QQI80" s="406"/>
      <c r="QQJ80" s="406"/>
      <c r="QQK80" s="406"/>
      <c r="QQL80" s="406"/>
      <c r="QQM80" s="406"/>
      <c r="QQN80" s="406"/>
      <c r="QQO80" s="406"/>
      <c r="QQP80" s="406"/>
      <c r="QQQ80" s="406"/>
      <c r="QQR80" s="406"/>
      <c r="QQS80" s="406"/>
      <c r="QQT80" s="406"/>
      <c r="QQU80" s="406"/>
      <c r="QQV80" s="406"/>
      <c r="QQW80" s="406"/>
      <c r="QQX80" s="406"/>
      <c r="QQY80" s="406"/>
      <c r="QQZ80" s="406"/>
      <c r="QRA80" s="406"/>
      <c r="QRB80" s="406"/>
      <c r="QRC80" s="406"/>
      <c r="QRD80" s="406"/>
      <c r="QRE80" s="406"/>
      <c r="QRF80" s="406"/>
      <c r="QRG80" s="406"/>
      <c r="QRH80" s="406"/>
      <c r="QRI80" s="406"/>
      <c r="QRJ80" s="406"/>
      <c r="QRK80" s="406"/>
      <c r="QRL80" s="406"/>
      <c r="QRM80" s="406"/>
      <c r="QRN80" s="406"/>
      <c r="QRO80" s="406"/>
      <c r="QRP80" s="406"/>
      <c r="QRQ80" s="406"/>
      <c r="QRR80" s="406"/>
      <c r="QRS80" s="406"/>
      <c r="QRT80" s="406"/>
      <c r="QRU80" s="406"/>
      <c r="QRV80" s="406"/>
      <c r="QRW80" s="406"/>
      <c r="QRX80" s="406"/>
      <c r="QRY80" s="406"/>
      <c r="QRZ80" s="406"/>
      <c r="QSA80" s="406"/>
      <c r="QSB80" s="406"/>
      <c r="QSC80" s="406"/>
      <c r="QSD80" s="406"/>
      <c r="QSE80" s="406"/>
      <c r="QSF80" s="406"/>
      <c r="QSG80" s="406"/>
      <c r="QSH80" s="406"/>
      <c r="QSI80" s="406"/>
      <c r="QSJ80" s="406"/>
      <c r="QSK80" s="406"/>
      <c r="QSL80" s="406"/>
      <c r="QSM80" s="406"/>
      <c r="QSN80" s="406"/>
      <c r="QSO80" s="406"/>
      <c r="QSP80" s="406"/>
      <c r="QSQ80" s="406"/>
      <c r="QSR80" s="406"/>
      <c r="QSS80" s="406"/>
      <c r="QST80" s="406"/>
      <c r="QSU80" s="406"/>
      <c r="QSV80" s="406"/>
      <c r="QSW80" s="406"/>
      <c r="QSX80" s="406"/>
      <c r="QSY80" s="406"/>
      <c r="QSZ80" s="406"/>
      <c r="QTA80" s="406"/>
      <c r="QTB80" s="406"/>
      <c r="QTC80" s="406"/>
      <c r="QTD80" s="406"/>
      <c r="QTE80" s="406"/>
      <c r="QTF80" s="406"/>
      <c r="QTG80" s="406"/>
      <c r="QTH80" s="406"/>
      <c r="QTI80" s="406"/>
      <c r="QTJ80" s="406"/>
      <c r="QTK80" s="406"/>
      <c r="QTL80" s="406"/>
      <c r="QTM80" s="406"/>
      <c r="QTN80" s="406"/>
      <c r="QTO80" s="406"/>
      <c r="QTP80" s="406"/>
      <c r="QTQ80" s="406"/>
      <c r="QTR80" s="406"/>
      <c r="QTS80" s="406"/>
      <c r="QTT80" s="406"/>
      <c r="QTU80" s="406"/>
      <c r="QTV80" s="406"/>
      <c r="QTW80" s="406"/>
      <c r="QTX80" s="406"/>
      <c r="QTY80" s="406"/>
      <c r="QTZ80" s="406"/>
      <c r="QUA80" s="406"/>
      <c r="QUB80" s="406"/>
      <c r="QUC80" s="406"/>
      <c r="QUD80" s="406"/>
      <c r="QUE80" s="406"/>
      <c r="QUF80" s="406"/>
      <c r="QUG80" s="406"/>
      <c r="QUH80" s="406"/>
      <c r="QUI80" s="406"/>
      <c r="QUJ80" s="406"/>
      <c r="QUK80" s="406"/>
      <c r="QUL80" s="406"/>
      <c r="QUM80" s="406"/>
      <c r="QUN80" s="406"/>
      <c r="QUO80" s="406"/>
      <c r="QUP80" s="406"/>
      <c r="QUQ80" s="406"/>
      <c r="QUR80" s="406"/>
      <c r="QUS80" s="406"/>
      <c r="QUT80" s="406"/>
      <c r="QUU80" s="406"/>
      <c r="QUV80" s="406"/>
      <c r="QUW80" s="406"/>
      <c r="QUX80" s="406"/>
      <c r="QUY80" s="406"/>
      <c r="QUZ80" s="406"/>
      <c r="QVA80" s="406"/>
      <c r="QVB80" s="406"/>
      <c r="QVC80" s="406"/>
      <c r="QVD80" s="406"/>
      <c r="QVE80" s="406"/>
      <c r="QVF80" s="406"/>
      <c r="QVG80" s="406"/>
      <c r="QVH80" s="406"/>
      <c r="QVI80" s="406"/>
      <c r="QVJ80" s="406"/>
      <c r="QVK80" s="406"/>
      <c r="QVL80" s="406"/>
      <c r="QVM80" s="406"/>
      <c r="QVN80" s="406"/>
      <c r="QVO80" s="406"/>
      <c r="QVP80" s="406"/>
      <c r="QVQ80" s="406"/>
      <c r="QVR80" s="406"/>
      <c r="QVS80" s="406"/>
      <c r="QVT80" s="406"/>
      <c r="QVU80" s="406"/>
      <c r="QVV80" s="406"/>
      <c r="QVW80" s="406"/>
      <c r="QVX80" s="406"/>
      <c r="QVY80" s="406"/>
      <c r="QVZ80" s="406"/>
      <c r="QWA80" s="406"/>
      <c r="QWB80" s="406"/>
      <c r="QWC80" s="406"/>
      <c r="QWD80" s="406"/>
      <c r="QWE80" s="406"/>
      <c r="QWF80" s="406"/>
      <c r="QWG80" s="406"/>
      <c r="QWH80" s="406"/>
      <c r="QWI80" s="406"/>
      <c r="QWJ80" s="406"/>
      <c r="QWK80" s="406"/>
      <c r="QWL80" s="406"/>
      <c r="QWM80" s="406"/>
      <c r="QWN80" s="406"/>
      <c r="QWO80" s="406"/>
      <c r="QWP80" s="406"/>
      <c r="QWQ80" s="406"/>
      <c r="QWR80" s="406"/>
      <c r="QWS80" s="406"/>
      <c r="QWT80" s="406"/>
      <c r="QWU80" s="406"/>
      <c r="QWV80" s="406"/>
      <c r="QWW80" s="406"/>
      <c r="QWX80" s="406"/>
      <c r="QWY80" s="406"/>
      <c r="QWZ80" s="406"/>
      <c r="QXA80" s="406"/>
      <c r="QXB80" s="406"/>
      <c r="QXC80" s="406"/>
      <c r="QXD80" s="406"/>
      <c r="QXE80" s="406"/>
      <c r="QXF80" s="406"/>
      <c r="QXG80" s="406"/>
      <c r="QXH80" s="406"/>
      <c r="QXI80" s="406"/>
      <c r="QXJ80" s="406"/>
      <c r="QXK80" s="406"/>
      <c r="QXL80" s="406"/>
      <c r="QXM80" s="406"/>
      <c r="QXN80" s="406"/>
      <c r="QXO80" s="406"/>
      <c r="QXP80" s="406"/>
      <c r="QXQ80" s="406"/>
      <c r="QXR80" s="406"/>
      <c r="QXS80" s="406"/>
      <c r="QXT80" s="406"/>
      <c r="QXU80" s="406"/>
      <c r="QXV80" s="406"/>
      <c r="QXW80" s="406"/>
      <c r="QXX80" s="406"/>
      <c r="QXY80" s="406"/>
      <c r="QXZ80" s="406"/>
      <c r="QYA80" s="406"/>
      <c r="QYB80" s="406"/>
      <c r="QYC80" s="406"/>
      <c r="QYD80" s="406"/>
      <c r="QYE80" s="406"/>
      <c r="QYF80" s="406"/>
      <c r="QYG80" s="406"/>
      <c r="QYH80" s="406"/>
      <c r="QYI80" s="406"/>
      <c r="QYJ80" s="406"/>
      <c r="QYK80" s="406"/>
      <c r="QYL80" s="406"/>
      <c r="QYM80" s="406"/>
      <c r="QYN80" s="406"/>
      <c r="QYO80" s="406"/>
      <c r="QYP80" s="406"/>
      <c r="QYQ80" s="406"/>
      <c r="QYR80" s="406"/>
      <c r="QYS80" s="406"/>
      <c r="QYT80" s="406"/>
      <c r="QYU80" s="406"/>
      <c r="QYV80" s="406"/>
      <c r="QYW80" s="406"/>
      <c r="QYX80" s="406"/>
      <c r="QYY80" s="406"/>
      <c r="QYZ80" s="406"/>
      <c r="QZA80" s="406"/>
      <c r="QZB80" s="406"/>
      <c r="QZC80" s="406"/>
      <c r="QZD80" s="406"/>
      <c r="QZE80" s="406"/>
      <c r="QZF80" s="406"/>
      <c r="QZG80" s="406"/>
      <c r="QZH80" s="406"/>
      <c r="QZI80" s="406"/>
      <c r="QZJ80" s="406"/>
      <c r="QZK80" s="406"/>
      <c r="QZL80" s="406"/>
      <c r="QZM80" s="406"/>
      <c r="QZN80" s="406"/>
      <c r="QZO80" s="406"/>
      <c r="QZP80" s="406"/>
      <c r="QZQ80" s="406"/>
      <c r="QZR80" s="406"/>
      <c r="QZS80" s="406"/>
      <c r="QZT80" s="406"/>
      <c r="QZU80" s="406"/>
      <c r="QZV80" s="406"/>
      <c r="QZW80" s="406"/>
      <c r="QZX80" s="406"/>
      <c r="QZY80" s="406"/>
      <c r="QZZ80" s="406"/>
      <c r="RAA80" s="406"/>
      <c r="RAB80" s="406"/>
      <c r="RAC80" s="406"/>
      <c r="RAD80" s="406"/>
      <c r="RAE80" s="406"/>
      <c r="RAF80" s="406"/>
      <c r="RAG80" s="406"/>
      <c r="RAH80" s="406"/>
      <c r="RAI80" s="406"/>
      <c r="RAJ80" s="406"/>
      <c r="RAK80" s="406"/>
      <c r="RAL80" s="406"/>
      <c r="RAM80" s="406"/>
      <c r="RAN80" s="406"/>
      <c r="RAO80" s="406"/>
      <c r="RAP80" s="406"/>
      <c r="RAQ80" s="406"/>
      <c r="RAR80" s="406"/>
      <c r="RAS80" s="406"/>
      <c r="RAT80" s="406"/>
      <c r="RAU80" s="406"/>
      <c r="RAV80" s="406"/>
      <c r="RAW80" s="406"/>
      <c r="RAX80" s="406"/>
      <c r="RAY80" s="406"/>
      <c r="RAZ80" s="406"/>
      <c r="RBA80" s="406"/>
      <c r="RBB80" s="406"/>
      <c r="RBC80" s="406"/>
      <c r="RBD80" s="406"/>
      <c r="RBE80" s="406"/>
      <c r="RBF80" s="406"/>
      <c r="RBG80" s="406"/>
      <c r="RBH80" s="406"/>
      <c r="RBI80" s="406"/>
      <c r="RBJ80" s="406"/>
      <c r="RBK80" s="406"/>
      <c r="RBL80" s="406"/>
      <c r="RBM80" s="406"/>
      <c r="RBN80" s="406"/>
      <c r="RBO80" s="406"/>
      <c r="RBP80" s="406"/>
      <c r="RBQ80" s="406"/>
      <c r="RBR80" s="406"/>
      <c r="RBS80" s="406"/>
      <c r="RBT80" s="406"/>
      <c r="RBU80" s="406"/>
      <c r="RBV80" s="406"/>
      <c r="RBW80" s="406"/>
      <c r="RBX80" s="406"/>
      <c r="RBY80" s="406"/>
      <c r="RBZ80" s="406"/>
      <c r="RCA80" s="406"/>
      <c r="RCB80" s="406"/>
      <c r="RCC80" s="406"/>
      <c r="RCD80" s="406"/>
      <c r="RCE80" s="406"/>
      <c r="RCF80" s="406"/>
      <c r="RCG80" s="406"/>
      <c r="RCH80" s="406"/>
      <c r="RCI80" s="406"/>
      <c r="RCJ80" s="406"/>
      <c r="RCK80" s="406"/>
      <c r="RCL80" s="406"/>
      <c r="RCM80" s="406"/>
      <c r="RCN80" s="406"/>
      <c r="RCO80" s="406"/>
      <c r="RCP80" s="406"/>
      <c r="RCQ80" s="406"/>
      <c r="RCR80" s="406"/>
      <c r="RCS80" s="406"/>
      <c r="RCT80" s="406"/>
      <c r="RCU80" s="406"/>
      <c r="RCV80" s="406"/>
      <c r="RCW80" s="406"/>
      <c r="RCX80" s="406"/>
      <c r="RCY80" s="406"/>
      <c r="RCZ80" s="406"/>
      <c r="RDA80" s="406"/>
      <c r="RDB80" s="406"/>
      <c r="RDC80" s="406"/>
      <c r="RDD80" s="406"/>
      <c r="RDE80" s="406"/>
      <c r="RDF80" s="406"/>
      <c r="RDG80" s="406"/>
      <c r="RDH80" s="406"/>
      <c r="RDI80" s="406"/>
      <c r="RDJ80" s="406"/>
      <c r="RDK80" s="406"/>
      <c r="RDL80" s="406"/>
      <c r="RDM80" s="406"/>
      <c r="RDN80" s="406"/>
      <c r="RDO80" s="406"/>
      <c r="RDP80" s="406"/>
      <c r="RDQ80" s="406"/>
      <c r="RDR80" s="406"/>
      <c r="RDS80" s="406"/>
      <c r="RDT80" s="406"/>
      <c r="RDU80" s="406"/>
      <c r="RDV80" s="406"/>
      <c r="RDW80" s="406"/>
      <c r="RDX80" s="406"/>
      <c r="RDY80" s="406"/>
      <c r="RDZ80" s="406"/>
      <c r="REA80" s="406"/>
      <c r="REB80" s="406"/>
      <c r="REC80" s="406"/>
      <c r="RED80" s="406"/>
      <c r="REE80" s="406"/>
      <c r="REF80" s="406"/>
      <c r="REG80" s="406"/>
      <c r="REH80" s="406"/>
      <c r="REI80" s="406"/>
      <c r="REJ80" s="406"/>
      <c r="REK80" s="406"/>
      <c r="REL80" s="406"/>
      <c r="REM80" s="406"/>
      <c r="REN80" s="406"/>
      <c r="REO80" s="406"/>
      <c r="REP80" s="406"/>
      <c r="REQ80" s="406"/>
      <c r="RER80" s="406"/>
      <c r="RES80" s="406"/>
      <c r="RET80" s="406"/>
      <c r="REU80" s="406"/>
      <c r="REV80" s="406"/>
      <c r="REW80" s="406"/>
      <c r="REX80" s="406"/>
      <c r="REY80" s="406"/>
      <c r="REZ80" s="406"/>
      <c r="RFA80" s="406"/>
      <c r="RFB80" s="406"/>
      <c r="RFC80" s="406"/>
      <c r="RFD80" s="406"/>
      <c r="RFE80" s="406"/>
      <c r="RFF80" s="406"/>
      <c r="RFG80" s="406"/>
      <c r="RFH80" s="406"/>
      <c r="RFI80" s="406"/>
      <c r="RFJ80" s="406"/>
      <c r="RFK80" s="406"/>
      <c r="RFL80" s="406"/>
      <c r="RFM80" s="406"/>
      <c r="RFN80" s="406"/>
      <c r="RFO80" s="406"/>
      <c r="RFP80" s="406"/>
      <c r="RFQ80" s="406"/>
      <c r="RFR80" s="406"/>
      <c r="RFS80" s="406"/>
      <c r="RFT80" s="406"/>
      <c r="RFU80" s="406"/>
      <c r="RFV80" s="406"/>
      <c r="RFW80" s="406"/>
      <c r="RFX80" s="406"/>
      <c r="RFY80" s="406"/>
      <c r="RFZ80" s="406"/>
      <c r="RGA80" s="406"/>
      <c r="RGB80" s="406"/>
      <c r="RGC80" s="406"/>
      <c r="RGD80" s="406"/>
      <c r="RGE80" s="406"/>
      <c r="RGF80" s="406"/>
      <c r="RGG80" s="406"/>
      <c r="RGH80" s="406"/>
      <c r="RGI80" s="406"/>
      <c r="RGJ80" s="406"/>
      <c r="RGK80" s="406"/>
      <c r="RGL80" s="406"/>
      <c r="RGM80" s="406"/>
      <c r="RGN80" s="406"/>
      <c r="RGO80" s="406"/>
      <c r="RGP80" s="406"/>
      <c r="RGQ80" s="406"/>
      <c r="RGR80" s="406"/>
      <c r="RGS80" s="406"/>
      <c r="RGT80" s="406"/>
      <c r="RGU80" s="406"/>
      <c r="RGV80" s="406"/>
      <c r="RGW80" s="406"/>
      <c r="RGX80" s="406"/>
      <c r="RGY80" s="406"/>
      <c r="RGZ80" s="406"/>
      <c r="RHA80" s="406"/>
      <c r="RHB80" s="406"/>
      <c r="RHC80" s="406"/>
      <c r="RHD80" s="406"/>
      <c r="RHE80" s="406"/>
      <c r="RHF80" s="406"/>
      <c r="RHG80" s="406"/>
      <c r="RHH80" s="406"/>
      <c r="RHI80" s="406"/>
      <c r="RHJ80" s="406"/>
      <c r="RHK80" s="406"/>
      <c r="RHL80" s="406"/>
      <c r="RHM80" s="406"/>
      <c r="RHN80" s="406"/>
      <c r="RHO80" s="406"/>
      <c r="RHP80" s="406"/>
      <c r="RHQ80" s="406"/>
      <c r="RHR80" s="406"/>
      <c r="RHS80" s="406"/>
      <c r="RHT80" s="406"/>
      <c r="RHU80" s="406"/>
      <c r="RHV80" s="406"/>
      <c r="RHW80" s="406"/>
      <c r="RHX80" s="406"/>
      <c r="RHY80" s="406"/>
      <c r="RHZ80" s="406"/>
      <c r="RIA80" s="406"/>
      <c r="RIB80" s="406"/>
      <c r="RIC80" s="406"/>
      <c r="RID80" s="406"/>
      <c r="RIE80" s="406"/>
      <c r="RIF80" s="406"/>
      <c r="RIG80" s="406"/>
      <c r="RIH80" s="406"/>
      <c r="RII80" s="406"/>
      <c r="RIJ80" s="406"/>
      <c r="RIK80" s="406"/>
      <c r="RIL80" s="406"/>
      <c r="RIM80" s="406"/>
      <c r="RIN80" s="406"/>
      <c r="RIO80" s="406"/>
      <c r="RIP80" s="406"/>
      <c r="RIQ80" s="406"/>
      <c r="RIR80" s="406"/>
      <c r="RIS80" s="406"/>
      <c r="RIT80" s="406"/>
      <c r="RIU80" s="406"/>
      <c r="RIV80" s="406"/>
      <c r="RIW80" s="406"/>
      <c r="RIX80" s="406"/>
      <c r="RIY80" s="406"/>
      <c r="RIZ80" s="406"/>
      <c r="RJA80" s="406"/>
      <c r="RJB80" s="406"/>
      <c r="RJC80" s="406"/>
      <c r="RJD80" s="406"/>
      <c r="RJE80" s="406"/>
      <c r="RJF80" s="406"/>
      <c r="RJG80" s="406"/>
      <c r="RJH80" s="406"/>
      <c r="RJI80" s="406"/>
      <c r="RJJ80" s="406"/>
      <c r="RJK80" s="406"/>
      <c r="RJL80" s="406"/>
      <c r="RJM80" s="406"/>
      <c r="RJN80" s="406"/>
      <c r="RJO80" s="406"/>
      <c r="RJP80" s="406"/>
      <c r="RJQ80" s="406"/>
      <c r="RJR80" s="406"/>
      <c r="RJS80" s="406"/>
      <c r="RJT80" s="406"/>
      <c r="RJU80" s="406"/>
      <c r="RJV80" s="406"/>
      <c r="RJW80" s="406"/>
      <c r="RJX80" s="406"/>
      <c r="RJY80" s="406"/>
      <c r="RJZ80" s="406"/>
      <c r="RKA80" s="406"/>
      <c r="RKB80" s="406"/>
      <c r="RKC80" s="406"/>
      <c r="RKD80" s="406"/>
      <c r="RKE80" s="406"/>
      <c r="RKF80" s="406"/>
      <c r="RKG80" s="406"/>
      <c r="RKH80" s="406"/>
      <c r="RKI80" s="406"/>
      <c r="RKJ80" s="406"/>
      <c r="RKK80" s="406"/>
      <c r="RKL80" s="406"/>
      <c r="RKM80" s="406"/>
      <c r="RKN80" s="406"/>
      <c r="RKO80" s="406"/>
      <c r="RKP80" s="406"/>
      <c r="RKQ80" s="406"/>
      <c r="RKR80" s="406"/>
      <c r="RKS80" s="406"/>
      <c r="RKT80" s="406"/>
      <c r="RKU80" s="406"/>
      <c r="RKV80" s="406"/>
      <c r="RKW80" s="406"/>
      <c r="RKX80" s="406"/>
      <c r="RKY80" s="406"/>
      <c r="RKZ80" s="406"/>
      <c r="RLA80" s="406"/>
      <c r="RLB80" s="406"/>
      <c r="RLC80" s="406"/>
      <c r="RLD80" s="406"/>
      <c r="RLE80" s="406"/>
      <c r="RLF80" s="406"/>
      <c r="RLG80" s="406"/>
      <c r="RLH80" s="406"/>
      <c r="RLI80" s="406"/>
      <c r="RLJ80" s="406"/>
      <c r="RLK80" s="406"/>
      <c r="RLL80" s="406"/>
      <c r="RLM80" s="406"/>
      <c r="RLN80" s="406"/>
      <c r="RLO80" s="406"/>
      <c r="RLP80" s="406"/>
      <c r="RLQ80" s="406"/>
      <c r="RLR80" s="406"/>
      <c r="RLS80" s="406"/>
      <c r="RLT80" s="406"/>
      <c r="RLU80" s="406"/>
      <c r="RLV80" s="406"/>
      <c r="RLW80" s="406"/>
      <c r="RLX80" s="406"/>
      <c r="RLY80" s="406"/>
      <c r="RLZ80" s="406"/>
      <c r="RMA80" s="406"/>
      <c r="RMB80" s="406"/>
      <c r="RMC80" s="406"/>
      <c r="RMD80" s="406"/>
      <c r="RME80" s="406"/>
      <c r="RMF80" s="406"/>
      <c r="RMG80" s="406"/>
      <c r="RMH80" s="406"/>
      <c r="RMI80" s="406"/>
      <c r="RMJ80" s="406"/>
      <c r="RMK80" s="406"/>
      <c r="RML80" s="406"/>
      <c r="RMM80" s="406"/>
      <c r="RMN80" s="406"/>
      <c r="RMO80" s="406"/>
      <c r="RMP80" s="406"/>
      <c r="RMQ80" s="406"/>
      <c r="RMR80" s="406"/>
      <c r="RMS80" s="406"/>
      <c r="RMT80" s="406"/>
      <c r="RMU80" s="406"/>
      <c r="RMV80" s="406"/>
      <c r="RMW80" s="406"/>
      <c r="RMX80" s="406"/>
      <c r="RMY80" s="406"/>
      <c r="RMZ80" s="406"/>
      <c r="RNA80" s="406"/>
      <c r="RNB80" s="406"/>
      <c r="RNC80" s="406"/>
      <c r="RND80" s="406"/>
      <c r="RNE80" s="406"/>
      <c r="RNF80" s="406"/>
      <c r="RNG80" s="406"/>
      <c r="RNH80" s="406"/>
      <c r="RNI80" s="406"/>
      <c r="RNJ80" s="406"/>
      <c r="RNK80" s="406"/>
      <c r="RNL80" s="406"/>
      <c r="RNM80" s="406"/>
      <c r="RNN80" s="406"/>
      <c r="RNO80" s="406"/>
      <c r="RNP80" s="406"/>
      <c r="RNQ80" s="406"/>
      <c r="RNR80" s="406"/>
      <c r="RNS80" s="406"/>
      <c r="RNT80" s="406"/>
      <c r="RNU80" s="406"/>
      <c r="RNV80" s="406"/>
      <c r="RNW80" s="406"/>
      <c r="RNX80" s="406"/>
      <c r="RNY80" s="406"/>
      <c r="RNZ80" s="406"/>
      <c r="ROA80" s="406"/>
      <c r="ROB80" s="406"/>
      <c r="ROC80" s="406"/>
      <c r="ROD80" s="406"/>
      <c r="ROE80" s="406"/>
      <c r="ROF80" s="406"/>
      <c r="ROG80" s="406"/>
      <c r="ROH80" s="406"/>
      <c r="ROI80" s="406"/>
      <c r="ROJ80" s="406"/>
      <c r="ROK80" s="406"/>
      <c r="ROL80" s="406"/>
      <c r="ROM80" s="406"/>
      <c r="RON80" s="406"/>
      <c r="ROO80" s="406"/>
      <c r="ROP80" s="406"/>
      <c r="ROQ80" s="406"/>
      <c r="ROR80" s="406"/>
      <c r="ROS80" s="406"/>
      <c r="ROT80" s="406"/>
      <c r="ROU80" s="406"/>
      <c r="ROV80" s="406"/>
      <c r="ROW80" s="406"/>
      <c r="ROX80" s="406"/>
      <c r="ROY80" s="406"/>
      <c r="ROZ80" s="406"/>
      <c r="RPA80" s="406"/>
      <c r="RPB80" s="406"/>
      <c r="RPC80" s="406"/>
      <c r="RPD80" s="406"/>
      <c r="RPE80" s="406"/>
      <c r="RPF80" s="406"/>
      <c r="RPG80" s="406"/>
      <c r="RPH80" s="406"/>
      <c r="RPI80" s="406"/>
      <c r="RPJ80" s="406"/>
      <c r="RPK80" s="406"/>
      <c r="RPL80" s="406"/>
      <c r="RPM80" s="406"/>
      <c r="RPN80" s="406"/>
      <c r="RPO80" s="406"/>
      <c r="RPP80" s="406"/>
      <c r="RPQ80" s="406"/>
      <c r="RPR80" s="406"/>
      <c r="RPS80" s="406"/>
      <c r="RPT80" s="406"/>
      <c r="RPU80" s="406"/>
      <c r="RPV80" s="406"/>
      <c r="RPW80" s="406"/>
      <c r="RPX80" s="406"/>
      <c r="RPY80" s="406"/>
      <c r="RPZ80" s="406"/>
      <c r="RQA80" s="406"/>
      <c r="RQB80" s="406"/>
      <c r="RQC80" s="406"/>
      <c r="RQD80" s="406"/>
      <c r="RQE80" s="406"/>
      <c r="RQF80" s="406"/>
      <c r="RQG80" s="406"/>
      <c r="RQH80" s="406"/>
      <c r="RQI80" s="406"/>
      <c r="RQJ80" s="406"/>
      <c r="RQK80" s="406"/>
      <c r="RQL80" s="406"/>
      <c r="RQM80" s="406"/>
      <c r="RQN80" s="406"/>
      <c r="RQO80" s="406"/>
      <c r="RQP80" s="406"/>
      <c r="RQQ80" s="406"/>
      <c r="RQR80" s="406"/>
      <c r="RQS80" s="406"/>
      <c r="RQT80" s="406"/>
      <c r="RQU80" s="406"/>
      <c r="RQV80" s="406"/>
      <c r="RQW80" s="406"/>
      <c r="RQX80" s="406"/>
      <c r="RQY80" s="406"/>
      <c r="RQZ80" s="406"/>
      <c r="RRA80" s="406"/>
      <c r="RRB80" s="406"/>
      <c r="RRC80" s="406"/>
      <c r="RRD80" s="406"/>
      <c r="RRE80" s="406"/>
      <c r="RRF80" s="406"/>
      <c r="RRG80" s="406"/>
      <c r="RRH80" s="406"/>
      <c r="RRI80" s="406"/>
      <c r="RRJ80" s="406"/>
      <c r="RRK80" s="406"/>
      <c r="RRL80" s="406"/>
      <c r="RRM80" s="406"/>
      <c r="RRN80" s="406"/>
      <c r="RRO80" s="406"/>
      <c r="RRP80" s="406"/>
      <c r="RRQ80" s="406"/>
      <c r="RRR80" s="406"/>
      <c r="RRS80" s="406"/>
      <c r="RRT80" s="406"/>
      <c r="RRU80" s="406"/>
      <c r="RRV80" s="406"/>
      <c r="RRW80" s="406"/>
      <c r="RRX80" s="406"/>
      <c r="RRY80" s="406"/>
      <c r="RRZ80" s="406"/>
      <c r="RSA80" s="406"/>
      <c r="RSB80" s="406"/>
      <c r="RSC80" s="406"/>
      <c r="RSD80" s="406"/>
      <c r="RSE80" s="406"/>
      <c r="RSF80" s="406"/>
      <c r="RSG80" s="406"/>
      <c r="RSH80" s="406"/>
      <c r="RSI80" s="406"/>
      <c r="RSJ80" s="406"/>
      <c r="RSK80" s="406"/>
      <c r="RSL80" s="406"/>
      <c r="RSM80" s="406"/>
      <c r="RSN80" s="406"/>
      <c r="RSO80" s="406"/>
      <c r="RSP80" s="406"/>
      <c r="RSQ80" s="406"/>
      <c r="RSR80" s="406"/>
      <c r="RSS80" s="406"/>
      <c r="RST80" s="406"/>
      <c r="RSU80" s="406"/>
      <c r="RSV80" s="406"/>
      <c r="RSW80" s="406"/>
      <c r="RSX80" s="406"/>
      <c r="RSY80" s="406"/>
      <c r="RSZ80" s="406"/>
      <c r="RTA80" s="406"/>
      <c r="RTB80" s="406"/>
      <c r="RTC80" s="406"/>
      <c r="RTD80" s="406"/>
      <c r="RTE80" s="406"/>
      <c r="RTF80" s="406"/>
      <c r="RTG80" s="406"/>
      <c r="RTH80" s="406"/>
      <c r="RTI80" s="406"/>
      <c r="RTJ80" s="406"/>
      <c r="RTK80" s="406"/>
      <c r="RTL80" s="406"/>
      <c r="RTM80" s="406"/>
      <c r="RTN80" s="406"/>
      <c r="RTO80" s="406"/>
      <c r="RTP80" s="406"/>
      <c r="RTQ80" s="406"/>
      <c r="RTR80" s="406"/>
      <c r="RTS80" s="406"/>
      <c r="RTT80" s="406"/>
      <c r="RTU80" s="406"/>
      <c r="RTV80" s="406"/>
      <c r="RTW80" s="406"/>
      <c r="RTX80" s="406"/>
      <c r="RTY80" s="406"/>
      <c r="RTZ80" s="406"/>
      <c r="RUA80" s="406"/>
      <c r="RUB80" s="406"/>
      <c r="RUC80" s="406"/>
      <c r="RUD80" s="406"/>
      <c r="RUE80" s="406"/>
      <c r="RUF80" s="406"/>
      <c r="RUG80" s="406"/>
      <c r="RUH80" s="406"/>
      <c r="RUI80" s="406"/>
      <c r="RUJ80" s="406"/>
      <c r="RUK80" s="406"/>
      <c r="RUL80" s="406"/>
      <c r="RUM80" s="406"/>
      <c r="RUN80" s="406"/>
      <c r="RUO80" s="406"/>
      <c r="RUP80" s="406"/>
      <c r="RUQ80" s="406"/>
      <c r="RUR80" s="406"/>
      <c r="RUS80" s="406"/>
      <c r="RUT80" s="406"/>
      <c r="RUU80" s="406"/>
      <c r="RUV80" s="406"/>
      <c r="RUW80" s="406"/>
      <c r="RUX80" s="406"/>
      <c r="RUY80" s="406"/>
      <c r="RUZ80" s="406"/>
      <c r="RVA80" s="406"/>
      <c r="RVB80" s="406"/>
      <c r="RVC80" s="406"/>
      <c r="RVD80" s="406"/>
      <c r="RVE80" s="406"/>
      <c r="RVF80" s="406"/>
      <c r="RVG80" s="406"/>
      <c r="RVH80" s="406"/>
      <c r="RVI80" s="406"/>
      <c r="RVJ80" s="406"/>
      <c r="RVK80" s="406"/>
      <c r="RVL80" s="406"/>
      <c r="RVM80" s="406"/>
      <c r="RVN80" s="406"/>
      <c r="RVO80" s="406"/>
      <c r="RVP80" s="406"/>
      <c r="RVQ80" s="406"/>
      <c r="RVR80" s="406"/>
      <c r="RVS80" s="406"/>
      <c r="RVT80" s="406"/>
      <c r="RVU80" s="406"/>
      <c r="RVV80" s="406"/>
      <c r="RVW80" s="406"/>
      <c r="RVX80" s="406"/>
      <c r="RVY80" s="406"/>
      <c r="RVZ80" s="406"/>
      <c r="RWA80" s="406"/>
      <c r="RWB80" s="406"/>
      <c r="RWC80" s="406"/>
      <c r="RWD80" s="406"/>
      <c r="RWE80" s="406"/>
      <c r="RWF80" s="406"/>
      <c r="RWG80" s="406"/>
      <c r="RWH80" s="406"/>
      <c r="RWI80" s="406"/>
      <c r="RWJ80" s="406"/>
      <c r="RWK80" s="406"/>
      <c r="RWL80" s="406"/>
      <c r="RWM80" s="406"/>
      <c r="RWN80" s="406"/>
      <c r="RWO80" s="406"/>
      <c r="RWP80" s="406"/>
      <c r="RWQ80" s="406"/>
      <c r="RWR80" s="406"/>
      <c r="RWS80" s="406"/>
      <c r="RWT80" s="406"/>
      <c r="RWU80" s="406"/>
      <c r="RWV80" s="406"/>
      <c r="RWW80" s="406"/>
      <c r="RWX80" s="406"/>
      <c r="RWY80" s="406"/>
      <c r="RWZ80" s="406"/>
      <c r="RXA80" s="406"/>
      <c r="RXB80" s="406"/>
      <c r="RXC80" s="406"/>
      <c r="RXD80" s="406"/>
      <c r="RXE80" s="406"/>
      <c r="RXF80" s="406"/>
      <c r="RXG80" s="406"/>
      <c r="RXH80" s="406"/>
      <c r="RXI80" s="406"/>
      <c r="RXJ80" s="406"/>
      <c r="RXK80" s="406"/>
      <c r="RXL80" s="406"/>
      <c r="RXM80" s="406"/>
      <c r="RXN80" s="406"/>
      <c r="RXO80" s="406"/>
      <c r="RXP80" s="406"/>
      <c r="RXQ80" s="406"/>
      <c r="RXR80" s="406"/>
      <c r="RXS80" s="406"/>
      <c r="RXT80" s="406"/>
      <c r="RXU80" s="406"/>
      <c r="RXV80" s="406"/>
      <c r="RXW80" s="406"/>
      <c r="RXX80" s="406"/>
      <c r="RXY80" s="406"/>
      <c r="RXZ80" s="406"/>
      <c r="RYA80" s="406"/>
      <c r="RYB80" s="406"/>
      <c r="RYC80" s="406"/>
      <c r="RYD80" s="406"/>
      <c r="RYE80" s="406"/>
      <c r="RYF80" s="406"/>
      <c r="RYG80" s="406"/>
      <c r="RYH80" s="406"/>
      <c r="RYI80" s="406"/>
      <c r="RYJ80" s="406"/>
      <c r="RYK80" s="406"/>
      <c r="RYL80" s="406"/>
      <c r="RYM80" s="406"/>
      <c r="RYN80" s="406"/>
      <c r="RYO80" s="406"/>
      <c r="RYP80" s="406"/>
      <c r="RYQ80" s="406"/>
      <c r="RYR80" s="406"/>
      <c r="RYS80" s="406"/>
      <c r="RYT80" s="406"/>
      <c r="RYU80" s="406"/>
      <c r="RYV80" s="406"/>
      <c r="RYW80" s="406"/>
      <c r="RYX80" s="406"/>
      <c r="RYY80" s="406"/>
      <c r="RYZ80" s="406"/>
      <c r="RZA80" s="406"/>
      <c r="RZB80" s="406"/>
      <c r="RZC80" s="406"/>
      <c r="RZD80" s="406"/>
      <c r="RZE80" s="406"/>
      <c r="RZF80" s="406"/>
      <c r="RZG80" s="406"/>
      <c r="RZH80" s="406"/>
      <c r="RZI80" s="406"/>
      <c r="RZJ80" s="406"/>
      <c r="RZK80" s="406"/>
      <c r="RZL80" s="406"/>
      <c r="RZM80" s="406"/>
      <c r="RZN80" s="406"/>
      <c r="RZO80" s="406"/>
      <c r="RZP80" s="406"/>
      <c r="RZQ80" s="406"/>
      <c r="RZR80" s="406"/>
      <c r="RZS80" s="406"/>
      <c r="RZT80" s="406"/>
      <c r="RZU80" s="406"/>
      <c r="RZV80" s="406"/>
      <c r="RZW80" s="406"/>
      <c r="RZX80" s="406"/>
      <c r="RZY80" s="406"/>
      <c r="RZZ80" s="406"/>
      <c r="SAA80" s="406"/>
      <c r="SAB80" s="406"/>
      <c r="SAC80" s="406"/>
      <c r="SAD80" s="406"/>
      <c r="SAE80" s="406"/>
      <c r="SAF80" s="406"/>
      <c r="SAG80" s="406"/>
      <c r="SAH80" s="406"/>
      <c r="SAI80" s="406"/>
      <c r="SAJ80" s="406"/>
      <c r="SAK80" s="406"/>
      <c r="SAL80" s="406"/>
      <c r="SAM80" s="406"/>
      <c r="SAN80" s="406"/>
      <c r="SAO80" s="406"/>
      <c r="SAP80" s="406"/>
      <c r="SAQ80" s="406"/>
      <c r="SAR80" s="406"/>
      <c r="SAS80" s="406"/>
      <c r="SAT80" s="406"/>
      <c r="SAU80" s="406"/>
      <c r="SAV80" s="406"/>
      <c r="SAW80" s="406"/>
      <c r="SAX80" s="406"/>
      <c r="SAY80" s="406"/>
      <c r="SAZ80" s="406"/>
      <c r="SBA80" s="406"/>
      <c r="SBB80" s="406"/>
      <c r="SBC80" s="406"/>
      <c r="SBD80" s="406"/>
      <c r="SBE80" s="406"/>
      <c r="SBF80" s="406"/>
      <c r="SBG80" s="406"/>
      <c r="SBH80" s="406"/>
      <c r="SBI80" s="406"/>
      <c r="SBJ80" s="406"/>
      <c r="SBK80" s="406"/>
      <c r="SBL80" s="406"/>
      <c r="SBM80" s="406"/>
      <c r="SBN80" s="406"/>
      <c r="SBO80" s="406"/>
      <c r="SBP80" s="406"/>
      <c r="SBQ80" s="406"/>
      <c r="SBR80" s="406"/>
      <c r="SBS80" s="406"/>
      <c r="SBT80" s="406"/>
      <c r="SBU80" s="406"/>
      <c r="SBV80" s="406"/>
      <c r="SBW80" s="406"/>
      <c r="SBX80" s="406"/>
      <c r="SBY80" s="406"/>
      <c r="SBZ80" s="406"/>
      <c r="SCA80" s="406"/>
      <c r="SCB80" s="406"/>
      <c r="SCC80" s="406"/>
      <c r="SCD80" s="406"/>
      <c r="SCE80" s="406"/>
      <c r="SCF80" s="406"/>
      <c r="SCG80" s="406"/>
      <c r="SCH80" s="406"/>
      <c r="SCI80" s="406"/>
      <c r="SCJ80" s="406"/>
      <c r="SCK80" s="406"/>
      <c r="SCL80" s="406"/>
      <c r="SCM80" s="406"/>
      <c r="SCN80" s="406"/>
      <c r="SCO80" s="406"/>
      <c r="SCP80" s="406"/>
      <c r="SCQ80" s="406"/>
      <c r="SCR80" s="406"/>
      <c r="SCS80" s="406"/>
      <c r="SCT80" s="406"/>
      <c r="SCU80" s="406"/>
      <c r="SCV80" s="406"/>
      <c r="SCW80" s="406"/>
      <c r="SCX80" s="406"/>
      <c r="SCY80" s="406"/>
      <c r="SCZ80" s="406"/>
      <c r="SDA80" s="406"/>
      <c r="SDB80" s="406"/>
      <c r="SDC80" s="406"/>
      <c r="SDD80" s="406"/>
      <c r="SDE80" s="406"/>
      <c r="SDF80" s="406"/>
      <c r="SDG80" s="406"/>
      <c r="SDH80" s="406"/>
      <c r="SDI80" s="406"/>
      <c r="SDJ80" s="406"/>
      <c r="SDK80" s="406"/>
      <c r="SDL80" s="406"/>
      <c r="SDM80" s="406"/>
      <c r="SDN80" s="406"/>
      <c r="SDO80" s="406"/>
      <c r="SDP80" s="406"/>
      <c r="SDQ80" s="406"/>
      <c r="SDR80" s="406"/>
      <c r="SDS80" s="406"/>
      <c r="SDT80" s="406"/>
      <c r="SDU80" s="406"/>
      <c r="SDV80" s="406"/>
      <c r="SDW80" s="406"/>
      <c r="SDX80" s="406"/>
      <c r="SDY80" s="406"/>
      <c r="SDZ80" s="406"/>
      <c r="SEA80" s="406"/>
      <c r="SEB80" s="406"/>
      <c r="SEC80" s="406"/>
      <c r="SED80" s="406"/>
      <c r="SEE80" s="406"/>
      <c r="SEF80" s="406"/>
      <c r="SEG80" s="406"/>
      <c r="SEH80" s="406"/>
      <c r="SEI80" s="406"/>
      <c r="SEJ80" s="406"/>
      <c r="SEK80" s="406"/>
      <c r="SEL80" s="406"/>
      <c r="SEM80" s="406"/>
      <c r="SEN80" s="406"/>
      <c r="SEO80" s="406"/>
      <c r="SEP80" s="406"/>
      <c r="SEQ80" s="406"/>
      <c r="SER80" s="406"/>
      <c r="SES80" s="406"/>
      <c r="SET80" s="406"/>
      <c r="SEU80" s="406"/>
      <c r="SEV80" s="406"/>
      <c r="SEW80" s="406"/>
      <c r="SEX80" s="406"/>
      <c r="SEY80" s="406"/>
      <c r="SEZ80" s="406"/>
      <c r="SFA80" s="406"/>
      <c r="SFB80" s="406"/>
      <c r="SFC80" s="406"/>
      <c r="SFD80" s="406"/>
      <c r="SFE80" s="406"/>
      <c r="SFF80" s="406"/>
      <c r="SFG80" s="406"/>
      <c r="SFH80" s="406"/>
      <c r="SFI80" s="406"/>
      <c r="SFJ80" s="406"/>
      <c r="SFK80" s="406"/>
      <c r="SFL80" s="406"/>
      <c r="SFM80" s="406"/>
      <c r="SFN80" s="406"/>
      <c r="SFO80" s="406"/>
      <c r="SFP80" s="406"/>
      <c r="SFQ80" s="406"/>
      <c r="SFR80" s="406"/>
      <c r="SFS80" s="406"/>
      <c r="SFT80" s="406"/>
      <c r="SFU80" s="406"/>
      <c r="SFV80" s="406"/>
      <c r="SFW80" s="406"/>
      <c r="SFX80" s="406"/>
      <c r="SFY80" s="406"/>
      <c r="SFZ80" s="406"/>
      <c r="SGA80" s="406"/>
      <c r="SGB80" s="406"/>
      <c r="SGC80" s="406"/>
      <c r="SGD80" s="406"/>
      <c r="SGE80" s="406"/>
      <c r="SGF80" s="406"/>
      <c r="SGG80" s="406"/>
      <c r="SGH80" s="406"/>
      <c r="SGI80" s="406"/>
      <c r="SGJ80" s="406"/>
      <c r="SGK80" s="406"/>
      <c r="SGL80" s="406"/>
      <c r="SGM80" s="406"/>
      <c r="SGN80" s="406"/>
      <c r="SGO80" s="406"/>
      <c r="SGP80" s="406"/>
      <c r="SGQ80" s="406"/>
      <c r="SGR80" s="406"/>
      <c r="SGS80" s="406"/>
      <c r="SGT80" s="406"/>
      <c r="SGU80" s="406"/>
      <c r="SGV80" s="406"/>
      <c r="SGW80" s="406"/>
      <c r="SGX80" s="406"/>
      <c r="SGY80" s="406"/>
      <c r="SGZ80" s="406"/>
      <c r="SHA80" s="406"/>
      <c r="SHB80" s="406"/>
      <c r="SHC80" s="406"/>
      <c r="SHD80" s="406"/>
      <c r="SHE80" s="406"/>
      <c r="SHF80" s="406"/>
      <c r="SHG80" s="406"/>
      <c r="SHH80" s="406"/>
      <c r="SHI80" s="406"/>
      <c r="SHJ80" s="406"/>
      <c r="SHK80" s="406"/>
      <c r="SHL80" s="406"/>
      <c r="SHM80" s="406"/>
      <c r="SHN80" s="406"/>
      <c r="SHO80" s="406"/>
      <c r="SHP80" s="406"/>
      <c r="SHQ80" s="406"/>
      <c r="SHR80" s="406"/>
      <c r="SHS80" s="406"/>
      <c r="SHT80" s="406"/>
      <c r="SHU80" s="406"/>
      <c r="SHV80" s="406"/>
      <c r="SHW80" s="406"/>
      <c r="SHX80" s="406"/>
      <c r="SHY80" s="406"/>
      <c r="SHZ80" s="406"/>
      <c r="SIA80" s="406"/>
      <c r="SIB80" s="406"/>
      <c r="SIC80" s="406"/>
      <c r="SID80" s="406"/>
      <c r="SIE80" s="406"/>
      <c r="SIF80" s="406"/>
      <c r="SIG80" s="406"/>
      <c r="SIH80" s="406"/>
      <c r="SII80" s="406"/>
      <c r="SIJ80" s="406"/>
      <c r="SIK80" s="406"/>
      <c r="SIL80" s="406"/>
      <c r="SIM80" s="406"/>
      <c r="SIN80" s="406"/>
      <c r="SIO80" s="406"/>
      <c r="SIP80" s="406"/>
      <c r="SIQ80" s="406"/>
      <c r="SIR80" s="406"/>
      <c r="SIS80" s="406"/>
      <c r="SIT80" s="406"/>
      <c r="SIU80" s="406"/>
      <c r="SIV80" s="406"/>
      <c r="SIW80" s="406"/>
      <c r="SIX80" s="406"/>
      <c r="SIY80" s="406"/>
      <c r="SIZ80" s="406"/>
      <c r="SJA80" s="406"/>
      <c r="SJB80" s="406"/>
      <c r="SJC80" s="406"/>
      <c r="SJD80" s="406"/>
      <c r="SJE80" s="406"/>
      <c r="SJF80" s="406"/>
      <c r="SJG80" s="406"/>
      <c r="SJH80" s="406"/>
      <c r="SJI80" s="406"/>
      <c r="SJJ80" s="406"/>
      <c r="SJK80" s="406"/>
      <c r="SJL80" s="406"/>
      <c r="SJM80" s="406"/>
      <c r="SJN80" s="406"/>
      <c r="SJO80" s="406"/>
      <c r="SJP80" s="406"/>
      <c r="SJQ80" s="406"/>
      <c r="SJR80" s="406"/>
      <c r="SJS80" s="406"/>
      <c r="SJT80" s="406"/>
      <c r="SJU80" s="406"/>
      <c r="SJV80" s="406"/>
      <c r="SJW80" s="406"/>
      <c r="SJX80" s="406"/>
      <c r="SJY80" s="406"/>
      <c r="SJZ80" s="406"/>
      <c r="SKA80" s="406"/>
      <c r="SKB80" s="406"/>
      <c r="SKC80" s="406"/>
      <c r="SKD80" s="406"/>
      <c r="SKE80" s="406"/>
      <c r="SKF80" s="406"/>
      <c r="SKG80" s="406"/>
      <c r="SKH80" s="406"/>
      <c r="SKI80" s="406"/>
      <c r="SKJ80" s="406"/>
      <c r="SKK80" s="406"/>
      <c r="SKL80" s="406"/>
      <c r="SKM80" s="406"/>
      <c r="SKN80" s="406"/>
      <c r="SKO80" s="406"/>
      <c r="SKP80" s="406"/>
      <c r="SKQ80" s="406"/>
      <c r="SKR80" s="406"/>
      <c r="SKS80" s="406"/>
      <c r="SKT80" s="406"/>
      <c r="SKU80" s="406"/>
      <c r="SKV80" s="406"/>
      <c r="SKW80" s="406"/>
      <c r="SKX80" s="406"/>
      <c r="SKY80" s="406"/>
      <c r="SKZ80" s="406"/>
      <c r="SLA80" s="406"/>
      <c r="SLB80" s="406"/>
      <c r="SLC80" s="406"/>
      <c r="SLD80" s="406"/>
      <c r="SLE80" s="406"/>
      <c r="SLF80" s="406"/>
      <c r="SLG80" s="406"/>
      <c r="SLH80" s="406"/>
      <c r="SLI80" s="406"/>
      <c r="SLJ80" s="406"/>
      <c r="SLK80" s="406"/>
      <c r="SLL80" s="406"/>
      <c r="SLM80" s="406"/>
      <c r="SLN80" s="406"/>
      <c r="SLO80" s="406"/>
      <c r="SLP80" s="406"/>
      <c r="SLQ80" s="406"/>
      <c r="SLR80" s="406"/>
      <c r="SLS80" s="406"/>
      <c r="SLT80" s="406"/>
      <c r="SLU80" s="406"/>
      <c r="SLV80" s="406"/>
      <c r="SLW80" s="406"/>
      <c r="SLX80" s="406"/>
      <c r="SLY80" s="406"/>
      <c r="SLZ80" s="406"/>
      <c r="SMA80" s="406"/>
      <c r="SMB80" s="406"/>
      <c r="SMC80" s="406"/>
      <c r="SMD80" s="406"/>
      <c r="SME80" s="406"/>
      <c r="SMF80" s="406"/>
      <c r="SMG80" s="406"/>
      <c r="SMH80" s="406"/>
      <c r="SMI80" s="406"/>
      <c r="SMJ80" s="406"/>
      <c r="SMK80" s="406"/>
      <c r="SML80" s="406"/>
      <c r="SMM80" s="406"/>
      <c r="SMN80" s="406"/>
      <c r="SMO80" s="406"/>
      <c r="SMP80" s="406"/>
      <c r="SMQ80" s="406"/>
      <c r="SMR80" s="406"/>
      <c r="SMS80" s="406"/>
      <c r="SMT80" s="406"/>
      <c r="SMU80" s="406"/>
      <c r="SMV80" s="406"/>
      <c r="SMW80" s="406"/>
      <c r="SMX80" s="406"/>
      <c r="SMY80" s="406"/>
      <c r="SMZ80" s="406"/>
      <c r="SNA80" s="406"/>
      <c r="SNB80" s="406"/>
      <c r="SNC80" s="406"/>
      <c r="SND80" s="406"/>
      <c r="SNE80" s="406"/>
      <c r="SNF80" s="406"/>
      <c r="SNG80" s="406"/>
      <c r="SNH80" s="406"/>
      <c r="SNI80" s="406"/>
      <c r="SNJ80" s="406"/>
      <c r="SNK80" s="406"/>
      <c r="SNL80" s="406"/>
      <c r="SNM80" s="406"/>
      <c r="SNN80" s="406"/>
      <c r="SNO80" s="406"/>
      <c r="SNP80" s="406"/>
      <c r="SNQ80" s="406"/>
      <c r="SNR80" s="406"/>
      <c r="SNS80" s="406"/>
      <c r="SNT80" s="406"/>
      <c r="SNU80" s="406"/>
      <c r="SNV80" s="406"/>
      <c r="SNW80" s="406"/>
      <c r="SNX80" s="406"/>
      <c r="SNY80" s="406"/>
      <c r="SNZ80" s="406"/>
      <c r="SOA80" s="406"/>
      <c r="SOB80" s="406"/>
      <c r="SOC80" s="406"/>
      <c r="SOD80" s="406"/>
      <c r="SOE80" s="406"/>
      <c r="SOF80" s="406"/>
      <c r="SOG80" s="406"/>
      <c r="SOH80" s="406"/>
      <c r="SOI80" s="406"/>
      <c r="SOJ80" s="406"/>
      <c r="SOK80" s="406"/>
      <c r="SOL80" s="406"/>
      <c r="SOM80" s="406"/>
      <c r="SON80" s="406"/>
      <c r="SOO80" s="406"/>
      <c r="SOP80" s="406"/>
      <c r="SOQ80" s="406"/>
      <c r="SOR80" s="406"/>
      <c r="SOS80" s="406"/>
      <c r="SOT80" s="406"/>
      <c r="SOU80" s="406"/>
      <c r="SOV80" s="406"/>
      <c r="SOW80" s="406"/>
      <c r="SOX80" s="406"/>
      <c r="SOY80" s="406"/>
      <c r="SOZ80" s="406"/>
      <c r="SPA80" s="406"/>
      <c r="SPB80" s="406"/>
      <c r="SPC80" s="406"/>
      <c r="SPD80" s="406"/>
      <c r="SPE80" s="406"/>
      <c r="SPF80" s="406"/>
      <c r="SPG80" s="406"/>
      <c r="SPH80" s="406"/>
      <c r="SPI80" s="406"/>
      <c r="SPJ80" s="406"/>
      <c r="SPK80" s="406"/>
      <c r="SPL80" s="406"/>
      <c r="SPM80" s="406"/>
      <c r="SPN80" s="406"/>
      <c r="SPO80" s="406"/>
      <c r="SPP80" s="406"/>
      <c r="SPQ80" s="406"/>
      <c r="SPR80" s="406"/>
      <c r="SPS80" s="406"/>
      <c r="SPT80" s="406"/>
      <c r="SPU80" s="406"/>
      <c r="SPV80" s="406"/>
      <c r="SPW80" s="406"/>
      <c r="SPX80" s="406"/>
      <c r="SPY80" s="406"/>
      <c r="SPZ80" s="406"/>
      <c r="SQA80" s="406"/>
      <c r="SQB80" s="406"/>
      <c r="SQC80" s="406"/>
      <c r="SQD80" s="406"/>
      <c r="SQE80" s="406"/>
      <c r="SQF80" s="406"/>
      <c r="SQG80" s="406"/>
      <c r="SQH80" s="406"/>
      <c r="SQI80" s="406"/>
      <c r="SQJ80" s="406"/>
      <c r="SQK80" s="406"/>
      <c r="SQL80" s="406"/>
      <c r="SQM80" s="406"/>
      <c r="SQN80" s="406"/>
      <c r="SQO80" s="406"/>
      <c r="SQP80" s="406"/>
      <c r="SQQ80" s="406"/>
      <c r="SQR80" s="406"/>
      <c r="SQS80" s="406"/>
      <c r="SQT80" s="406"/>
      <c r="SQU80" s="406"/>
      <c r="SQV80" s="406"/>
      <c r="SQW80" s="406"/>
      <c r="SQX80" s="406"/>
      <c r="SQY80" s="406"/>
      <c r="SQZ80" s="406"/>
      <c r="SRA80" s="406"/>
      <c r="SRB80" s="406"/>
      <c r="SRC80" s="406"/>
      <c r="SRD80" s="406"/>
      <c r="SRE80" s="406"/>
      <c r="SRF80" s="406"/>
      <c r="SRG80" s="406"/>
      <c r="SRH80" s="406"/>
      <c r="SRI80" s="406"/>
      <c r="SRJ80" s="406"/>
      <c r="SRK80" s="406"/>
      <c r="SRL80" s="406"/>
      <c r="SRM80" s="406"/>
      <c r="SRN80" s="406"/>
      <c r="SRO80" s="406"/>
      <c r="SRP80" s="406"/>
      <c r="SRQ80" s="406"/>
      <c r="SRR80" s="406"/>
      <c r="SRS80" s="406"/>
      <c r="SRT80" s="406"/>
      <c r="SRU80" s="406"/>
      <c r="SRV80" s="406"/>
      <c r="SRW80" s="406"/>
      <c r="SRX80" s="406"/>
      <c r="SRY80" s="406"/>
      <c r="SRZ80" s="406"/>
      <c r="SSA80" s="406"/>
      <c r="SSB80" s="406"/>
      <c r="SSC80" s="406"/>
      <c r="SSD80" s="406"/>
      <c r="SSE80" s="406"/>
      <c r="SSF80" s="406"/>
      <c r="SSG80" s="406"/>
      <c r="SSH80" s="406"/>
      <c r="SSI80" s="406"/>
      <c r="SSJ80" s="406"/>
      <c r="SSK80" s="406"/>
      <c r="SSL80" s="406"/>
      <c r="SSM80" s="406"/>
      <c r="SSN80" s="406"/>
      <c r="SSO80" s="406"/>
      <c r="SSP80" s="406"/>
      <c r="SSQ80" s="406"/>
      <c r="SSR80" s="406"/>
      <c r="SSS80" s="406"/>
      <c r="SST80" s="406"/>
      <c r="SSU80" s="406"/>
      <c r="SSV80" s="406"/>
      <c r="SSW80" s="406"/>
      <c r="SSX80" s="406"/>
      <c r="SSY80" s="406"/>
      <c r="SSZ80" s="406"/>
      <c r="STA80" s="406"/>
      <c r="STB80" s="406"/>
      <c r="STC80" s="406"/>
      <c r="STD80" s="406"/>
      <c r="STE80" s="406"/>
      <c r="STF80" s="406"/>
      <c r="STG80" s="406"/>
      <c r="STH80" s="406"/>
      <c r="STI80" s="406"/>
      <c r="STJ80" s="406"/>
      <c r="STK80" s="406"/>
      <c r="STL80" s="406"/>
      <c r="STM80" s="406"/>
      <c r="STN80" s="406"/>
      <c r="STO80" s="406"/>
      <c r="STP80" s="406"/>
      <c r="STQ80" s="406"/>
      <c r="STR80" s="406"/>
      <c r="STS80" s="406"/>
      <c r="STT80" s="406"/>
      <c r="STU80" s="406"/>
      <c r="STV80" s="406"/>
      <c r="STW80" s="406"/>
      <c r="STX80" s="406"/>
      <c r="STY80" s="406"/>
      <c r="STZ80" s="406"/>
      <c r="SUA80" s="406"/>
      <c r="SUB80" s="406"/>
      <c r="SUC80" s="406"/>
      <c r="SUD80" s="406"/>
      <c r="SUE80" s="406"/>
      <c r="SUF80" s="406"/>
      <c r="SUG80" s="406"/>
      <c r="SUH80" s="406"/>
      <c r="SUI80" s="406"/>
      <c r="SUJ80" s="406"/>
      <c r="SUK80" s="406"/>
      <c r="SUL80" s="406"/>
      <c r="SUM80" s="406"/>
      <c r="SUN80" s="406"/>
      <c r="SUO80" s="406"/>
      <c r="SUP80" s="406"/>
      <c r="SUQ80" s="406"/>
      <c r="SUR80" s="406"/>
      <c r="SUS80" s="406"/>
      <c r="SUT80" s="406"/>
      <c r="SUU80" s="406"/>
      <c r="SUV80" s="406"/>
      <c r="SUW80" s="406"/>
      <c r="SUX80" s="406"/>
      <c r="SUY80" s="406"/>
      <c r="SUZ80" s="406"/>
      <c r="SVA80" s="406"/>
      <c r="SVB80" s="406"/>
      <c r="SVC80" s="406"/>
      <c r="SVD80" s="406"/>
      <c r="SVE80" s="406"/>
      <c r="SVF80" s="406"/>
      <c r="SVG80" s="406"/>
      <c r="SVH80" s="406"/>
      <c r="SVI80" s="406"/>
      <c r="SVJ80" s="406"/>
      <c r="SVK80" s="406"/>
      <c r="SVL80" s="406"/>
      <c r="SVM80" s="406"/>
      <c r="SVN80" s="406"/>
      <c r="SVO80" s="406"/>
      <c r="SVP80" s="406"/>
      <c r="SVQ80" s="406"/>
      <c r="SVR80" s="406"/>
      <c r="SVS80" s="406"/>
      <c r="SVT80" s="406"/>
      <c r="SVU80" s="406"/>
      <c r="SVV80" s="406"/>
      <c r="SVW80" s="406"/>
      <c r="SVX80" s="406"/>
      <c r="SVY80" s="406"/>
      <c r="SVZ80" s="406"/>
      <c r="SWA80" s="406"/>
      <c r="SWB80" s="406"/>
      <c r="SWC80" s="406"/>
      <c r="SWD80" s="406"/>
      <c r="SWE80" s="406"/>
      <c r="SWF80" s="406"/>
      <c r="SWG80" s="406"/>
      <c r="SWH80" s="406"/>
      <c r="SWI80" s="406"/>
      <c r="SWJ80" s="406"/>
      <c r="SWK80" s="406"/>
      <c r="SWL80" s="406"/>
      <c r="SWM80" s="406"/>
      <c r="SWN80" s="406"/>
      <c r="SWO80" s="406"/>
      <c r="SWP80" s="406"/>
      <c r="SWQ80" s="406"/>
      <c r="SWR80" s="406"/>
      <c r="SWS80" s="406"/>
      <c r="SWT80" s="406"/>
      <c r="SWU80" s="406"/>
      <c r="SWV80" s="406"/>
      <c r="SWW80" s="406"/>
      <c r="SWX80" s="406"/>
      <c r="SWY80" s="406"/>
      <c r="SWZ80" s="406"/>
      <c r="SXA80" s="406"/>
      <c r="SXB80" s="406"/>
      <c r="SXC80" s="406"/>
      <c r="SXD80" s="406"/>
      <c r="SXE80" s="406"/>
      <c r="SXF80" s="406"/>
      <c r="SXG80" s="406"/>
      <c r="SXH80" s="406"/>
      <c r="SXI80" s="406"/>
      <c r="SXJ80" s="406"/>
      <c r="SXK80" s="406"/>
      <c r="SXL80" s="406"/>
      <c r="SXM80" s="406"/>
      <c r="SXN80" s="406"/>
      <c r="SXO80" s="406"/>
      <c r="SXP80" s="406"/>
      <c r="SXQ80" s="406"/>
      <c r="SXR80" s="406"/>
      <c r="SXS80" s="406"/>
      <c r="SXT80" s="406"/>
      <c r="SXU80" s="406"/>
      <c r="SXV80" s="406"/>
      <c r="SXW80" s="406"/>
      <c r="SXX80" s="406"/>
      <c r="SXY80" s="406"/>
      <c r="SXZ80" s="406"/>
      <c r="SYA80" s="406"/>
      <c r="SYB80" s="406"/>
      <c r="SYC80" s="406"/>
      <c r="SYD80" s="406"/>
      <c r="SYE80" s="406"/>
      <c r="SYF80" s="406"/>
      <c r="SYG80" s="406"/>
      <c r="SYH80" s="406"/>
      <c r="SYI80" s="406"/>
      <c r="SYJ80" s="406"/>
      <c r="SYK80" s="406"/>
      <c r="SYL80" s="406"/>
      <c r="SYM80" s="406"/>
      <c r="SYN80" s="406"/>
      <c r="SYO80" s="406"/>
      <c r="SYP80" s="406"/>
      <c r="SYQ80" s="406"/>
      <c r="SYR80" s="406"/>
      <c r="SYS80" s="406"/>
      <c r="SYT80" s="406"/>
      <c r="SYU80" s="406"/>
      <c r="SYV80" s="406"/>
      <c r="SYW80" s="406"/>
      <c r="SYX80" s="406"/>
      <c r="SYY80" s="406"/>
      <c r="SYZ80" s="406"/>
      <c r="SZA80" s="406"/>
      <c r="SZB80" s="406"/>
      <c r="SZC80" s="406"/>
      <c r="SZD80" s="406"/>
      <c r="SZE80" s="406"/>
      <c r="SZF80" s="406"/>
      <c r="SZG80" s="406"/>
      <c r="SZH80" s="406"/>
      <c r="SZI80" s="406"/>
      <c r="SZJ80" s="406"/>
      <c r="SZK80" s="406"/>
      <c r="SZL80" s="406"/>
      <c r="SZM80" s="406"/>
      <c r="SZN80" s="406"/>
      <c r="SZO80" s="406"/>
      <c r="SZP80" s="406"/>
      <c r="SZQ80" s="406"/>
      <c r="SZR80" s="406"/>
      <c r="SZS80" s="406"/>
      <c r="SZT80" s="406"/>
      <c r="SZU80" s="406"/>
      <c r="SZV80" s="406"/>
      <c r="SZW80" s="406"/>
      <c r="SZX80" s="406"/>
      <c r="SZY80" s="406"/>
      <c r="SZZ80" s="406"/>
      <c r="TAA80" s="406"/>
      <c r="TAB80" s="406"/>
      <c r="TAC80" s="406"/>
      <c r="TAD80" s="406"/>
      <c r="TAE80" s="406"/>
      <c r="TAF80" s="406"/>
      <c r="TAG80" s="406"/>
      <c r="TAH80" s="406"/>
      <c r="TAI80" s="406"/>
      <c r="TAJ80" s="406"/>
      <c r="TAK80" s="406"/>
      <c r="TAL80" s="406"/>
      <c r="TAM80" s="406"/>
      <c r="TAN80" s="406"/>
      <c r="TAO80" s="406"/>
      <c r="TAP80" s="406"/>
      <c r="TAQ80" s="406"/>
      <c r="TAR80" s="406"/>
      <c r="TAS80" s="406"/>
      <c r="TAT80" s="406"/>
      <c r="TAU80" s="406"/>
      <c r="TAV80" s="406"/>
      <c r="TAW80" s="406"/>
      <c r="TAX80" s="406"/>
      <c r="TAY80" s="406"/>
      <c r="TAZ80" s="406"/>
      <c r="TBA80" s="406"/>
      <c r="TBB80" s="406"/>
      <c r="TBC80" s="406"/>
      <c r="TBD80" s="406"/>
      <c r="TBE80" s="406"/>
      <c r="TBF80" s="406"/>
      <c r="TBG80" s="406"/>
      <c r="TBH80" s="406"/>
      <c r="TBI80" s="406"/>
      <c r="TBJ80" s="406"/>
      <c r="TBK80" s="406"/>
      <c r="TBL80" s="406"/>
      <c r="TBM80" s="406"/>
      <c r="TBN80" s="406"/>
      <c r="TBO80" s="406"/>
      <c r="TBP80" s="406"/>
      <c r="TBQ80" s="406"/>
      <c r="TBR80" s="406"/>
      <c r="TBS80" s="406"/>
      <c r="TBT80" s="406"/>
      <c r="TBU80" s="406"/>
      <c r="TBV80" s="406"/>
      <c r="TBW80" s="406"/>
      <c r="TBX80" s="406"/>
      <c r="TBY80" s="406"/>
      <c r="TBZ80" s="406"/>
      <c r="TCA80" s="406"/>
      <c r="TCB80" s="406"/>
      <c r="TCC80" s="406"/>
      <c r="TCD80" s="406"/>
      <c r="TCE80" s="406"/>
      <c r="TCF80" s="406"/>
      <c r="TCG80" s="406"/>
      <c r="TCH80" s="406"/>
      <c r="TCI80" s="406"/>
      <c r="TCJ80" s="406"/>
      <c r="TCK80" s="406"/>
      <c r="TCL80" s="406"/>
      <c r="TCM80" s="406"/>
      <c r="TCN80" s="406"/>
      <c r="TCO80" s="406"/>
      <c r="TCP80" s="406"/>
      <c r="TCQ80" s="406"/>
      <c r="TCR80" s="406"/>
      <c r="TCS80" s="406"/>
      <c r="TCT80" s="406"/>
      <c r="TCU80" s="406"/>
      <c r="TCV80" s="406"/>
      <c r="TCW80" s="406"/>
      <c r="TCX80" s="406"/>
      <c r="TCY80" s="406"/>
      <c r="TCZ80" s="406"/>
      <c r="TDA80" s="406"/>
      <c r="TDB80" s="406"/>
      <c r="TDC80" s="406"/>
      <c r="TDD80" s="406"/>
      <c r="TDE80" s="406"/>
      <c r="TDF80" s="406"/>
      <c r="TDG80" s="406"/>
      <c r="TDH80" s="406"/>
      <c r="TDI80" s="406"/>
      <c r="TDJ80" s="406"/>
      <c r="TDK80" s="406"/>
      <c r="TDL80" s="406"/>
      <c r="TDM80" s="406"/>
      <c r="TDN80" s="406"/>
      <c r="TDO80" s="406"/>
      <c r="TDP80" s="406"/>
      <c r="TDQ80" s="406"/>
      <c r="TDR80" s="406"/>
      <c r="TDS80" s="406"/>
      <c r="TDT80" s="406"/>
      <c r="TDU80" s="406"/>
      <c r="TDV80" s="406"/>
      <c r="TDW80" s="406"/>
      <c r="TDX80" s="406"/>
      <c r="TDY80" s="406"/>
      <c r="TDZ80" s="406"/>
      <c r="TEA80" s="406"/>
      <c r="TEB80" s="406"/>
      <c r="TEC80" s="406"/>
      <c r="TED80" s="406"/>
      <c r="TEE80" s="406"/>
      <c r="TEF80" s="406"/>
      <c r="TEG80" s="406"/>
      <c r="TEH80" s="406"/>
      <c r="TEI80" s="406"/>
      <c r="TEJ80" s="406"/>
      <c r="TEK80" s="406"/>
      <c r="TEL80" s="406"/>
      <c r="TEM80" s="406"/>
      <c r="TEN80" s="406"/>
      <c r="TEO80" s="406"/>
      <c r="TEP80" s="406"/>
      <c r="TEQ80" s="406"/>
      <c r="TER80" s="406"/>
      <c r="TES80" s="406"/>
      <c r="TET80" s="406"/>
      <c r="TEU80" s="406"/>
      <c r="TEV80" s="406"/>
      <c r="TEW80" s="406"/>
      <c r="TEX80" s="406"/>
      <c r="TEY80" s="406"/>
      <c r="TEZ80" s="406"/>
      <c r="TFA80" s="406"/>
      <c r="TFB80" s="406"/>
      <c r="TFC80" s="406"/>
      <c r="TFD80" s="406"/>
      <c r="TFE80" s="406"/>
      <c r="TFF80" s="406"/>
      <c r="TFG80" s="406"/>
      <c r="TFH80" s="406"/>
      <c r="TFI80" s="406"/>
      <c r="TFJ80" s="406"/>
      <c r="TFK80" s="406"/>
      <c r="TFL80" s="406"/>
      <c r="TFM80" s="406"/>
      <c r="TFN80" s="406"/>
      <c r="TFO80" s="406"/>
      <c r="TFP80" s="406"/>
      <c r="TFQ80" s="406"/>
      <c r="TFR80" s="406"/>
      <c r="TFS80" s="406"/>
      <c r="TFT80" s="406"/>
      <c r="TFU80" s="406"/>
      <c r="TFV80" s="406"/>
      <c r="TFW80" s="406"/>
      <c r="TFX80" s="406"/>
      <c r="TFY80" s="406"/>
      <c r="TFZ80" s="406"/>
      <c r="TGA80" s="406"/>
      <c r="TGB80" s="406"/>
      <c r="TGC80" s="406"/>
      <c r="TGD80" s="406"/>
      <c r="TGE80" s="406"/>
      <c r="TGF80" s="406"/>
      <c r="TGG80" s="406"/>
      <c r="TGH80" s="406"/>
      <c r="TGI80" s="406"/>
      <c r="TGJ80" s="406"/>
      <c r="TGK80" s="406"/>
      <c r="TGL80" s="406"/>
      <c r="TGM80" s="406"/>
      <c r="TGN80" s="406"/>
      <c r="TGO80" s="406"/>
      <c r="TGP80" s="406"/>
      <c r="TGQ80" s="406"/>
      <c r="TGR80" s="406"/>
      <c r="TGS80" s="406"/>
      <c r="TGT80" s="406"/>
      <c r="TGU80" s="406"/>
      <c r="TGV80" s="406"/>
      <c r="TGW80" s="406"/>
      <c r="TGX80" s="406"/>
      <c r="TGY80" s="406"/>
      <c r="TGZ80" s="406"/>
      <c r="THA80" s="406"/>
      <c r="THB80" s="406"/>
      <c r="THC80" s="406"/>
      <c r="THD80" s="406"/>
      <c r="THE80" s="406"/>
      <c r="THF80" s="406"/>
      <c r="THG80" s="406"/>
      <c r="THH80" s="406"/>
      <c r="THI80" s="406"/>
      <c r="THJ80" s="406"/>
      <c r="THK80" s="406"/>
      <c r="THL80" s="406"/>
      <c r="THM80" s="406"/>
      <c r="THN80" s="406"/>
      <c r="THO80" s="406"/>
      <c r="THP80" s="406"/>
      <c r="THQ80" s="406"/>
      <c r="THR80" s="406"/>
      <c r="THS80" s="406"/>
      <c r="THT80" s="406"/>
      <c r="THU80" s="406"/>
      <c r="THV80" s="406"/>
      <c r="THW80" s="406"/>
      <c r="THX80" s="406"/>
      <c r="THY80" s="406"/>
      <c r="THZ80" s="406"/>
      <c r="TIA80" s="406"/>
      <c r="TIB80" s="406"/>
      <c r="TIC80" s="406"/>
      <c r="TID80" s="406"/>
      <c r="TIE80" s="406"/>
      <c r="TIF80" s="406"/>
      <c r="TIG80" s="406"/>
      <c r="TIH80" s="406"/>
      <c r="TII80" s="406"/>
      <c r="TIJ80" s="406"/>
      <c r="TIK80" s="406"/>
      <c r="TIL80" s="406"/>
      <c r="TIM80" s="406"/>
      <c r="TIN80" s="406"/>
      <c r="TIO80" s="406"/>
      <c r="TIP80" s="406"/>
      <c r="TIQ80" s="406"/>
      <c r="TIR80" s="406"/>
      <c r="TIS80" s="406"/>
      <c r="TIT80" s="406"/>
      <c r="TIU80" s="406"/>
      <c r="TIV80" s="406"/>
      <c r="TIW80" s="406"/>
      <c r="TIX80" s="406"/>
      <c r="TIY80" s="406"/>
      <c r="TIZ80" s="406"/>
      <c r="TJA80" s="406"/>
      <c r="TJB80" s="406"/>
      <c r="TJC80" s="406"/>
      <c r="TJD80" s="406"/>
      <c r="TJE80" s="406"/>
      <c r="TJF80" s="406"/>
      <c r="TJG80" s="406"/>
      <c r="TJH80" s="406"/>
      <c r="TJI80" s="406"/>
      <c r="TJJ80" s="406"/>
      <c r="TJK80" s="406"/>
      <c r="TJL80" s="406"/>
      <c r="TJM80" s="406"/>
      <c r="TJN80" s="406"/>
      <c r="TJO80" s="406"/>
      <c r="TJP80" s="406"/>
      <c r="TJQ80" s="406"/>
      <c r="TJR80" s="406"/>
      <c r="TJS80" s="406"/>
      <c r="TJT80" s="406"/>
      <c r="TJU80" s="406"/>
      <c r="TJV80" s="406"/>
      <c r="TJW80" s="406"/>
      <c r="TJX80" s="406"/>
      <c r="TJY80" s="406"/>
      <c r="TJZ80" s="406"/>
      <c r="TKA80" s="406"/>
      <c r="TKB80" s="406"/>
      <c r="TKC80" s="406"/>
      <c r="TKD80" s="406"/>
      <c r="TKE80" s="406"/>
      <c r="TKF80" s="406"/>
      <c r="TKG80" s="406"/>
      <c r="TKH80" s="406"/>
      <c r="TKI80" s="406"/>
      <c r="TKJ80" s="406"/>
      <c r="TKK80" s="406"/>
      <c r="TKL80" s="406"/>
      <c r="TKM80" s="406"/>
      <c r="TKN80" s="406"/>
      <c r="TKO80" s="406"/>
      <c r="TKP80" s="406"/>
      <c r="TKQ80" s="406"/>
      <c r="TKR80" s="406"/>
      <c r="TKS80" s="406"/>
      <c r="TKT80" s="406"/>
      <c r="TKU80" s="406"/>
      <c r="TKV80" s="406"/>
      <c r="TKW80" s="406"/>
      <c r="TKX80" s="406"/>
      <c r="TKY80" s="406"/>
      <c r="TKZ80" s="406"/>
      <c r="TLA80" s="406"/>
      <c r="TLB80" s="406"/>
      <c r="TLC80" s="406"/>
      <c r="TLD80" s="406"/>
      <c r="TLE80" s="406"/>
      <c r="TLF80" s="406"/>
      <c r="TLG80" s="406"/>
      <c r="TLH80" s="406"/>
      <c r="TLI80" s="406"/>
      <c r="TLJ80" s="406"/>
      <c r="TLK80" s="406"/>
      <c r="TLL80" s="406"/>
      <c r="TLM80" s="406"/>
      <c r="TLN80" s="406"/>
      <c r="TLO80" s="406"/>
      <c r="TLP80" s="406"/>
      <c r="TLQ80" s="406"/>
      <c r="TLR80" s="406"/>
      <c r="TLS80" s="406"/>
      <c r="TLT80" s="406"/>
      <c r="TLU80" s="406"/>
      <c r="TLV80" s="406"/>
      <c r="TLW80" s="406"/>
      <c r="TLX80" s="406"/>
      <c r="TLY80" s="406"/>
      <c r="TLZ80" s="406"/>
      <c r="TMA80" s="406"/>
      <c r="TMB80" s="406"/>
      <c r="TMC80" s="406"/>
      <c r="TMD80" s="406"/>
      <c r="TME80" s="406"/>
      <c r="TMF80" s="406"/>
      <c r="TMG80" s="406"/>
      <c r="TMH80" s="406"/>
      <c r="TMI80" s="406"/>
      <c r="TMJ80" s="406"/>
      <c r="TMK80" s="406"/>
      <c r="TML80" s="406"/>
      <c r="TMM80" s="406"/>
      <c r="TMN80" s="406"/>
      <c r="TMO80" s="406"/>
      <c r="TMP80" s="406"/>
      <c r="TMQ80" s="406"/>
      <c r="TMR80" s="406"/>
      <c r="TMS80" s="406"/>
      <c r="TMT80" s="406"/>
      <c r="TMU80" s="406"/>
      <c r="TMV80" s="406"/>
      <c r="TMW80" s="406"/>
      <c r="TMX80" s="406"/>
      <c r="TMY80" s="406"/>
      <c r="TMZ80" s="406"/>
      <c r="TNA80" s="406"/>
      <c r="TNB80" s="406"/>
      <c r="TNC80" s="406"/>
      <c r="TND80" s="406"/>
      <c r="TNE80" s="406"/>
      <c r="TNF80" s="406"/>
      <c r="TNG80" s="406"/>
      <c r="TNH80" s="406"/>
      <c r="TNI80" s="406"/>
      <c r="TNJ80" s="406"/>
      <c r="TNK80" s="406"/>
      <c r="TNL80" s="406"/>
      <c r="TNM80" s="406"/>
      <c r="TNN80" s="406"/>
      <c r="TNO80" s="406"/>
      <c r="TNP80" s="406"/>
      <c r="TNQ80" s="406"/>
      <c r="TNR80" s="406"/>
      <c r="TNS80" s="406"/>
      <c r="TNT80" s="406"/>
      <c r="TNU80" s="406"/>
      <c r="TNV80" s="406"/>
      <c r="TNW80" s="406"/>
      <c r="TNX80" s="406"/>
      <c r="TNY80" s="406"/>
      <c r="TNZ80" s="406"/>
      <c r="TOA80" s="406"/>
      <c r="TOB80" s="406"/>
      <c r="TOC80" s="406"/>
      <c r="TOD80" s="406"/>
      <c r="TOE80" s="406"/>
      <c r="TOF80" s="406"/>
      <c r="TOG80" s="406"/>
      <c r="TOH80" s="406"/>
      <c r="TOI80" s="406"/>
      <c r="TOJ80" s="406"/>
      <c r="TOK80" s="406"/>
      <c r="TOL80" s="406"/>
      <c r="TOM80" s="406"/>
      <c r="TON80" s="406"/>
      <c r="TOO80" s="406"/>
      <c r="TOP80" s="406"/>
      <c r="TOQ80" s="406"/>
      <c r="TOR80" s="406"/>
      <c r="TOS80" s="406"/>
      <c r="TOT80" s="406"/>
      <c r="TOU80" s="406"/>
      <c r="TOV80" s="406"/>
      <c r="TOW80" s="406"/>
      <c r="TOX80" s="406"/>
      <c r="TOY80" s="406"/>
      <c r="TOZ80" s="406"/>
      <c r="TPA80" s="406"/>
      <c r="TPB80" s="406"/>
      <c r="TPC80" s="406"/>
      <c r="TPD80" s="406"/>
      <c r="TPE80" s="406"/>
      <c r="TPF80" s="406"/>
      <c r="TPG80" s="406"/>
      <c r="TPH80" s="406"/>
      <c r="TPI80" s="406"/>
      <c r="TPJ80" s="406"/>
      <c r="TPK80" s="406"/>
      <c r="TPL80" s="406"/>
      <c r="TPM80" s="406"/>
      <c r="TPN80" s="406"/>
      <c r="TPO80" s="406"/>
      <c r="TPP80" s="406"/>
      <c r="TPQ80" s="406"/>
      <c r="TPR80" s="406"/>
      <c r="TPS80" s="406"/>
      <c r="TPT80" s="406"/>
      <c r="TPU80" s="406"/>
      <c r="TPV80" s="406"/>
      <c r="TPW80" s="406"/>
      <c r="TPX80" s="406"/>
      <c r="TPY80" s="406"/>
      <c r="TPZ80" s="406"/>
      <c r="TQA80" s="406"/>
      <c r="TQB80" s="406"/>
      <c r="TQC80" s="406"/>
      <c r="TQD80" s="406"/>
      <c r="TQE80" s="406"/>
      <c r="TQF80" s="406"/>
      <c r="TQG80" s="406"/>
      <c r="TQH80" s="406"/>
      <c r="TQI80" s="406"/>
      <c r="TQJ80" s="406"/>
      <c r="TQK80" s="406"/>
      <c r="TQL80" s="406"/>
      <c r="TQM80" s="406"/>
      <c r="TQN80" s="406"/>
      <c r="TQO80" s="406"/>
      <c r="TQP80" s="406"/>
      <c r="TQQ80" s="406"/>
      <c r="TQR80" s="406"/>
      <c r="TQS80" s="406"/>
      <c r="TQT80" s="406"/>
      <c r="TQU80" s="406"/>
      <c r="TQV80" s="406"/>
      <c r="TQW80" s="406"/>
      <c r="TQX80" s="406"/>
      <c r="TQY80" s="406"/>
      <c r="TQZ80" s="406"/>
      <c r="TRA80" s="406"/>
      <c r="TRB80" s="406"/>
      <c r="TRC80" s="406"/>
      <c r="TRD80" s="406"/>
      <c r="TRE80" s="406"/>
      <c r="TRF80" s="406"/>
      <c r="TRG80" s="406"/>
      <c r="TRH80" s="406"/>
      <c r="TRI80" s="406"/>
      <c r="TRJ80" s="406"/>
      <c r="TRK80" s="406"/>
      <c r="TRL80" s="406"/>
      <c r="TRM80" s="406"/>
      <c r="TRN80" s="406"/>
      <c r="TRO80" s="406"/>
      <c r="TRP80" s="406"/>
      <c r="TRQ80" s="406"/>
      <c r="TRR80" s="406"/>
      <c r="TRS80" s="406"/>
      <c r="TRT80" s="406"/>
      <c r="TRU80" s="406"/>
      <c r="TRV80" s="406"/>
      <c r="TRW80" s="406"/>
      <c r="TRX80" s="406"/>
      <c r="TRY80" s="406"/>
      <c r="TRZ80" s="406"/>
      <c r="TSA80" s="406"/>
      <c r="TSB80" s="406"/>
      <c r="TSC80" s="406"/>
      <c r="TSD80" s="406"/>
      <c r="TSE80" s="406"/>
      <c r="TSF80" s="406"/>
      <c r="TSG80" s="406"/>
      <c r="TSH80" s="406"/>
      <c r="TSI80" s="406"/>
      <c r="TSJ80" s="406"/>
      <c r="TSK80" s="406"/>
      <c r="TSL80" s="406"/>
      <c r="TSM80" s="406"/>
      <c r="TSN80" s="406"/>
      <c r="TSO80" s="406"/>
      <c r="TSP80" s="406"/>
      <c r="TSQ80" s="406"/>
      <c r="TSR80" s="406"/>
      <c r="TSS80" s="406"/>
      <c r="TST80" s="406"/>
      <c r="TSU80" s="406"/>
      <c r="TSV80" s="406"/>
      <c r="TSW80" s="406"/>
      <c r="TSX80" s="406"/>
      <c r="TSY80" s="406"/>
      <c r="TSZ80" s="406"/>
      <c r="TTA80" s="406"/>
      <c r="TTB80" s="406"/>
      <c r="TTC80" s="406"/>
      <c r="TTD80" s="406"/>
      <c r="TTE80" s="406"/>
      <c r="TTF80" s="406"/>
      <c r="TTG80" s="406"/>
      <c r="TTH80" s="406"/>
      <c r="TTI80" s="406"/>
      <c r="TTJ80" s="406"/>
      <c r="TTK80" s="406"/>
      <c r="TTL80" s="406"/>
      <c r="TTM80" s="406"/>
      <c r="TTN80" s="406"/>
      <c r="TTO80" s="406"/>
      <c r="TTP80" s="406"/>
      <c r="TTQ80" s="406"/>
      <c r="TTR80" s="406"/>
      <c r="TTS80" s="406"/>
      <c r="TTT80" s="406"/>
      <c r="TTU80" s="406"/>
      <c r="TTV80" s="406"/>
      <c r="TTW80" s="406"/>
      <c r="TTX80" s="406"/>
      <c r="TTY80" s="406"/>
      <c r="TTZ80" s="406"/>
      <c r="TUA80" s="406"/>
      <c r="TUB80" s="406"/>
      <c r="TUC80" s="406"/>
      <c r="TUD80" s="406"/>
      <c r="TUE80" s="406"/>
      <c r="TUF80" s="406"/>
      <c r="TUG80" s="406"/>
      <c r="TUH80" s="406"/>
      <c r="TUI80" s="406"/>
      <c r="TUJ80" s="406"/>
      <c r="TUK80" s="406"/>
      <c r="TUL80" s="406"/>
      <c r="TUM80" s="406"/>
      <c r="TUN80" s="406"/>
      <c r="TUO80" s="406"/>
      <c r="TUP80" s="406"/>
      <c r="TUQ80" s="406"/>
      <c r="TUR80" s="406"/>
      <c r="TUS80" s="406"/>
      <c r="TUT80" s="406"/>
      <c r="TUU80" s="406"/>
      <c r="TUV80" s="406"/>
      <c r="TUW80" s="406"/>
      <c r="TUX80" s="406"/>
      <c r="TUY80" s="406"/>
      <c r="TUZ80" s="406"/>
      <c r="TVA80" s="406"/>
      <c r="TVB80" s="406"/>
      <c r="TVC80" s="406"/>
      <c r="TVD80" s="406"/>
      <c r="TVE80" s="406"/>
      <c r="TVF80" s="406"/>
      <c r="TVG80" s="406"/>
      <c r="TVH80" s="406"/>
      <c r="TVI80" s="406"/>
      <c r="TVJ80" s="406"/>
      <c r="TVK80" s="406"/>
      <c r="TVL80" s="406"/>
      <c r="TVM80" s="406"/>
      <c r="TVN80" s="406"/>
      <c r="TVO80" s="406"/>
      <c r="TVP80" s="406"/>
      <c r="TVQ80" s="406"/>
      <c r="TVR80" s="406"/>
      <c r="TVS80" s="406"/>
      <c r="TVT80" s="406"/>
      <c r="TVU80" s="406"/>
      <c r="TVV80" s="406"/>
      <c r="TVW80" s="406"/>
      <c r="TVX80" s="406"/>
      <c r="TVY80" s="406"/>
      <c r="TVZ80" s="406"/>
      <c r="TWA80" s="406"/>
      <c r="TWB80" s="406"/>
      <c r="TWC80" s="406"/>
      <c r="TWD80" s="406"/>
      <c r="TWE80" s="406"/>
      <c r="TWF80" s="406"/>
      <c r="TWG80" s="406"/>
      <c r="TWH80" s="406"/>
      <c r="TWI80" s="406"/>
      <c r="TWJ80" s="406"/>
      <c r="TWK80" s="406"/>
      <c r="TWL80" s="406"/>
      <c r="TWM80" s="406"/>
      <c r="TWN80" s="406"/>
      <c r="TWO80" s="406"/>
      <c r="TWP80" s="406"/>
      <c r="TWQ80" s="406"/>
      <c r="TWR80" s="406"/>
      <c r="TWS80" s="406"/>
      <c r="TWT80" s="406"/>
      <c r="TWU80" s="406"/>
      <c r="TWV80" s="406"/>
      <c r="TWW80" s="406"/>
      <c r="TWX80" s="406"/>
      <c r="TWY80" s="406"/>
      <c r="TWZ80" s="406"/>
      <c r="TXA80" s="406"/>
      <c r="TXB80" s="406"/>
      <c r="TXC80" s="406"/>
      <c r="TXD80" s="406"/>
      <c r="TXE80" s="406"/>
      <c r="TXF80" s="406"/>
      <c r="TXG80" s="406"/>
      <c r="TXH80" s="406"/>
      <c r="TXI80" s="406"/>
      <c r="TXJ80" s="406"/>
      <c r="TXK80" s="406"/>
      <c r="TXL80" s="406"/>
      <c r="TXM80" s="406"/>
      <c r="TXN80" s="406"/>
      <c r="TXO80" s="406"/>
      <c r="TXP80" s="406"/>
      <c r="TXQ80" s="406"/>
      <c r="TXR80" s="406"/>
      <c r="TXS80" s="406"/>
      <c r="TXT80" s="406"/>
      <c r="TXU80" s="406"/>
      <c r="TXV80" s="406"/>
      <c r="TXW80" s="406"/>
      <c r="TXX80" s="406"/>
      <c r="TXY80" s="406"/>
      <c r="TXZ80" s="406"/>
      <c r="TYA80" s="406"/>
      <c r="TYB80" s="406"/>
      <c r="TYC80" s="406"/>
      <c r="TYD80" s="406"/>
      <c r="TYE80" s="406"/>
      <c r="TYF80" s="406"/>
      <c r="TYG80" s="406"/>
      <c r="TYH80" s="406"/>
      <c r="TYI80" s="406"/>
      <c r="TYJ80" s="406"/>
      <c r="TYK80" s="406"/>
      <c r="TYL80" s="406"/>
      <c r="TYM80" s="406"/>
      <c r="TYN80" s="406"/>
      <c r="TYO80" s="406"/>
      <c r="TYP80" s="406"/>
      <c r="TYQ80" s="406"/>
      <c r="TYR80" s="406"/>
      <c r="TYS80" s="406"/>
      <c r="TYT80" s="406"/>
      <c r="TYU80" s="406"/>
      <c r="TYV80" s="406"/>
      <c r="TYW80" s="406"/>
      <c r="TYX80" s="406"/>
      <c r="TYY80" s="406"/>
      <c r="TYZ80" s="406"/>
      <c r="TZA80" s="406"/>
      <c r="TZB80" s="406"/>
      <c r="TZC80" s="406"/>
      <c r="TZD80" s="406"/>
      <c r="TZE80" s="406"/>
      <c r="TZF80" s="406"/>
      <c r="TZG80" s="406"/>
      <c r="TZH80" s="406"/>
      <c r="TZI80" s="406"/>
      <c r="TZJ80" s="406"/>
      <c r="TZK80" s="406"/>
      <c r="TZL80" s="406"/>
      <c r="TZM80" s="406"/>
      <c r="TZN80" s="406"/>
      <c r="TZO80" s="406"/>
      <c r="TZP80" s="406"/>
      <c r="TZQ80" s="406"/>
      <c r="TZR80" s="406"/>
      <c r="TZS80" s="406"/>
      <c r="TZT80" s="406"/>
      <c r="TZU80" s="406"/>
      <c r="TZV80" s="406"/>
      <c r="TZW80" s="406"/>
      <c r="TZX80" s="406"/>
      <c r="TZY80" s="406"/>
      <c r="TZZ80" s="406"/>
      <c r="UAA80" s="406"/>
      <c r="UAB80" s="406"/>
      <c r="UAC80" s="406"/>
      <c r="UAD80" s="406"/>
      <c r="UAE80" s="406"/>
      <c r="UAF80" s="406"/>
      <c r="UAG80" s="406"/>
      <c r="UAH80" s="406"/>
      <c r="UAI80" s="406"/>
      <c r="UAJ80" s="406"/>
      <c r="UAK80" s="406"/>
      <c r="UAL80" s="406"/>
      <c r="UAM80" s="406"/>
      <c r="UAN80" s="406"/>
      <c r="UAO80" s="406"/>
      <c r="UAP80" s="406"/>
      <c r="UAQ80" s="406"/>
      <c r="UAR80" s="406"/>
      <c r="UAS80" s="406"/>
      <c r="UAT80" s="406"/>
      <c r="UAU80" s="406"/>
      <c r="UAV80" s="406"/>
      <c r="UAW80" s="406"/>
      <c r="UAX80" s="406"/>
      <c r="UAY80" s="406"/>
      <c r="UAZ80" s="406"/>
      <c r="UBA80" s="406"/>
      <c r="UBB80" s="406"/>
      <c r="UBC80" s="406"/>
      <c r="UBD80" s="406"/>
      <c r="UBE80" s="406"/>
      <c r="UBF80" s="406"/>
      <c r="UBG80" s="406"/>
      <c r="UBH80" s="406"/>
      <c r="UBI80" s="406"/>
      <c r="UBJ80" s="406"/>
      <c r="UBK80" s="406"/>
      <c r="UBL80" s="406"/>
      <c r="UBM80" s="406"/>
      <c r="UBN80" s="406"/>
      <c r="UBO80" s="406"/>
      <c r="UBP80" s="406"/>
      <c r="UBQ80" s="406"/>
      <c r="UBR80" s="406"/>
      <c r="UBS80" s="406"/>
      <c r="UBT80" s="406"/>
      <c r="UBU80" s="406"/>
      <c r="UBV80" s="406"/>
      <c r="UBW80" s="406"/>
      <c r="UBX80" s="406"/>
      <c r="UBY80" s="406"/>
      <c r="UBZ80" s="406"/>
      <c r="UCA80" s="406"/>
      <c r="UCB80" s="406"/>
      <c r="UCC80" s="406"/>
      <c r="UCD80" s="406"/>
      <c r="UCE80" s="406"/>
      <c r="UCF80" s="406"/>
      <c r="UCG80" s="406"/>
      <c r="UCH80" s="406"/>
      <c r="UCI80" s="406"/>
      <c r="UCJ80" s="406"/>
      <c r="UCK80" s="406"/>
      <c r="UCL80" s="406"/>
      <c r="UCM80" s="406"/>
      <c r="UCN80" s="406"/>
      <c r="UCO80" s="406"/>
      <c r="UCP80" s="406"/>
      <c r="UCQ80" s="406"/>
      <c r="UCR80" s="406"/>
      <c r="UCS80" s="406"/>
      <c r="UCT80" s="406"/>
      <c r="UCU80" s="406"/>
      <c r="UCV80" s="406"/>
      <c r="UCW80" s="406"/>
      <c r="UCX80" s="406"/>
      <c r="UCY80" s="406"/>
      <c r="UCZ80" s="406"/>
      <c r="UDA80" s="406"/>
      <c r="UDB80" s="406"/>
      <c r="UDC80" s="406"/>
      <c r="UDD80" s="406"/>
      <c r="UDE80" s="406"/>
      <c r="UDF80" s="406"/>
      <c r="UDG80" s="406"/>
      <c r="UDH80" s="406"/>
      <c r="UDI80" s="406"/>
      <c r="UDJ80" s="406"/>
      <c r="UDK80" s="406"/>
      <c r="UDL80" s="406"/>
      <c r="UDM80" s="406"/>
      <c r="UDN80" s="406"/>
      <c r="UDO80" s="406"/>
      <c r="UDP80" s="406"/>
      <c r="UDQ80" s="406"/>
      <c r="UDR80" s="406"/>
      <c r="UDS80" s="406"/>
      <c r="UDT80" s="406"/>
      <c r="UDU80" s="406"/>
      <c r="UDV80" s="406"/>
      <c r="UDW80" s="406"/>
      <c r="UDX80" s="406"/>
      <c r="UDY80" s="406"/>
      <c r="UDZ80" s="406"/>
      <c r="UEA80" s="406"/>
      <c r="UEB80" s="406"/>
      <c r="UEC80" s="406"/>
      <c r="UED80" s="406"/>
      <c r="UEE80" s="406"/>
      <c r="UEF80" s="406"/>
      <c r="UEG80" s="406"/>
      <c r="UEH80" s="406"/>
      <c r="UEI80" s="406"/>
      <c r="UEJ80" s="406"/>
      <c r="UEK80" s="406"/>
      <c r="UEL80" s="406"/>
      <c r="UEM80" s="406"/>
      <c r="UEN80" s="406"/>
      <c r="UEO80" s="406"/>
      <c r="UEP80" s="406"/>
      <c r="UEQ80" s="406"/>
      <c r="UER80" s="406"/>
      <c r="UES80" s="406"/>
      <c r="UET80" s="406"/>
      <c r="UEU80" s="406"/>
      <c r="UEV80" s="406"/>
      <c r="UEW80" s="406"/>
      <c r="UEX80" s="406"/>
      <c r="UEY80" s="406"/>
      <c r="UEZ80" s="406"/>
      <c r="UFA80" s="406"/>
      <c r="UFB80" s="406"/>
      <c r="UFC80" s="406"/>
      <c r="UFD80" s="406"/>
      <c r="UFE80" s="406"/>
      <c r="UFF80" s="406"/>
      <c r="UFG80" s="406"/>
      <c r="UFH80" s="406"/>
      <c r="UFI80" s="406"/>
      <c r="UFJ80" s="406"/>
      <c r="UFK80" s="406"/>
      <c r="UFL80" s="406"/>
      <c r="UFM80" s="406"/>
      <c r="UFN80" s="406"/>
      <c r="UFO80" s="406"/>
      <c r="UFP80" s="406"/>
      <c r="UFQ80" s="406"/>
      <c r="UFR80" s="406"/>
      <c r="UFS80" s="406"/>
      <c r="UFT80" s="406"/>
      <c r="UFU80" s="406"/>
      <c r="UFV80" s="406"/>
      <c r="UFW80" s="406"/>
      <c r="UFX80" s="406"/>
      <c r="UFY80" s="406"/>
      <c r="UFZ80" s="406"/>
      <c r="UGA80" s="406"/>
      <c r="UGB80" s="406"/>
      <c r="UGC80" s="406"/>
      <c r="UGD80" s="406"/>
      <c r="UGE80" s="406"/>
      <c r="UGF80" s="406"/>
      <c r="UGG80" s="406"/>
      <c r="UGH80" s="406"/>
      <c r="UGI80" s="406"/>
      <c r="UGJ80" s="406"/>
      <c r="UGK80" s="406"/>
      <c r="UGL80" s="406"/>
      <c r="UGM80" s="406"/>
      <c r="UGN80" s="406"/>
      <c r="UGO80" s="406"/>
      <c r="UGP80" s="406"/>
      <c r="UGQ80" s="406"/>
      <c r="UGR80" s="406"/>
      <c r="UGS80" s="406"/>
      <c r="UGT80" s="406"/>
      <c r="UGU80" s="406"/>
      <c r="UGV80" s="406"/>
      <c r="UGW80" s="406"/>
      <c r="UGX80" s="406"/>
      <c r="UGY80" s="406"/>
      <c r="UGZ80" s="406"/>
      <c r="UHA80" s="406"/>
      <c r="UHB80" s="406"/>
      <c r="UHC80" s="406"/>
      <c r="UHD80" s="406"/>
      <c r="UHE80" s="406"/>
      <c r="UHF80" s="406"/>
      <c r="UHG80" s="406"/>
      <c r="UHH80" s="406"/>
      <c r="UHI80" s="406"/>
      <c r="UHJ80" s="406"/>
      <c r="UHK80" s="406"/>
      <c r="UHL80" s="406"/>
      <c r="UHM80" s="406"/>
      <c r="UHN80" s="406"/>
      <c r="UHO80" s="406"/>
      <c r="UHP80" s="406"/>
      <c r="UHQ80" s="406"/>
      <c r="UHR80" s="406"/>
      <c r="UHS80" s="406"/>
      <c r="UHT80" s="406"/>
      <c r="UHU80" s="406"/>
      <c r="UHV80" s="406"/>
      <c r="UHW80" s="406"/>
      <c r="UHX80" s="406"/>
      <c r="UHY80" s="406"/>
      <c r="UHZ80" s="406"/>
      <c r="UIA80" s="406"/>
      <c r="UIB80" s="406"/>
      <c r="UIC80" s="406"/>
      <c r="UID80" s="406"/>
      <c r="UIE80" s="406"/>
      <c r="UIF80" s="406"/>
      <c r="UIG80" s="406"/>
      <c r="UIH80" s="406"/>
      <c r="UII80" s="406"/>
      <c r="UIJ80" s="406"/>
      <c r="UIK80" s="406"/>
      <c r="UIL80" s="406"/>
      <c r="UIM80" s="406"/>
      <c r="UIN80" s="406"/>
      <c r="UIO80" s="406"/>
      <c r="UIP80" s="406"/>
      <c r="UIQ80" s="406"/>
      <c r="UIR80" s="406"/>
      <c r="UIS80" s="406"/>
      <c r="UIT80" s="406"/>
      <c r="UIU80" s="406"/>
      <c r="UIV80" s="406"/>
      <c r="UIW80" s="406"/>
      <c r="UIX80" s="406"/>
      <c r="UIY80" s="406"/>
      <c r="UIZ80" s="406"/>
      <c r="UJA80" s="406"/>
      <c r="UJB80" s="406"/>
      <c r="UJC80" s="406"/>
      <c r="UJD80" s="406"/>
      <c r="UJE80" s="406"/>
      <c r="UJF80" s="406"/>
      <c r="UJG80" s="406"/>
      <c r="UJH80" s="406"/>
      <c r="UJI80" s="406"/>
      <c r="UJJ80" s="406"/>
      <c r="UJK80" s="406"/>
      <c r="UJL80" s="406"/>
      <c r="UJM80" s="406"/>
      <c r="UJN80" s="406"/>
      <c r="UJO80" s="406"/>
      <c r="UJP80" s="406"/>
      <c r="UJQ80" s="406"/>
      <c r="UJR80" s="406"/>
      <c r="UJS80" s="406"/>
      <c r="UJT80" s="406"/>
      <c r="UJU80" s="406"/>
      <c r="UJV80" s="406"/>
      <c r="UJW80" s="406"/>
      <c r="UJX80" s="406"/>
      <c r="UJY80" s="406"/>
      <c r="UJZ80" s="406"/>
      <c r="UKA80" s="406"/>
      <c r="UKB80" s="406"/>
      <c r="UKC80" s="406"/>
      <c r="UKD80" s="406"/>
      <c r="UKE80" s="406"/>
      <c r="UKF80" s="406"/>
      <c r="UKG80" s="406"/>
      <c r="UKH80" s="406"/>
      <c r="UKI80" s="406"/>
      <c r="UKJ80" s="406"/>
      <c r="UKK80" s="406"/>
      <c r="UKL80" s="406"/>
      <c r="UKM80" s="406"/>
      <c r="UKN80" s="406"/>
      <c r="UKO80" s="406"/>
      <c r="UKP80" s="406"/>
      <c r="UKQ80" s="406"/>
      <c r="UKR80" s="406"/>
      <c r="UKS80" s="406"/>
      <c r="UKT80" s="406"/>
      <c r="UKU80" s="406"/>
      <c r="UKV80" s="406"/>
      <c r="UKW80" s="406"/>
      <c r="UKX80" s="406"/>
      <c r="UKY80" s="406"/>
      <c r="UKZ80" s="406"/>
      <c r="ULA80" s="406"/>
      <c r="ULB80" s="406"/>
      <c r="ULC80" s="406"/>
      <c r="ULD80" s="406"/>
      <c r="ULE80" s="406"/>
      <c r="ULF80" s="406"/>
      <c r="ULG80" s="406"/>
      <c r="ULH80" s="406"/>
      <c r="ULI80" s="406"/>
      <c r="ULJ80" s="406"/>
      <c r="ULK80" s="406"/>
      <c r="ULL80" s="406"/>
      <c r="ULM80" s="406"/>
      <c r="ULN80" s="406"/>
      <c r="ULO80" s="406"/>
      <c r="ULP80" s="406"/>
      <c r="ULQ80" s="406"/>
      <c r="ULR80" s="406"/>
      <c r="ULS80" s="406"/>
      <c r="ULT80" s="406"/>
      <c r="ULU80" s="406"/>
      <c r="ULV80" s="406"/>
      <c r="ULW80" s="406"/>
      <c r="ULX80" s="406"/>
      <c r="ULY80" s="406"/>
      <c r="ULZ80" s="406"/>
      <c r="UMA80" s="406"/>
      <c r="UMB80" s="406"/>
      <c r="UMC80" s="406"/>
      <c r="UMD80" s="406"/>
      <c r="UME80" s="406"/>
      <c r="UMF80" s="406"/>
      <c r="UMG80" s="406"/>
      <c r="UMH80" s="406"/>
      <c r="UMI80" s="406"/>
      <c r="UMJ80" s="406"/>
      <c r="UMK80" s="406"/>
      <c r="UML80" s="406"/>
      <c r="UMM80" s="406"/>
      <c r="UMN80" s="406"/>
      <c r="UMO80" s="406"/>
      <c r="UMP80" s="406"/>
      <c r="UMQ80" s="406"/>
      <c r="UMR80" s="406"/>
      <c r="UMS80" s="406"/>
      <c r="UMT80" s="406"/>
      <c r="UMU80" s="406"/>
      <c r="UMV80" s="406"/>
      <c r="UMW80" s="406"/>
      <c r="UMX80" s="406"/>
      <c r="UMY80" s="406"/>
      <c r="UMZ80" s="406"/>
      <c r="UNA80" s="406"/>
      <c r="UNB80" s="406"/>
      <c r="UNC80" s="406"/>
      <c r="UND80" s="406"/>
      <c r="UNE80" s="406"/>
      <c r="UNF80" s="406"/>
      <c r="UNG80" s="406"/>
      <c r="UNH80" s="406"/>
      <c r="UNI80" s="406"/>
      <c r="UNJ80" s="406"/>
      <c r="UNK80" s="406"/>
      <c r="UNL80" s="406"/>
      <c r="UNM80" s="406"/>
      <c r="UNN80" s="406"/>
      <c r="UNO80" s="406"/>
      <c r="UNP80" s="406"/>
      <c r="UNQ80" s="406"/>
      <c r="UNR80" s="406"/>
      <c r="UNS80" s="406"/>
      <c r="UNT80" s="406"/>
      <c r="UNU80" s="406"/>
      <c r="UNV80" s="406"/>
      <c r="UNW80" s="406"/>
      <c r="UNX80" s="406"/>
      <c r="UNY80" s="406"/>
      <c r="UNZ80" s="406"/>
      <c r="UOA80" s="406"/>
      <c r="UOB80" s="406"/>
      <c r="UOC80" s="406"/>
      <c r="UOD80" s="406"/>
      <c r="UOE80" s="406"/>
      <c r="UOF80" s="406"/>
      <c r="UOG80" s="406"/>
      <c r="UOH80" s="406"/>
      <c r="UOI80" s="406"/>
      <c r="UOJ80" s="406"/>
      <c r="UOK80" s="406"/>
      <c r="UOL80" s="406"/>
      <c r="UOM80" s="406"/>
      <c r="UON80" s="406"/>
      <c r="UOO80" s="406"/>
      <c r="UOP80" s="406"/>
      <c r="UOQ80" s="406"/>
      <c r="UOR80" s="406"/>
      <c r="UOS80" s="406"/>
      <c r="UOT80" s="406"/>
      <c r="UOU80" s="406"/>
      <c r="UOV80" s="406"/>
      <c r="UOW80" s="406"/>
      <c r="UOX80" s="406"/>
      <c r="UOY80" s="406"/>
      <c r="UOZ80" s="406"/>
      <c r="UPA80" s="406"/>
      <c r="UPB80" s="406"/>
      <c r="UPC80" s="406"/>
      <c r="UPD80" s="406"/>
      <c r="UPE80" s="406"/>
      <c r="UPF80" s="406"/>
      <c r="UPG80" s="406"/>
      <c r="UPH80" s="406"/>
      <c r="UPI80" s="406"/>
      <c r="UPJ80" s="406"/>
      <c r="UPK80" s="406"/>
      <c r="UPL80" s="406"/>
      <c r="UPM80" s="406"/>
      <c r="UPN80" s="406"/>
      <c r="UPO80" s="406"/>
      <c r="UPP80" s="406"/>
      <c r="UPQ80" s="406"/>
      <c r="UPR80" s="406"/>
      <c r="UPS80" s="406"/>
      <c r="UPT80" s="406"/>
      <c r="UPU80" s="406"/>
      <c r="UPV80" s="406"/>
      <c r="UPW80" s="406"/>
      <c r="UPX80" s="406"/>
      <c r="UPY80" s="406"/>
      <c r="UPZ80" s="406"/>
      <c r="UQA80" s="406"/>
      <c r="UQB80" s="406"/>
      <c r="UQC80" s="406"/>
      <c r="UQD80" s="406"/>
      <c r="UQE80" s="406"/>
      <c r="UQF80" s="406"/>
      <c r="UQG80" s="406"/>
      <c r="UQH80" s="406"/>
      <c r="UQI80" s="406"/>
      <c r="UQJ80" s="406"/>
      <c r="UQK80" s="406"/>
      <c r="UQL80" s="406"/>
      <c r="UQM80" s="406"/>
      <c r="UQN80" s="406"/>
      <c r="UQO80" s="406"/>
      <c r="UQP80" s="406"/>
      <c r="UQQ80" s="406"/>
      <c r="UQR80" s="406"/>
      <c r="UQS80" s="406"/>
      <c r="UQT80" s="406"/>
      <c r="UQU80" s="406"/>
      <c r="UQV80" s="406"/>
      <c r="UQW80" s="406"/>
      <c r="UQX80" s="406"/>
      <c r="UQY80" s="406"/>
      <c r="UQZ80" s="406"/>
      <c r="URA80" s="406"/>
      <c r="URB80" s="406"/>
      <c r="URC80" s="406"/>
      <c r="URD80" s="406"/>
      <c r="URE80" s="406"/>
      <c r="URF80" s="406"/>
      <c r="URG80" s="406"/>
      <c r="URH80" s="406"/>
      <c r="URI80" s="406"/>
      <c r="URJ80" s="406"/>
      <c r="URK80" s="406"/>
      <c r="URL80" s="406"/>
      <c r="URM80" s="406"/>
      <c r="URN80" s="406"/>
      <c r="URO80" s="406"/>
      <c r="URP80" s="406"/>
      <c r="URQ80" s="406"/>
      <c r="URR80" s="406"/>
      <c r="URS80" s="406"/>
      <c r="URT80" s="406"/>
      <c r="URU80" s="406"/>
      <c r="URV80" s="406"/>
      <c r="URW80" s="406"/>
      <c r="URX80" s="406"/>
      <c r="URY80" s="406"/>
      <c r="URZ80" s="406"/>
      <c r="USA80" s="406"/>
      <c r="USB80" s="406"/>
      <c r="USC80" s="406"/>
      <c r="USD80" s="406"/>
      <c r="USE80" s="406"/>
      <c r="USF80" s="406"/>
      <c r="USG80" s="406"/>
      <c r="USH80" s="406"/>
      <c r="USI80" s="406"/>
      <c r="USJ80" s="406"/>
      <c r="USK80" s="406"/>
      <c r="USL80" s="406"/>
      <c r="USM80" s="406"/>
      <c r="USN80" s="406"/>
      <c r="USO80" s="406"/>
      <c r="USP80" s="406"/>
      <c r="USQ80" s="406"/>
      <c r="USR80" s="406"/>
      <c r="USS80" s="406"/>
      <c r="UST80" s="406"/>
      <c r="USU80" s="406"/>
      <c r="USV80" s="406"/>
      <c r="USW80" s="406"/>
      <c r="USX80" s="406"/>
      <c r="USY80" s="406"/>
      <c r="USZ80" s="406"/>
      <c r="UTA80" s="406"/>
      <c r="UTB80" s="406"/>
      <c r="UTC80" s="406"/>
      <c r="UTD80" s="406"/>
      <c r="UTE80" s="406"/>
      <c r="UTF80" s="406"/>
      <c r="UTG80" s="406"/>
      <c r="UTH80" s="406"/>
      <c r="UTI80" s="406"/>
      <c r="UTJ80" s="406"/>
      <c r="UTK80" s="406"/>
      <c r="UTL80" s="406"/>
      <c r="UTM80" s="406"/>
      <c r="UTN80" s="406"/>
      <c r="UTO80" s="406"/>
      <c r="UTP80" s="406"/>
      <c r="UTQ80" s="406"/>
      <c r="UTR80" s="406"/>
      <c r="UTS80" s="406"/>
      <c r="UTT80" s="406"/>
      <c r="UTU80" s="406"/>
      <c r="UTV80" s="406"/>
      <c r="UTW80" s="406"/>
      <c r="UTX80" s="406"/>
      <c r="UTY80" s="406"/>
      <c r="UTZ80" s="406"/>
      <c r="UUA80" s="406"/>
      <c r="UUB80" s="406"/>
      <c r="UUC80" s="406"/>
      <c r="UUD80" s="406"/>
      <c r="UUE80" s="406"/>
      <c r="UUF80" s="406"/>
      <c r="UUG80" s="406"/>
      <c r="UUH80" s="406"/>
      <c r="UUI80" s="406"/>
      <c r="UUJ80" s="406"/>
      <c r="UUK80" s="406"/>
      <c r="UUL80" s="406"/>
      <c r="UUM80" s="406"/>
      <c r="UUN80" s="406"/>
      <c r="UUO80" s="406"/>
      <c r="UUP80" s="406"/>
      <c r="UUQ80" s="406"/>
      <c r="UUR80" s="406"/>
      <c r="UUS80" s="406"/>
      <c r="UUT80" s="406"/>
      <c r="UUU80" s="406"/>
      <c r="UUV80" s="406"/>
      <c r="UUW80" s="406"/>
      <c r="UUX80" s="406"/>
      <c r="UUY80" s="406"/>
      <c r="UUZ80" s="406"/>
      <c r="UVA80" s="406"/>
      <c r="UVB80" s="406"/>
      <c r="UVC80" s="406"/>
      <c r="UVD80" s="406"/>
      <c r="UVE80" s="406"/>
      <c r="UVF80" s="406"/>
      <c r="UVG80" s="406"/>
      <c r="UVH80" s="406"/>
      <c r="UVI80" s="406"/>
      <c r="UVJ80" s="406"/>
      <c r="UVK80" s="406"/>
      <c r="UVL80" s="406"/>
      <c r="UVM80" s="406"/>
      <c r="UVN80" s="406"/>
      <c r="UVO80" s="406"/>
      <c r="UVP80" s="406"/>
      <c r="UVQ80" s="406"/>
      <c r="UVR80" s="406"/>
      <c r="UVS80" s="406"/>
      <c r="UVT80" s="406"/>
      <c r="UVU80" s="406"/>
      <c r="UVV80" s="406"/>
      <c r="UVW80" s="406"/>
      <c r="UVX80" s="406"/>
      <c r="UVY80" s="406"/>
      <c r="UVZ80" s="406"/>
      <c r="UWA80" s="406"/>
      <c r="UWB80" s="406"/>
      <c r="UWC80" s="406"/>
      <c r="UWD80" s="406"/>
      <c r="UWE80" s="406"/>
      <c r="UWF80" s="406"/>
      <c r="UWG80" s="406"/>
      <c r="UWH80" s="406"/>
      <c r="UWI80" s="406"/>
      <c r="UWJ80" s="406"/>
      <c r="UWK80" s="406"/>
      <c r="UWL80" s="406"/>
      <c r="UWM80" s="406"/>
      <c r="UWN80" s="406"/>
      <c r="UWO80" s="406"/>
      <c r="UWP80" s="406"/>
      <c r="UWQ80" s="406"/>
      <c r="UWR80" s="406"/>
      <c r="UWS80" s="406"/>
      <c r="UWT80" s="406"/>
      <c r="UWU80" s="406"/>
      <c r="UWV80" s="406"/>
      <c r="UWW80" s="406"/>
      <c r="UWX80" s="406"/>
      <c r="UWY80" s="406"/>
      <c r="UWZ80" s="406"/>
      <c r="UXA80" s="406"/>
      <c r="UXB80" s="406"/>
      <c r="UXC80" s="406"/>
      <c r="UXD80" s="406"/>
      <c r="UXE80" s="406"/>
      <c r="UXF80" s="406"/>
      <c r="UXG80" s="406"/>
      <c r="UXH80" s="406"/>
      <c r="UXI80" s="406"/>
      <c r="UXJ80" s="406"/>
      <c r="UXK80" s="406"/>
      <c r="UXL80" s="406"/>
      <c r="UXM80" s="406"/>
      <c r="UXN80" s="406"/>
      <c r="UXO80" s="406"/>
      <c r="UXP80" s="406"/>
      <c r="UXQ80" s="406"/>
      <c r="UXR80" s="406"/>
      <c r="UXS80" s="406"/>
      <c r="UXT80" s="406"/>
      <c r="UXU80" s="406"/>
      <c r="UXV80" s="406"/>
      <c r="UXW80" s="406"/>
      <c r="UXX80" s="406"/>
      <c r="UXY80" s="406"/>
      <c r="UXZ80" s="406"/>
      <c r="UYA80" s="406"/>
      <c r="UYB80" s="406"/>
      <c r="UYC80" s="406"/>
      <c r="UYD80" s="406"/>
      <c r="UYE80" s="406"/>
      <c r="UYF80" s="406"/>
      <c r="UYG80" s="406"/>
      <c r="UYH80" s="406"/>
      <c r="UYI80" s="406"/>
      <c r="UYJ80" s="406"/>
      <c r="UYK80" s="406"/>
      <c r="UYL80" s="406"/>
      <c r="UYM80" s="406"/>
      <c r="UYN80" s="406"/>
      <c r="UYO80" s="406"/>
      <c r="UYP80" s="406"/>
      <c r="UYQ80" s="406"/>
      <c r="UYR80" s="406"/>
      <c r="UYS80" s="406"/>
      <c r="UYT80" s="406"/>
      <c r="UYU80" s="406"/>
      <c r="UYV80" s="406"/>
      <c r="UYW80" s="406"/>
      <c r="UYX80" s="406"/>
      <c r="UYY80" s="406"/>
      <c r="UYZ80" s="406"/>
      <c r="UZA80" s="406"/>
      <c r="UZB80" s="406"/>
      <c r="UZC80" s="406"/>
      <c r="UZD80" s="406"/>
      <c r="UZE80" s="406"/>
      <c r="UZF80" s="406"/>
      <c r="UZG80" s="406"/>
      <c r="UZH80" s="406"/>
      <c r="UZI80" s="406"/>
      <c r="UZJ80" s="406"/>
      <c r="UZK80" s="406"/>
      <c r="UZL80" s="406"/>
      <c r="UZM80" s="406"/>
      <c r="UZN80" s="406"/>
      <c r="UZO80" s="406"/>
      <c r="UZP80" s="406"/>
      <c r="UZQ80" s="406"/>
      <c r="UZR80" s="406"/>
      <c r="UZS80" s="406"/>
      <c r="UZT80" s="406"/>
      <c r="UZU80" s="406"/>
      <c r="UZV80" s="406"/>
      <c r="UZW80" s="406"/>
      <c r="UZX80" s="406"/>
      <c r="UZY80" s="406"/>
      <c r="UZZ80" s="406"/>
      <c r="VAA80" s="406"/>
      <c r="VAB80" s="406"/>
      <c r="VAC80" s="406"/>
      <c r="VAD80" s="406"/>
      <c r="VAE80" s="406"/>
      <c r="VAF80" s="406"/>
      <c r="VAG80" s="406"/>
      <c r="VAH80" s="406"/>
      <c r="VAI80" s="406"/>
      <c r="VAJ80" s="406"/>
      <c r="VAK80" s="406"/>
      <c r="VAL80" s="406"/>
      <c r="VAM80" s="406"/>
      <c r="VAN80" s="406"/>
      <c r="VAO80" s="406"/>
      <c r="VAP80" s="406"/>
      <c r="VAQ80" s="406"/>
      <c r="VAR80" s="406"/>
      <c r="VAS80" s="406"/>
      <c r="VAT80" s="406"/>
      <c r="VAU80" s="406"/>
      <c r="VAV80" s="406"/>
      <c r="VAW80" s="406"/>
      <c r="VAX80" s="406"/>
      <c r="VAY80" s="406"/>
      <c r="VAZ80" s="406"/>
      <c r="VBA80" s="406"/>
      <c r="VBB80" s="406"/>
      <c r="VBC80" s="406"/>
      <c r="VBD80" s="406"/>
      <c r="VBE80" s="406"/>
      <c r="VBF80" s="406"/>
      <c r="VBG80" s="406"/>
      <c r="VBH80" s="406"/>
      <c r="VBI80" s="406"/>
      <c r="VBJ80" s="406"/>
      <c r="VBK80" s="406"/>
      <c r="VBL80" s="406"/>
      <c r="VBM80" s="406"/>
      <c r="VBN80" s="406"/>
      <c r="VBO80" s="406"/>
      <c r="VBP80" s="406"/>
      <c r="VBQ80" s="406"/>
      <c r="VBR80" s="406"/>
      <c r="VBS80" s="406"/>
      <c r="VBT80" s="406"/>
      <c r="VBU80" s="406"/>
      <c r="VBV80" s="406"/>
      <c r="VBW80" s="406"/>
      <c r="VBX80" s="406"/>
      <c r="VBY80" s="406"/>
      <c r="VBZ80" s="406"/>
      <c r="VCA80" s="406"/>
      <c r="VCB80" s="406"/>
      <c r="VCC80" s="406"/>
      <c r="VCD80" s="406"/>
      <c r="VCE80" s="406"/>
      <c r="VCF80" s="406"/>
      <c r="VCG80" s="406"/>
      <c r="VCH80" s="406"/>
      <c r="VCI80" s="406"/>
      <c r="VCJ80" s="406"/>
      <c r="VCK80" s="406"/>
      <c r="VCL80" s="406"/>
      <c r="VCM80" s="406"/>
      <c r="VCN80" s="406"/>
      <c r="VCO80" s="406"/>
      <c r="VCP80" s="406"/>
      <c r="VCQ80" s="406"/>
      <c r="VCR80" s="406"/>
      <c r="VCS80" s="406"/>
      <c r="VCT80" s="406"/>
      <c r="VCU80" s="406"/>
      <c r="VCV80" s="406"/>
      <c r="VCW80" s="406"/>
      <c r="VCX80" s="406"/>
      <c r="VCY80" s="406"/>
      <c r="VCZ80" s="406"/>
      <c r="VDA80" s="406"/>
      <c r="VDB80" s="406"/>
      <c r="VDC80" s="406"/>
      <c r="VDD80" s="406"/>
      <c r="VDE80" s="406"/>
      <c r="VDF80" s="406"/>
      <c r="VDG80" s="406"/>
      <c r="VDH80" s="406"/>
      <c r="VDI80" s="406"/>
      <c r="VDJ80" s="406"/>
      <c r="VDK80" s="406"/>
      <c r="VDL80" s="406"/>
      <c r="VDM80" s="406"/>
      <c r="VDN80" s="406"/>
      <c r="VDO80" s="406"/>
      <c r="VDP80" s="406"/>
      <c r="VDQ80" s="406"/>
      <c r="VDR80" s="406"/>
      <c r="VDS80" s="406"/>
      <c r="VDT80" s="406"/>
      <c r="VDU80" s="406"/>
      <c r="VDV80" s="406"/>
      <c r="VDW80" s="406"/>
      <c r="VDX80" s="406"/>
      <c r="VDY80" s="406"/>
      <c r="VDZ80" s="406"/>
      <c r="VEA80" s="406"/>
      <c r="VEB80" s="406"/>
      <c r="VEC80" s="406"/>
      <c r="VED80" s="406"/>
      <c r="VEE80" s="406"/>
      <c r="VEF80" s="406"/>
      <c r="VEG80" s="406"/>
      <c r="VEH80" s="406"/>
      <c r="VEI80" s="406"/>
      <c r="VEJ80" s="406"/>
      <c r="VEK80" s="406"/>
      <c r="VEL80" s="406"/>
      <c r="VEM80" s="406"/>
      <c r="VEN80" s="406"/>
      <c r="VEO80" s="406"/>
      <c r="VEP80" s="406"/>
      <c r="VEQ80" s="406"/>
      <c r="VER80" s="406"/>
      <c r="VES80" s="406"/>
      <c r="VET80" s="406"/>
      <c r="VEU80" s="406"/>
      <c r="VEV80" s="406"/>
      <c r="VEW80" s="406"/>
      <c r="VEX80" s="406"/>
      <c r="VEY80" s="406"/>
      <c r="VEZ80" s="406"/>
      <c r="VFA80" s="406"/>
      <c r="VFB80" s="406"/>
      <c r="VFC80" s="406"/>
      <c r="VFD80" s="406"/>
      <c r="VFE80" s="406"/>
      <c r="VFF80" s="406"/>
      <c r="VFG80" s="406"/>
      <c r="VFH80" s="406"/>
      <c r="VFI80" s="406"/>
      <c r="VFJ80" s="406"/>
      <c r="VFK80" s="406"/>
      <c r="VFL80" s="406"/>
      <c r="VFM80" s="406"/>
      <c r="VFN80" s="406"/>
      <c r="VFO80" s="406"/>
      <c r="VFP80" s="406"/>
      <c r="VFQ80" s="406"/>
      <c r="VFR80" s="406"/>
      <c r="VFS80" s="406"/>
      <c r="VFT80" s="406"/>
      <c r="VFU80" s="406"/>
      <c r="VFV80" s="406"/>
      <c r="VFW80" s="406"/>
      <c r="VFX80" s="406"/>
      <c r="VFY80" s="406"/>
      <c r="VFZ80" s="406"/>
      <c r="VGA80" s="406"/>
      <c r="VGB80" s="406"/>
      <c r="VGC80" s="406"/>
      <c r="VGD80" s="406"/>
      <c r="VGE80" s="406"/>
      <c r="VGF80" s="406"/>
      <c r="VGG80" s="406"/>
      <c r="VGH80" s="406"/>
      <c r="VGI80" s="406"/>
      <c r="VGJ80" s="406"/>
      <c r="VGK80" s="406"/>
      <c r="VGL80" s="406"/>
      <c r="VGM80" s="406"/>
      <c r="VGN80" s="406"/>
      <c r="VGO80" s="406"/>
      <c r="VGP80" s="406"/>
      <c r="VGQ80" s="406"/>
      <c r="VGR80" s="406"/>
      <c r="VGS80" s="406"/>
      <c r="VGT80" s="406"/>
      <c r="VGU80" s="406"/>
      <c r="VGV80" s="406"/>
      <c r="VGW80" s="406"/>
      <c r="VGX80" s="406"/>
      <c r="VGY80" s="406"/>
      <c r="VGZ80" s="406"/>
      <c r="VHA80" s="406"/>
      <c r="VHB80" s="406"/>
      <c r="VHC80" s="406"/>
      <c r="VHD80" s="406"/>
      <c r="VHE80" s="406"/>
      <c r="VHF80" s="406"/>
      <c r="VHG80" s="406"/>
      <c r="VHH80" s="406"/>
      <c r="VHI80" s="406"/>
      <c r="VHJ80" s="406"/>
      <c r="VHK80" s="406"/>
      <c r="VHL80" s="406"/>
      <c r="VHM80" s="406"/>
      <c r="VHN80" s="406"/>
      <c r="VHO80" s="406"/>
      <c r="VHP80" s="406"/>
      <c r="VHQ80" s="406"/>
      <c r="VHR80" s="406"/>
      <c r="VHS80" s="406"/>
      <c r="VHT80" s="406"/>
      <c r="VHU80" s="406"/>
      <c r="VHV80" s="406"/>
      <c r="VHW80" s="406"/>
      <c r="VHX80" s="406"/>
      <c r="VHY80" s="406"/>
      <c r="VHZ80" s="406"/>
      <c r="VIA80" s="406"/>
      <c r="VIB80" s="406"/>
      <c r="VIC80" s="406"/>
      <c r="VID80" s="406"/>
      <c r="VIE80" s="406"/>
      <c r="VIF80" s="406"/>
      <c r="VIG80" s="406"/>
      <c r="VIH80" s="406"/>
      <c r="VII80" s="406"/>
      <c r="VIJ80" s="406"/>
      <c r="VIK80" s="406"/>
      <c r="VIL80" s="406"/>
      <c r="VIM80" s="406"/>
      <c r="VIN80" s="406"/>
      <c r="VIO80" s="406"/>
      <c r="VIP80" s="406"/>
      <c r="VIQ80" s="406"/>
      <c r="VIR80" s="406"/>
      <c r="VIS80" s="406"/>
      <c r="VIT80" s="406"/>
      <c r="VIU80" s="406"/>
      <c r="VIV80" s="406"/>
      <c r="VIW80" s="406"/>
      <c r="VIX80" s="406"/>
      <c r="VIY80" s="406"/>
      <c r="VIZ80" s="406"/>
      <c r="VJA80" s="406"/>
      <c r="VJB80" s="406"/>
      <c r="VJC80" s="406"/>
      <c r="VJD80" s="406"/>
      <c r="VJE80" s="406"/>
      <c r="VJF80" s="406"/>
      <c r="VJG80" s="406"/>
      <c r="VJH80" s="406"/>
      <c r="VJI80" s="406"/>
      <c r="VJJ80" s="406"/>
      <c r="VJK80" s="406"/>
      <c r="VJL80" s="406"/>
      <c r="VJM80" s="406"/>
      <c r="VJN80" s="406"/>
      <c r="VJO80" s="406"/>
      <c r="VJP80" s="406"/>
      <c r="VJQ80" s="406"/>
      <c r="VJR80" s="406"/>
      <c r="VJS80" s="406"/>
      <c r="VJT80" s="406"/>
      <c r="VJU80" s="406"/>
      <c r="VJV80" s="406"/>
      <c r="VJW80" s="406"/>
      <c r="VJX80" s="406"/>
      <c r="VJY80" s="406"/>
      <c r="VJZ80" s="406"/>
      <c r="VKA80" s="406"/>
      <c r="VKB80" s="406"/>
      <c r="VKC80" s="406"/>
      <c r="VKD80" s="406"/>
      <c r="VKE80" s="406"/>
      <c r="VKF80" s="406"/>
      <c r="VKG80" s="406"/>
      <c r="VKH80" s="406"/>
      <c r="VKI80" s="406"/>
      <c r="VKJ80" s="406"/>
      <c r="VKK80" s="406"/>
      <c r="VKL80" s="406"/>
      <c r="VKM80" s="406"/>
      <c r="VKN80" s="406"/>
      <c r="VKO80" s="406"/>
      <c r="VKP80" s="406"/>
      <c r="VKQ80" s="406"/>
      <c r="VKR80" s="406"/>
      <c r="VKS80" s="406"/>
      <c r="VKT80" s="406"/>
      <c r="VKU80" s="406"/>
      <c r="VKV80" s="406"/>
      <c r="VKW80" s="406"/>
      <c r="VKX80" s="406"/>
      <c r="VKY80" s="406"/>
      <c r="VKZ80" s="406"/>
      <c r="VLA80" s="406"/>
      <c r="VLB80" s="406"/>
      <c r="VLC80" s="406"/>
      <c r="VLD80" s="406"/>
      <c r="VLE80" s="406"/>
      <c r="VLF80" s="406"/>
      <c r="VLG80" s="406"/>
      <c r="VLH80" s="406"/>
      <c r="VLI80" s="406"/>
      <c r="VLJ80" s="406"/>
      <c r="VLK80" s="406"/>
      <c r="VLL80" s="406"/>
      <c r="VLM80" s="406"/>
      <c r="VLN80" s="406"/>
      <c r="VLO80" s="406"/>
      <c r="VLP80" s="406"/>
      <c r="VLQ80" s="406"/>
      <c r="VLR80" s="406"/>
      <c r="VLS80" s="406"/>
      <c r="VLT80" s="406"/>
      <c r="VLU80" s="406"/>
      <c r="VLV80" s="406"/>
      <c r="VLW80" s="406"/>
      <c r="VLX80" s="406"/>
      <c r="VLY80" s="406"/>
      <c r="VLZ80" s="406"/>
      <c r="VMA80" s="406"/>
      <c r="VMB80" s="406"/>
      <c r="VMC80" s="406"/>
      <c r="VMD80" s="406"/>
      <c r="VME80" s="406"/>
      <c r="VMF80" s="406"/>
      <c r="VMG80" s="406"/>
      <c r="VMH80" s="406"/>
      <c r="VMI80" s="406"/>
      <c r="VMJ80" s="406"/>
      <c r="VMK80" s="406"/>
      <c r="VML80" s="406"/>
      <c r="VMM80" s="406"/>
      <c r="VMN80" s="406"/>
      <c r="VMO80" s="406"/>
      <c r="VMP80" s="406"/>
      <c r="VMQ80" s="406"/>
      <c r="VMR80" s="406"/>
      <c r="VMS80" s="406"/>
      <c r="VMT80" s="406"/>
      <c r="VMU80" s="406"/>
      <c r="VMV80" s="406"/>
      <c r="VMW80" s="406"/>
      <c r="VMX80" s="406"/>
      <c r="VMY80" s="406"/>
      <c r="VMZ80" s="406"/>
      <c r="VNA80" s="406"/>
      <c r="VNB80" s="406"/>
      <c r="VNC80" s="406"/>
      <c r="VND80" s="406"/>
      <c r="VNE80" s="406"/>
      <c r="VNF80" s="406"/>
      <c r="VNG80" s="406"/>
      <c r="VNH80" s="406"/>
      <c r="VNI80" s="406"/>
      <c r="VNJ80" s="406"/>
      <c r="VNK80" s="406"/>
      <c r="VNL80" s="406"/>
      <c r="VNM80" s="406"/>
      <c r="VNN80" s="406"/>
      <c r="VNO80" s="406"/>
      <c r="VNP80" s="406"/>
      <c r="VNQ80" s="406"/>
      <c r="VNR80" s="406"/>
      <c r="VNS80" s="406"/>
      <c r="VNT80" s="406"/>
      <c r="VNU80" s="406"/>
      <c r="VNV80" s="406"/>
      <c r="VNW80" s="406"/>
      <c r="VNX80" s="406"/>
      <c r="VNY80" s="406"/>
      <c r="VNZ80" s="406"/>
      <c r="VOA80" s="406"/>
      <c r="VOB80" s="406"/>
      <c r="VOC80" s="406"/>
      <c r="VOD80" s="406"/>
      <c r="VOE80" s="406"/>
      <c r="VOF80" s="406"/>
      <c r="VOG80" s="406"/>
      <c r="VOH80" s="406"/>
      <c r="VOI80" s="406"/>
      <c r="VOJ80" s="406"/>
      <c r="VOK80" s="406"/>
      <c r="VOL80" s="406"/>
      <c r="VOM80" s="406"/>
      <c r="VON80" s="406"/>
      <c r="VOO80" s="406"/>
      <c r="VOP80" s="406"/>
      <c r="VOQ80" s="406"/>
      <c r="VOR80" s="406"/>
      <c r="VOS80" s="406"/>
      <c r="VOT80" s="406"/>
      <c r="VOU80" s="406"/>
      <c r="VOV80" s="406"/>
      <c r="VOW80" s="406"/>
      <c r="VOX80" s="406"/>
      <c r="VOY80" s="406"/>
      <c r="VOZ80" s="406"/>
      <c r="VPA80" s="406"/>
      <c r="VPB80" s="406"/>
      <c r="VPC80" s="406"/>
      <c r="VPD80" s="406"/>
      <c r="VPE80" s="406"/>
      <c r="VPF80" s="406"/>
      <c r="VPG80" s="406"/>
      <c r="VPH80" s="406"/>
      <c r="VPI80" s="406"/>
      <c r="VPJ80" s="406"/>
      <c r="VPK80" s="406"/>
      <c r="VPL80" s="406"/>
      <c r="VPM80" s="406"/>
      <c r="VPN80" s="406"/>
      <c r="VPO80" s="406"/>
      <c r="VPP80" s="406"/>
      <c r="VPQ80" s="406"/>
      <c r="VPR80" s="406"/>
      <c r="VPS80" s="406"/>
      <c r="VPT80" s="406"/>
      <c r="VPU80" s="406"/>
      <c r="VPV80" s="406"/>
      <c r="VPW80" s="406"/>
      <c r="VPX80" s="406"/>
      <c r="VPY80" s="406"/>
      <c r="VPZ80" s="406"/>
      <c r="VQA80" s="406"/>
      <c r="VQB80" s="406"/>
      <c r="VQC80" s="406"/>
      <c r="VQD80" s="406"/>
      <c r="VQE80" s="406"/>
      <c r="VQF80" s="406"/>
      <c r="VQG80" s="406"/>
      <c r="VQH80" s="406"/>
      <c r="VQI80" s="406"/>
      <c r="VQJ80" s="406"/>
      <c r="VQK80" s="406"/>
      <c r="VQL80" s="406"/>
      <c r="VQM80" s="406"/>
      <c r="VQN80" s="406"/>
      <c r="VQO80" s="406"/>
      <c r="VQP80" s="406"/>
      <c r="VQQ80" s="406"/>
      <c r="VQR80" s="406"/>
      <c r="VQS80" s="406"/>
      <c r="VQT80" s="406"/>
      <c r="VQU80" s="406"/>
      <c r="VQV80" s="406"/>
      <c r="VQW80" s="406"/>
      <c r="VQX80" s="406"/>
      <c r="VQY80" s="406"/>
      <c r="VQZ80" s="406"/>
      <c r="VRA80" s="406"/>
      <c r="VRB80" s="406"/>
      <c r="VRC80" s="406"/>
      <c r="VRD80" s="406"/>
      <c r="VRE80" s="406"/>
      <c r="VRF80" s="406"/>
      <c r="VRG80" s="406"/>
      <c r="VRH80" s="406"/>
      <c r="VRI80" s="406"/>
      <c r="VRJ80" s="406"/>
      <c r="VRK80" s="406"/>
      <c r="VRL80" s="406"/>
      <c r="VRM80" s="406"/>
      <c r="VRN80" s="406"/>
      <c r="VRO80" s="406"/>
      <c r="VRP80" s="406"/>
      <c r="VRQ80" s="406"/>
      <c r="VRR80" s="406"/>
      <c r="VRS80" s="406"/>
      <c r="VRT80" s="406"/>
      <c r="VRU80" s="406"/>
      <c r="VRV80" s="406"/>
      <c r="VRW80" s="406"/>
      <c r="VRX80" s="406"/>
      <c r="VRY80" s="406"/>
      <c r="VRZ80" s="406"/>
      <c r="VSA80" s="406"/>
      <c r="VSB80" s="406"/>
      <c r="VSC80" s="406"/>
      <c r="VSD80" s="406"/>
      <c r="VSE80" s="406"/>
      <c r="VSF80" s="406"/>
      <c r="VSG80" s="406"/>
      <c r="VSH80" s="406"/>
      <c r="VSI80" s="406"/>
      <c r="VSJ80" s="406"/>
      <c r="VSK80" s="406"/>
      <c r="VSL80" s="406"/>
      <c r="VSM80" s="406"/>
      <c r="VSN80" s="406"/>
      <c r="VSO80" s="406"/>
      <c r="VSP80" s="406"/>
      <c r="VSQ80" s="406"/>
      <c r="VSR80" s="406"/>
      <c r="VSS80" s="406"/>
      <c r="VST80" s="406"/>
      <c r="VSU80" s="406"/>
      <c r="VSV80" s="406"/>
      <c r="VSW80" s="406"/>
      <c r="VSX80" s="406"/>
      <c r="VSY80" s="406"/>
      <c r="VSZ80" s="406"/>
      <c r="VTA80" s="406"/>
      <c r="VTB80" s="406"/>
      <c r="VTC80" s="406"/>
      <c r="VTD80" s="406"/>
      <c r="VTE80" s="406"/>
      <c r="VTF80" s="406"/>
      <c r="VTG80" s="406"/>
      <c r="VTH80" s="406"/>
      <c r="VTI80" s="406"/>
      <c r="VTJ80" s="406"/>
      <c r="VTK80" s="406"/>
      <c r="VTL80" s="406"/>
      <c r="VTM80" s="406"/>
      <c r="VTN80" s="406"/>
      <c r="VTO80" s="406"/>
      <c r="VTP80" s="406"/>
      <c r="VTQ80" s="406"/>
      <c r="VTR80" s="406"/>
      <c r="VTS80" s="406"/>
      <c r="VTT80" s="406"/>
      <c r="VTU80" s="406"/>
      <c r="VTV80" s="406"/>
      <c r="VTW80" s="406"/>
      <c r="VTX80" s="406"/>
      <c r="VTY80" s="406"/>
      <c r="VTZ80" s="406"/>
      <c r="VUA80" s="406"/>
      <c r="VUB80" s="406"/>
      <c r="VUC80" s="406"/>
      <c r="VUD80" s="406"/>
      <c r="VUE80" s="406"/>
      <c r="VUF80" s="406"/>
      <c r="VUG80" s="406"/>
      <c r="VUH80" s="406"/>
      <c r="VUI80" s="406"/>
      <c r="VUJ80" s="406"/>
      <c r="VUK80" s="406"/>
      <c r="VUL80" s="406"/>
      <c r="VUM80" s="406"/>
      <c r="VUN80" s="406"/>
      <c r="VUO80" s="406"/>
      <c r="VUP80" s="406"/>
      <c r="VUQ80" s="406"/>
      <c r="VUR80" s="406"/>
      <c r="VUS80" s="406"/>
      <c r="VUT80" s="406"/>
      <c r="VUU80" s="406"/>
      <c r="VUV80" s="406"/>
      <c r="VUW80" s="406"/>
      <c r="VUX80" s="406"/>
      <c r="VUY80" s="406"/>
      <c r="VUZ80" s="406"/>
      <c r="VVA80" s="406"/>
      <c r="VVB80" s="406"/>
      <c r="VVC80" s="406"/>
      <c r="VVD80" s="406"/>
      <c r="VVE80" s="406"/>
      <c r="VVF80" s="406"/>
      <c r="VVG80" s="406"/>
      <c r="VVH80" s="406"/>
      <c r="VVI80" s="406"/>
      <c r="VVJ80" s="406"/>
      <c r="VVK80" s="406"/>
      <c r="VVL80" s="406"/>
      <c r="VVM80" s="406"/>
      <c r="VVN80" s="406"/>
      <c r="VVO80" s="406"/>
      <c r="VVP80" s="406"/>
      <c r="VVQ80" s="406"/>
      <c r="VVR80" s="406"/>
      <c r="VVS80" s="406"/>
      <c r="VVT80" s="406"/>
      <c r="VVU80" s="406"/>
      <c r="VVV80" s="406"/>
      <c r="VVW80" s="406"/>
      <c r="VVX80" s="406"/>
      <c r="VVY80" s="406"/>
      <c r="VVZ80" s="406"/>
      <c r="VWA80" s="406"/>
      <c r="VWB80" s="406"/>
      <c r="VWC80" s="406"/>
      <c r="VWD80" s="406"/>
      <c r="VWE80" s="406"/>
      <c r="VWF80" s="406"/>
      <c r="VWG80" s="406"/>
      <c r="VWH80" s="406"/>
      <c r="VWI80" s="406"/>
      <c r="VWJ80" s="406"/>
      <c r="VWK80" s="406"/>
      <c r="VWL80" s="406"/>
      <c r="VWM80" s="406"/>
      <c r="VWN80" s="406"/>
      <c r="VWO80" s="406"/>
      <c r="VWP80" s="406"/>
      <c r="VWQ80" s="406"/>
      <c r="VWR80" s="406"/>
      <c r="VWS80" s="406"/>
      <c r="VWT80" s="406"/>
      <c r="VWU80" s="406"/>
      <c r="VWV80" s="406"/>
      <c r="VWW80" s="406"/>
      <c r="VWX80" s="406"/>
      <c r="VWY80" s="406"/>
      <c r="VWZ80" s="406"/>
      <c r="VXA80" s="406"/>
      <c r="VXB80" s="406"/>
      <c r="VXC80" s="406"/>
      <c r="VXD80" s="406"/>
      <c r="VXE80" s="406"/>
      <c r="VXF80" s="406"/>
      <c r="VXG80" s="406"/>
      <c r="VXH80" s="406"/>
      <c r="VXI80" s="406"/>
      <c r="VXJ80" s="406"/>
      <c r="VXK80" s="406"/>
      <c r="VXL80" s="406"/>
      <c r="VXM80" s="406"/>
      <c r="VXN80" s="406"/>
      <c r="VXO80" s="406"/>
      <c r="VXP80" s="406"/>
      <c r="VXQ80" s="406"/>
      <c r="VXR80" s="406"/>
      <c r="VXS80" s="406"/>
      <c r="VXT80" s="406"/>
      <c r="VXU80" s="406"/>
      <c r="VXV80" s="406"/>
      <c r="VXW80" s="406"/>
      <c r="VXX80" s="406"/>
      <c r="VXY80" s="406"/>
      <c r="VXZ80" s="406"/>
      <c r="VYA80" s="406"/>
      <c r="VYB80" s="406"/>
      <c r="VYC80" s="406"/>
      <c r="VYD80" s="406"/>
      <c r="VYE80" s="406"/>
      <c r="VYF80" s="406"/>
      <c r="VYG80" s="406"/>
      <c r="VYH80" s="406"/>
      <c r="VYI80" s="406"/>
      <c r="VYJ80" s="406"/>
      <c r="VYK80" s="406"/>
      <c r="VYL80" s="406"/>
      <c r="VYM80" s="406"/>
      <c r="VYN80" s="406"/>
      <c r="VYO80" s="406"/>
      <c r="VYP80" s="406"/>
      <c r="VYQ80" s="406"/>
      <c r="VYR80" s="406"/>
      <c r="VYS80" s="406"/>
      <c r="VYT80" s="406"/>
      <c r="VYU80" s="406"/>
      <c r="VYV80" s="406"/>
      <c r="VYW80" s="406"/>
      <c r="VYX80" s="406"/>
      <c r="VYY80" s="406"/>
      <c r="VYZ80" s="406"/>
      <c r="VZA80" s="406"/>
      <c r="VZB80" s="406"/>
      <c r="VZC80" s="406"/>
      <c r="VZD80" s="406"/>
      <c r="VZE80" s="406"/>
      <c r="VZF80" s="406"/>
      <c r="VZG80" s="406"/>
      <c r="VZH80" s="406"/>
      <c r="VZI80" s="406"/>
      <c r="VZJ80" s="406"/>
      <c r="VZK80" s="406"/>
      <c r="VZL80" s="406"/>
      <c r="VZM80" s="406"/>
      <c r="VZN80" s="406"/>
      <c r="VZO80" s="406"/>
      <c r="VZP80" s="406"/>
      <c r="VZQ80" s="406"/>
      <c r="VZR80" s="406"/>
      <c r="VZS80" s="406"/>
      <c r="VZT80" s="406"/>
      <c r="VZU80" s="406"/>
      <c r="VZV80" s="406"/>
      <c r="VZW80" s="406"/>
      <c r="VZX80" s="406"/>
      <c r="VZY80" s="406"/>
      <c r="VZZ80" s="406"/>
      <c r="WAA80" s="406"/>
      <c r="WAB80" s="406"/>
      <c r="WAC80" s="406"/>
      <c r="WAD80" s="406"/>
      <c r="WAE80" s="406"/>
      <c r="WAF80" s="406"/>
      <c r="WAG80" s="406"/>
      <c r="WAH80" s="406"/>
      <c r="WAI80" s="406"/>
      <c r="WAJ80" s="406"/>
      <c r="WAK80" s="406"/>
      <c r="WAL80" s="406"/>
      <c r="WAM80" s="406"/>
      <c r="WAN80" s="406"/>
      <c r="WAO80" s="406"/>
      <c r="WAP80" s="406"/>
      <c r="WAQ80" s="406"/>
      <c r="WAR80" s="406"/>
      <c r="WAS80" s="406"/>
      <c r="WAT80" s="406"/>
      <c r="WAU80" s="406"/>
      <c r="WAV80" s="406"/>
      <c r="WAW80" s="406"/>
      <c r="WAX80" s="406"/>
      <c r="WAY80" s="406"/>
      <c r="WAZ80" s="406"/>
      <c r="WBA80" s="406"/>
      <c r="WBB80" s="406"/>
      <c r="WBC80" s="406"/>
      <c r="WBD80" s="406"/>
      <c r="WBE80" s="406"/>
      <c r="WBF80" s="406"/>
      <c r="WBG80" s="406"/>
      <c r="WBH80" s="406"/>
      <c r="WBI80" s="406"/>
      <c r="WBJ80" s="406"/>
      <c r="WBK80" s="406"/>
      <c r="WBL80" s="406"/>
      <c r="WBM80" s="406"/>
      <c r="WBN80" s="406"/>
      <c r="WBO80" s="406"/>
      <c r="WBP80" s="406"/>
      <c r="WBQ80" s="406"/>
      <c r="WBR80" s="406"/>
      <c r="WBS80" s="406"/>
      <c r="WBT80" s="406"/>
      <c r="WBU80" s="406"/>
      <c r="WBV80" s="406"/>
      <c r="WBW80" s="406"/>
      <c r="WBX80" s="406"/>
      <c r="WBY80" s="406"/>
      <c r="WBZ80" s="406"/>
      <c r="WCA80" s="406"/>
      <c r="WCB80" s="406"/>
      <c r="WCC80" s="406"/>
      <c r="WCD80" s="406"/>
      <c r="WCE80" s="406"/>
      <c r="WCF80" s="406"/>
      <c r="WCG80" s="406"/>
      <c r="WCH80" s="406"/>
      <c r="WCI80" s="406"/>
      <c r="WCJ80" s="406"/>
      <c r="WCK80" s="406"/>
      <c r="WCL80" s="406"/>
      <c r="WCM80" s="406"/>
      <c r="WCN80" s="406"/>
      <c r="WCO80" s="406"/>
      <c r="WCP80" s="406"/>
      <c r="WCQ80" s="406"/>
      <c r="WCR80" s="406"/>
      <c r="WCS80" s="406"/>
      <c r="WCT80" s="406"/>
      <c r="WCU80" s="406"/>
      <c r="WCV80" s="406"/>
      <c r="WCW80" s="406"/>
      <c r="WCX80" s="406"/>
      <c r="WCY80" s="406"/>
      <c r="WCZ80" s="406"/>
      <c r="WDA80" s="406"/>
      <c r="WDB80" s="406"/>
      <c r="WDC80" s="406"/>
      <c r="WDD80" s="406"/>
      <c r="WDE80" s="406"/>
      <c r="WDF80" s="406"/>
      <c r="WDG80" s="406"/>
      <c r="WDH80" s="406"/>
      <c r="WDI80" s="406"/>
      <c r="WDJ80" s="406"/>
      <c r="WDK80" s="406"/>
      <c r="WDL80" s="406"/>
      <c r="WDM80" s="406"/>
      <c r="WDN80" s="406"/>
      <c r="WDO80" s="406"/>
      <c r="WDP80" s="406"/>
      <c r="WDQ80" s="406"/>
      <c r="WDR80" s="406"/>
      <c r="WDS80" s="406"/>
      <c r="WDT80" s="406"/>
      <c r="WDU80" s="406"/>
      <c r="WDV80" s="406"/>
      <c r="WDW80" s="406"/>
      <c r="WDX80" s="406"/>
      <c r="WDY80" s="406"/>
      <c r="WDZ80" s="406"/>
      <c r="WEA80" s="406"/>
      <c r="WEB80" s="406"/>
      <c r="WEC80" s="406"/>
      <c r="WED80" s="406"/>
      <c r="WEE80" s="406"/>
      <c r="WEF80" s="406"/>
      <c r="WEG80" s="406"/>
      <c r="WEH80" s="406"/>
      <c r="WEI80" s="406"/>
      <c r="WEJ80" s="406"/>
      <c r="WEK80" s="406"/>
      <c r="WEL80" s="406"/>
      <c r="WEM80" s="406"/>
      <c r="WEN80" s="406"/>
      <c r="WEO80" s="406"/>
      <c r="WEP80" s="406"/>
      <c r="WEQ80" s="406"/>
      <c r="WER80" s="406"/>
      <c r="WES80" s="406"/>
      <c r="WET80" s="406"/>
      <c r="WEU80" s="406"/>
      <c r="WEV80" s="406"/>
      <c r="WEW80" s="406"/>
      <c r="WEX80" s="406"/>
      <c r="WEY80" s="406"/>
      <c r="WEZ80" s="406"/>
      <c r="WFA80" s="406"/>
      <c r="WFB80" s="406"/>
      <c r="WFC80" s="406"/>
      <c r="WFD80" s="406"/>
      <c r="WFE80" s="406"/>
      <c r="WFF80" s="406"/>
      <c r="WFG80" s="406"/>
      <c r="WFH80" s="406"/>
      <c r="WFI80" s="406"/>
      <c r="WFJ80" s="406"/>
      <c r="WFK80" s="406"/>
      <c r="WFL80" s="406"/>
      <c r="WFM80" s="406"/>
      <c r="WFN80" s="406"/>
      <c r="WFO80" s="406"/>
      <c r="WFP80" s="406"/>
      <c r="WFQ80" s="406"/>
      <c r="WFR80" s="406"/>
      <c r="WFS80" s="406"/>
      <c r="WFT80" s="406"/>
      <c r="WFU80" s="406"/>
      <c r="WFV80" s="406"/>
      <c r="WFW80" s="406"/>
      <c r="WFX80" s="406"/>
      <c r="WFY80" s="406"/>
      <c r="WFZ80" s="406"/>
      <c r="WGA80" s="406"/>
      <c r="WGB80" s="406"/>
      <c r="WGC80" s="406"/>
      <c r="WGD80" s="406"/>
      <c r="WGE80" s="406"/>
      <c r="WGF80" s="406"/>
      <c r="WGG80" s="406"/>
      <c r="WGH80" s="406"/>
      <c r="WGI80" s="406"/>
      <c r="WGJ80" s="406"/>
      <c r="WGK80" s="406"/>
      <c r="WGL80" s="406"/>
      <c r="WGM80" s="406"/>
      <c r="WGN80" s="406"/>
      <c r="WGO80" s="406"/>
      <c r="WGP80" s="406"/>
      <c r="WGQ80" s="406"/>
      <c r="WGR80" s="406"/>
      <c r="WGS80" s="406"/>
      <c r="WGT80" s="406"/>
      <c r="WGU80" s="406"/>
      <c r="WGV80" s="406"/>
      <c r="WGW80" s="406"/>
      <c r="WGX80" s="406"/>
      <c r="WGY80" s="406"/>
      <c r="WGZ80" s="406"/>
      <c r="WHA80" s="406"/>
      <c r="WHB80" s="406"/>
      <c r="WHC80" s="406"/>
      <c r="WHD80" s="406"/>
      <c r="WHE80" s="406"/>
      <c r="WHF80" s="406"/>
      <c r="WHG80" s="406"/>
      <c r="WHH80" s="406"/>
      <c r="WHI80" s="406"/>
      <c r="WHJ80" s="406"/>
      <c r="WHK80" s="406"/>
      <c r="WHL80" s="406"/>
      <c r="WHM80" s="406"/>
      <c r="WHN80" s="406"/>
      <c r="WHO80" s="406"/>
      <c r="WHP80" s="406"/>
      <c r="WHQ80" s="406"/>
      <c r="WHR80" s="406"/>
      <c r="WHS80" s="406"/>
      <c r="WHT80" s="406"/>
      <c r="WHU80" s="406"/>
      <c r="WHV80" s="406"/>
      <c r="WHW80" s="406"/>
      <c r="WHX80" s="406"/>
      <c r="WHY80" s="406"/>
      <c r="WHZ80" s="406"/>
      <c r="WIA80" s="406"/>
      <c r="WIB80" s="406"/>
      <c r="WIC80" s="406"/>
      <c r="WID80" s="406"/>
      <c r="WIE80" s="406"/>
      <c r="WIF80" s="406"/>
      <c r="WIG80" s="406"/>
      <c r="WIH80" s="406"/>
      <c r="WII80" s="406"/>
      <c r="WIJ80" s="406"/>
      <c r="WIK80" s="406"/>
      <c r="WIL80" s="406"/>
      <c r="WIM80" s="406"/>
      <c r="WIN80" s="406"/>
      <c r="WIO80" s="406"/>
      <c r="WIP80" s="406"/>
      <c r="WIQ80" s="406"/>
      <c r="WIR80" s="406"/>
      <c r="WIS80" s="406"/>
      <c r="WIT80" s="406"/>
      <c r="WIU80" s="406"/>
      <c r="WIV80" s="406"/>
      <c r="WIW80" s="406"/>
      <c r="WIX80" s="406"/>
      <c r="WIY80" s="406"/>
      <c r="WIZ80" s="406"/>
      <c r="WJA80" s="406"/>
      <c r="WJB80" s="406"/>
      <c r="WJC80" s="406"/>
      <c r="WJD80" s="406"/>
      <c r="WJE80" s="406"/>
      <c r="WJF80" s="406"/>
      <c r="WJG80" s="406"/>
      <c r="WJH80" s="406"/>
      <c r="WJI80" s="406"/>
      <c r="WJJ80" s="406"/>
      <c r="WJK80" s="406"/>
      <c r="WJL80" s="406"/>
      <c r="WJM80" s="406"/>
      <c r="WJN80" s="406"/>
      <c r="WJO80" s="406"/>
      <c r="WJP80" s="406"/>
      <c r="WJQ80" s="406"/>
      <c r="WJR80" s="406"/>
      <c r="WJS80" s="406"/>
      <c r="WJT80" s="406"/>
      <c r="WJU80" s="406"/>
      <c r="WJV80" s="406"/>
      <c r="WJW80" s="406"/>
      <c r="WJX80" s="406"/>
      <c r="WJY80" s="406"/>
      <c r="WJZ80" s="406"/>
      <c r="WKA80" s="406"/>
      <c r="WKB80" s="406"/>
      <c r="WKC80" s="406"/>
      <c r="WKD80" s="406"/>
      <c r="WKE80" s="406"/>
      <c r="WKF80" s="406"/>
      <c r="WKG80" s="406"/>
      <c r="WKH80" s="406"/>
      <c r="WKI80" s="406"/>
      <c r="WKJ80" s="406"/>
      <c r="WKK80" s="406"/>
      <c r="WKL80" s="406"/>
      <c r="WKM80" s="406"/>
      <c r="WKN80" s="406"/>
      <c r="WKO80" s="406"/>
      <c r="WKP80" s="406"/>
      <c r="WKQ80" s="406"/>
      <c r="WKR80" s="406"/>
      <c r="WKS80" s="406"/>
      <c r="WKT80" s="406"/>
      <c r="WKU80" s="406"/>
      <c r="WKV80" s="406"/>
      <c r="WKW80" s="406"/>
      <c r="WKX80" s="406"/>
      <c r="WKY80" s="406"/>
      <c r="WKZ80" s="406"/>
      <c r="WLA80" s="406"/>
      <c r="WLB80" s="406"/>
      <c r="WLC80" s="406"/>
      <c r="WLD80" s="406"/>
      <c r="WLE80" s="406"/>
      <c r="WLF80" s="406"/>
      <c r="WLG80" s="406"/>
      <c r="WLH80" s="406"/>
      <c r="WLI80" s="406"/>
      <c r="WLJ80" s="406"/>
      <c r="WLK80" s="406"/>
      <c r="WLL80" s="406"/>
      <c r="WLM80" s="406"/>
      <c r="WLN80" s="406"/>
      <c r="WLO80" s="406"/>
      <c r="WLP80" s="406"/>
      <c r="WLQ80" s="406"/>
      <c r="WLR80" s="406"/>
      <c r="WLS80" s="406"/>
      <c r="WLT80" s="406"/>
      <c r="WLU80" s="406"/>
      <c r="WLV80" s="406"/>
      <c r="WLW80" s="406"/>
      <c r="WLX80" s="406"/>
      <c r="WLY80" s="406"/>
      <c r="WLZ80" s="406"/>
      <c r="WMA80" s="406"/>
      <c r="WMB80" s="406"/>
      <c r="WMC80" s="406"/>
      <c r="WMD80" s="406"/>
      <c r="WME80" s="406"/>
      <c r="WMF80" s="406"/>
      <c r="WMG80" s="406"/>
      <c r="WMH80" s="406"/>
      <c r="WMI80" s="406"/>
      <c r="WMJ80" s="406"/>
      <c r="WMK80" s="406"/>
      <c r="WML80" s="406"/>
      <c r="WMM80" s="406"/>
      <c r="WMN80" s="406"/>
      <c r="WMO80" s="406"/>
      <c r="WMP80" s="406"/>
      <c r="WMQ80" s="406"/>
      <c r="WMR80" s="406"/>
      <c r="WMS80" s="406"/>
      <c r="WMT80" s="406"/>
      <c r="WMU80" s="406"/>
      <c r="WMV80" s="406"/>
      <c r="WMW80" s="406"/>
      <c r="WMX80" s="406"/>
      <c r="WMY80" s="406"/>
      <c r="WMZ80" s="406"/>
      <c r="WNA80" s="406"/>
      <c r="WNB80" s="406"/>
      <c r="WNC80" s="406"/>
      <c r="WND80" s="406"/>
      <c r="WNE80" s="406"/>
      <c r="WNF80" s="406"/>
      <c r="WNG80" s="406"/>
      <c r="WNH80" s="406"/>
      <c r="WNI80" s="406"/>
      <c r="WNJ80" s="406"/>
      <c r="WNK80" s="406"/>
      <c r="WNL80" s="406"/>
      <c r="WNM80" s="406"/>
      <c r="WNN80" s="406"/>
      <c r="WNO80" s="406"/>
      <c r="WNP80" s="406"/>
      <c r="WNQ80" s="406"/>
      <c r="WNR80" s="406"/>
      <c r="WNS80" s="406"/>
      <c r="WNT80" s="406"/>
      <c r="WNU80" s="406"/>
      <c r="WNV80" s="406"/>
      <c r="WNW80" s="406"/>
      <c r="WNX80" s="406"/>
      <c r="WNY80" s="406"/>
      <c r="WNZ80" s="406"/>
      <c r="WOA80" s="406"/>
      <c r="WOB80" s="406"/>
      <c r="WOC80" s="406"/>
      <c r="WOD80" s="406"/>
      <c r="WOE80" s="406"/>
      <c r="WOF80" s="406"/>
      <c r="WOG80" s="406"/>
      <c r="WOH80" s="406"/>
      <c r="WOI80" s="406"/>
      <c r="WOJ80" s="406"/>
      <c r="WOK80" s="406"/>
      <c r="WOL80" s="406"/>
      <c r="WOM80" s="406"/>
      <c r="WON80" s="406"/>
      <c r="WOO80" s="406"/>
      <c r="WOP80" s="406"/>
      <c r="WOQ80" s="406"/>
      <c r="WOR80" s="406"/>
      <c r="WOS80" s="406"/>
      <c r="WOT80" s="406"/>
      <c r="WOU80" s="406"/>
      <c r="WOV80" s="406"/>
      <c r="WOW80" s="406"/>
      <c r="WOX80" s="406"/>
      <c r="WOY80" s="406"/>
      <c r="WOZ80" s="406"/>
      <c r="WPA80" s="406"/>
      <c r="WPB80" s="406"/>
      <c r="WPC80" s="406"/>
      <c r="WPD80" s="406"/>
      <c r="WPE80" s="406"/>
      <c r="WPF80" s="406"/>
      <c r="WPG80" s="406"/>
      <c r="WPH80" s="406"/>
      <c r="WPI80" s="406"/>
      <c r="WPJ80" s="406"/>
      <c r="WPK80" s="406"/>
      <c r="WPL80" s="406"/>
      <c r="WPM80" s="406"/>
      <c r="WPN80" s="406"/>
      <c r="WPO80" s="406"/>
      <c r="WPP80" s="406"/>
      <c r="WPQ80" s="406"/>
      <c r="WPR80" s="406"/>
      <c r="WPS80" s="406"/>
      <c r="WPT80" s="406"/>
      <c r="WPU80" s="406"/>
      <c r="WPV80" s="406"/>
      <c r="WPW80" s="406"/>
      <c r="WPX80" s="406"/>
      <c r="WPY80" s="406"/>
      <c r="WPZ80" s="406"/>
      <c r="WQA80" s="406"/>
      <c r="WQB80" s="406"/>
      <c r="WQC80" s="406"/>
      <c r="WQD80" s="406"/>
      <c r="WQE80" s="406"/>
      <c r="WQF80" s="406"/>
      <c r="WQG80" s="406"/>
      <c r="WQH80" s="406"/>
      <c r="WQI80" s="406"/>
      <c r="WQJ80" s="406"/>
      <c r="WQK80" s="406"/>
      <c r="WQL80" s="406"/>
      <c r="WQM80" s="406"/>
      <c r="WQN80" s="406"/>
      <c r="WQO80" s="406"/>
      <c r="WQP80" s="406"/>
      <c r="WQQ80" s="406"/>
      <c r="WQR80" s="406"/>
      <c r="WQS80" s="406"/>
      <c r="WQT80" s="406"/>
      <c r="WQU80" s="406"/>
      <c r="WQV80" s="406"/>
      <c r="WQW80" s="406"/>
      <c r="WQX80" s="406"/>
      <c r="WQY80" s="406"/>
      <c r="WQZ80" s="406"/>
      <c r="WRA80" s="406"/>
      <c r="WRB80" s="406"/>
      <c r="WRC80" s="406"/>
      <c r="WRD80" s="406"/>
      <c r="WRE80" s="406"/>
      <c r="WRF80" s="406"/>
      <c r="WRG80" s="406"/>
      <c r="WRH80" s="406"/>
      <c r="WRI80" s="406"/>
      <c r="WRJ80" s="406"/>
      <c r="WRK80" s="406"/>
      <c r="WRL80" s="406"/>
      <c r="WRM80" s="406"/>
      <c r="WRN80" s="406"/>
      <c r="WRO80" s="406"/>
      <c r="WRP80" s="406"/>
      <c r="WRQ80" s="406"/>
      <c r="WRR80" s="406"/>
      <c r="WRS80" s="406"/>
      <c r="WRT80" s="406"/>
      <c r="WRU80" s="406"/>
      <c r="WRV80" s="406"/>
      <c r="WRW80" s="406"/>
      <c r="WRX80" s="406"/>
      <c r="WRY80" s="406"/>
      <c r="WRZ80" s="406"/>
      <c r="WSA80" s="406"/>
      <c r="WSB80" s="406"/>
      <c r="WSC80" s="406"/>
      <c r="WSD80" s="406"/>
      <c r="WSE80" s="406"/>
      <c r="WSF80" s="406"/>
      <c r="WSG80" s="406"/>
      <c r="WSH80" s="406"/>
      <c r="WSI80" s="406"/>
      <c r="WSJ80" s="406"/>
      <c r="WSK80" s="406"/>
      <c r="WSL80" s="406"/>
      <c r="WSM80" s="406"/>
      <c r="WSN80" s="406"/>
      <c r="WSO80" s="406"/>
      <c r="WSP80" s="406"/>
      <c r="WSQ80" s="406"/>
      <c r="WSR80" s="406"/>
      <c r="WSS80" s="406"/>
      <c r="WST80" s="406"/>
      <c r="WSU80" s="406"/>
      <c r="WSV80" s="406"/>
      <c r="WSW80" s="406"/>
      <c r="WSX80" s="406"/>
      <c r="WSY80" s="406"/>
      <c r="WSZ80" s="406"/>
      <c r="WTA80" s="406"/>
      <c r="WTB80" s="406"/>
      <c r="WTC80" s="406"/>
      <c r="WTD80" s="406"/>
      <c r="WTE80" s="406"/>
      <c r="WTF80" s="406"/>
      <c r="WTG80" s="406"/>
      <c r="WTH80" s="406"/>
      <c r="WTI80" s="406"/>
      <c r="WTJ80" s="406"/>
      <c r="WTK80" s="406"/>
      <c r="WTL80" s="406"/>
      <c r="WTM80" s="406"/>
      <c r="WTN80" s="406"/>
      <c r="WTO80" s="406"/>
      <c r="WTP80" s="406"/>
      <c r="WTQ80" s="406"/>
      <c r="WTR80" s="406"/>
      <c r="WTS80" s="406"/>
      <c r="WTT80" s="406"/>
      <c r="WTU80" s="406"/>
      <c r="WTV80" s="406"/>
      <c r="WTW80" s="406"/>
      <c r="WTX80" s="406"/>
      <c r="WTY80" s="406"/>
      <c r="WTZ80" s="406"/>
      <c r="WUA80" s="406"/>
      <c r="WUB80" s="406"/>
      <c r="WUC80" s="406"/>
      <c r="WUD80" s="406"/>
      <c r="WUE80" s="406"/>
      <c r="WUF80" s="406"/>
      <c r="WUG80" s="406"/>
      <c r="WUH80" s="406"/>
      <c r="WUI80" s="406"/>
      <c r="WUJ80" s="406"/>
      <c r="WUK80" s="406"/>
      <c r="WUL80" s="406"/>
      <c r="WUM80" s="406"/>
      <c r="WUN80" s="406"/>
      <c r="WUO80" s="406"/>
      <c r="WUP80" s="406"/>
      <c r="WUQ80" s="406"/>
      <c r="WUR80" s="406"/>
      <c r="WUS80" s="406"/>
      <c r="WUT80" s="406"/>
      <c r="WUU80" s="406"/>
      <c r="WUV80" s="406"/>
      <c r="WUW80" s="406"/>
      <c r="WUX80" s="406"/>
      <c r="WUY80" s="406"/>
      <c r="WUZ80" s="406"/>
      <c r="WVA80" s="406"/>
      <c r="WVB80" s="406"/>
      <c r="WVC80" s="406"/>
      <c r="WVD80" s="406"/>
      <c r="WVE80" s="406"/>
      <c r="WVF80" s="406"/>
      <c r="WVG80" s="406"/>
      <c r="WVH80" s="406"/>
      <c r="WVI80" s="406"/>
      <c r="WVJ80" s="406"/>
      <c r="WVK80" s="406"/>
      <c r="WVL80" s="406"/>
      <c r="WVM80" s="406"/>
      <c r="WVN80" s="406"/>
      <c r="WVO80" s="406"/>
      <c r="WVP80" s="406"/>
      <c r="WVQ80" s="406"/>
      <c r="WVR80" s="406"/>
      <c r="WVS80" s="406"/>
      <c r="WVT80" s="406"/>
    </row>
  </sheetData>
  <mergeCells count="9">
    <mergeCell ref="B49:F49"/>
    <mergeCell ref="D1:G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75" right="0.4" top="0.75" bottom="0.5" header="0" footer="0"/>
  <pageSetup paperSize="9" scale="77" fitToHeight="0" orientation="portrait" r:id="rId1"/>
  <rowBreaks count="1" manualBreakCount="1">
    <brk id="29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CF133-2590-41D2-8211-720979D4BFD1}">
  <sheetPr>
    <tabColor rgb="FF00B050"/>
  </sheetPr>
  <dimension ref="A1:L135"/>
  <sheetViews>
    <sheetView view="pageBreakPreview" zoomScale="90" zoomScaleNormal="100" zoomScaleSheetLayoutView="90" workbookViewId="0">
      <pane ySplit="2" topLeftCell="A96" activePane="bottomLeft" state="frozen"/>
      <selection activeCell="F15" sqref="F15"/>
      <selection pane="bottomLeft" activeCell="F15" sqref="F15"/>
    </sheetView>
  </sheetViews>
  <sheetFormatPr defaultColWidth="9.109375" defaultRowHeight="13.2"/>
  <cols>
    <col min="1" max="1" width="26.5546875" style="67" customWidth="1"/>
    <col min="2" max="5" width="10.6640625" style="67" customWidth="1"/>
    <col min="6" max="7" width="12.6640625" style="67" customWidth="1"/>
    <col min="8" max="8" width="5.5546875" style="67" customWidth="1"/>
    <col min="9" max="10" width="12.6640625" style="67" customWidth="1"/>
    <col min="11" max="11" width="10.33203125" style="67" bestFit="1" customWidth="1"/>
    <col min="12" max="12" width="10" style="67" bestFit="1" customWidth="1"/>
    <col min="13" max="15" width="9.109375" style="67"/>
    <col min="16" max="16" width="11.109375" style="67" bestFit="1" customWidth="1"/>
    <col min="17" max="16384" width="9.109375" style="67"/>
  </cols>
  <sheetData>
    <row r="1" spans="1:12" ht="20.100000000000001" customHeight="1">
      <c r="A1" s="739" t="s">
        <v>576</v>
      </c>
      <c r="B1" s="740"/>
      <c r="C1" s="740"/>
      <c r="D1" s="740"/>
      <c r="E1" s="740"/>
      <c r="F1" s="740"/>
      <c r="G1" s="740"/>
      <c r="H1" s="740"/>
      <c r="I1" s="740"/>
      <c r="J1" s="741"/>
    </row>
    <row r="2" spans="1:12" s="70" customFormat="1" ht="30" customHeight="1">
      <c r="A2" s="68"/>
      <c r="B2" s="69" t="s">
        <v>90</v>
      </c>
      <c r="C2" s="69" t="s">
        <v>91</v>
      </c>
      <c r="D2" s="69" t="s">
        <v>6</v>
      </c>
      <c r="E2" s="69" t="s">
        <v>92</v>
      </c>
      <c r="F2" s="69" t="s">
        <v>93</v>
      </c>
      <c r="G2" s="69" t="s">
        <v>94</v>
      </c>
      <c r="H2" s="69" t="s">
        <v>95</v>
      </c>
      <c r="I2" s="69" t="s">
        <v>96</v>
      </c>
      <c r="J2" s="69" t="s">
        <v>97</v>
      </c>
      <c r="L2" s="71"/>
    </row>
    <row r="3" spans="1:12" ht="24.9" customHeight="1">
      <c r="A3" s="742" t="s">
        <v>98</v>
      </c>
      <c r="B3" s="743"/>
      <c r="C3" s="743"/>
      <c r="D3" s="743"/>
      <c r="E3" s="743"/>
      <c r="F3" s="743"/>
      <c r="G3" s="743"/>
      <c r="H3" s="743"/>
      <c r="I3" s="743"/>
      <c r="J3" s="744"/>
    </row>
    <row r="4" spans="1:12" ht="15">
      <c r="A4" s="745" t="s">
        <v>99</v>
      </c>
      <c r="B4" s="746"/>
      <c r="C4" s="746"/>
      <c r="D4" s="746"/>
      <c r="E4" s="746"/>
      <c r="F4" s="747"/>
      <c r="G4" s="72"/>
      <c r="H4" s="73"/>
      <c r="I4" s="72"/>
      <c r="J4" s="72"/>
    </row>
    <row r="5" spans="1:12" ht="15">
      <c r="A5" s="74" t="s">
        <v>236</v>
      </c>
      <c r="B5" s="75"/>
      <c r="C5" s="76"/>
      <c r="D5" s="77"/>
      <c r="E5" s="76"/>
      <c r="F5" s="75"/>
      <c r="G5" s="76"/>
      <c r="H5" s="76"/>
      <c r="I5" s="76"/>
      <c r="J5" s="78"/>
      <c r="L5" s="79"/>
    </row>
    <row r="6" spans="1:12" ht="15">
      <c r="A6" s="86" t="s">
        <v>577</v>
      </c>
      <c r="B6" s="87">
        <v>5.55</v>
      </c>
      <c r="C6" s="81">
        <v>18.12</v>
      </c>
      <c r="D6" s="77"/>
      <c r="E6" s="76"/>
      <c r="F6" s="75">
        <f>B6*C6</f>
        <v>100.566</v>
      </c>
      <c r="G6" s="76"/>
      <c r="H6" s="76" t="s">
        <v>100</v>
      </c>
      <c r="I6" s="78">
        <f>F6*1.1</f>
        <v>110.62260000000001</v>
      </c>
      <c r="J6" s="127">
        <f>ROUNDUP(I6,2)</f>
        <v>110.63000000000001</v>
      </c>
      <c r="L6" s="79"/>
    </row>
    <row r="7" spans="1:12" ht="15">
      <c r="A7" s="86" t="s">
        <v>578</v>
      </c>
      <c r="B7" s="87">
        <v>10.47</v>
      </c>
      <c r="C7" s="75">
        <v>17.195</v>
      </c>
      <c r="D7" s="77"/>
      <c r="E7" s="76"/>
      <c r="F7" s="75">
        <f>B7*C7</f>
        <v>180.03165000000001</v>
      </c>
      <c r="G7" s="76"/>
      <c r="H7" s="76" t="s">
        <v>100</v>
      </c>
      <c r="I7" s="78">
        <f>F7*1.1</f>
        <v>198.03481500000004</v>
      </c>
      <c r="J7" s="127">
        <f>ROUNDUP(I7,2)</f>
        <v>198.04</v>
      </c>
      <c r="L7" s="79"/>
    </row>
    <row r="8" spans="1:12" ht="15">
      <c r="A8" s="86" t="s">
        <v>379</v>
      </c>
      <c r="B8" s="87">
        <v>10.32</v>
      </c>
      <c r="C8" s="75">
        <v>19.21</v>
      </c>
      <c r="D8" s="77"/>
      <c r="E8" s="76"/>
      <c r="F8" s="75">
        <f>B8*C8</f>
        <v>198.24720000000002</v>
      </c>
      <c r="G8" s="76"/>
      <c r="H8" s="76" t="s">
        <v>100</v>
      </c>
      <c r="I8" s="78">
        <f>F8*1.1</f>
        <v>218.07192000000003</v>
      </c>
      <c r="J8" s="127">
        <f>ROUNDUP(I8,2)</f>
        <v>218.07999999999998</v>
      </c>
      <c r="L8" s="79"/>
    </row>
    <row r="9" spans="1:12" ht="15">
      <c r="A9" s="86" t="s">
        <v>380</v>
      </c>
      <c r="B9" s="87">
        <v>9.98</v>
      </c>
      <c r="C9" s="75">
        <v>22.52</v>
      </c>
      <c r="D9" s="77"/>
      <c r="E9" s="76"/>
      <c r="F9" s="75">
        <f t="shared" ref="F9:F12" si="0">B9*C9</f>
        <v>224.74960000000002</v>
      </c>
      <c r="G9" s="76"/>
      <c r="H9" s="76" t="s">
        <v>100</v>
      </c>
      <c r="I9" s="78">
        <f t="shared" ref="I9:I12" si="1">F9*1.1</f>
        <v>247.22456000000003</v>
      </c>
      <c r="J9" s="127">
        <f t="shared" ref="J9:J12" si="2">ROUNDUP(I9,2)</f>
        <v>247.23</v>
      </c>
      <c r="L9" s="79"/>
    </row>
    <row r="10" spans="1:12" ht="15">
      <c r="A10" s="86" t="s">
        <v>579</v>
      </c>
      <c r="B10" s="87">
        <v>11.73</v>
      </c>
      <c r="C10" s="75">
        <v>24.535</v>
      </c>
      <c r="D10" s="77"/>
      <c r="E10" s="76"/>
      <c r="F10" s="75">
        <f t="shared" si="0"/>
        <v>287.79554999999999</v>
      </c>
      <c r="G10" s="76"/>
      <c r="H10" s="76" t="s">
        <v>100</v>
      </c>
      <c r="I10" s="78">
        <f t="shared" si="1"/>
        <v>316.57510500000001</v>
      </c>
      <c r="J10" s="127">
        <f t="shared" si="2"/>
        <v>316.58</v>
      </c>
      <c r="L10" s="79"/>
    </row>
    <row r="11" spans="1:12" ht="15">
      <c r="A11" s="86" t="s">
        <v>580</v>
      </c>
      <c r="B11" s="87">
        <v>12.92</v>
      </c>
      <c r="C11" s="75">
        <v>25.844999999999999</v>
      </c>
      <c r="D11" s="77"/>
      <c r="E11" s="76"/>
      <c r="F11" s="75">
        <f t="shared" si="0"/>
        <v>333.91739999999999</v>
      </c>
      <c r="G11" s="76"/>
      <c r="H11" s="76" t="s">
        <v>100</v>
      </c>
      <c r="I11" s="78">
        <f t="shared" si="1"/>
        <v>367.30914000000001</v>
      </c>
      <c r="J11" s="127">
        <f t="shared" si="2"/>
        <v>367.31</v>
      </c>
      <c r="L11" s="79"/>
    </row>
    <row r="12" spans="1:12" ht="15">
      <c r="A12" s="86" t="s">
        <v>506</v>
      </c>
      <c r="B12" s="87">
        <v>7.78</v>
      </c>
      <c r="C12" s="75">
        <v>25.51</v>
      </c>
      <c r="D12" s="77"/>
      <c r="E12" s="76"/>
      <c r="F12" s="75">
        <f t="shared" si="0"/>
        <v>198.46780000000001</v>
      </c>
      <c r="G12" s="76"/>
      <c r="H12" s="76" t="s">
        <v>100</v>
      </c>
      <c r="I12" s="78">
        <f t="shared" si="1"/>
        <v>218.31458000000003</v>
      </c>
      <c r="J12" s="127">
        <f t="shared" si="2"/>
        <v>218.32</v>
      </c>
      <c r="L12" s="79"/>
    </row>
    <row r="13" spans="1:12" ht="15">
      <c r="A13" s="83"/>
      <c r="B13" s="75"/>
      <c r="C13" s="75"/>
      <c r="D13" s="77"/>
      <c r="E13" s="76"/>
      <c r="F13" s="75"/>
      <c r="G13" s="76"/>
      <c r="H13" s="76"/>
      <c r="I13" s="78"/>
      <c r="J13" s="102">
        <f>SUM(J6:J12)</f>
        <v>1676.1899999999998</v>
      </c>
      <c r="L13" s="79"/>
    </row>
    <row r="14" spans="1:12" ht="15">
      <c r="A14" s="86"/>
      <c r="B14" s="87"/>
      <c r="C14" s="88"/>
      <c r="D14" s="89"/>
      <c r="E14" s="90"/>
      <c r="F14" s="87"/>
      <c r="G14" s="90"/>
      <c r="H14" s="90"/>
      <c r="I14" s="91"/>
      <c r="J14" s="92"/>
    </row>
    <row r="15" spans="1:12" ht="15">
      <c r="A15" s="742" t="s">
        <v>101</v>
      </c>
      <c r="B15" s="743"/>
      <c r="C15" s="743"/>
      <c r="D15" s="743"/>
      <c r="E15" s="743"/>
      <c r="F15" s="743"/>
      <c r="G15" s="743"/>
      <c r="H15" s="743"/>
      <c r="I15" s="743"/>
      <c r="J15" s="744"/>
    </row>
    <row r="16" spans="1:12" ht="15">
      <c r="A16" s="748" t="s">
        <v>102</v>
      </c>
      <c r="B16" s="749"/>
      <c r="C16" s="749"/>
      <c r="D16" s="749"/>
      <c r="E16" s="749"/>
      <c r="F16" s="750"/>
      <c r="G16" s="72"/>
      <c r="H16" s="73"/>
      <c r="I16" s="73"/>
      <c r="J16" s="72"/>
      <c r="K16" s="93"/>
    </row>
    <row r="17" spans="1:12" ht="15">
      <c r="A17" s="748" t="s">
        <v>103</v>
      </c>
      <c r="B17" s="749"/>
      <c r="C17" s="749"/>
      <c r="D17" s="749"/>
      <c r="E17" s="749"/>
      <c r="F17" s="750"/>
      <c r="G17" s="72"/>
      <c r="H17" s="73"/>
      <c r="I17" s="72"/>
      <c r="J17" s="72"/>
      <c r="L17" s="79"/>
    </row>
    <row r="18" spans="1:12" ht="15">
      <c r="A18" s="748" t="s">
        <v>104</v>
      </c>
      <c r="B18" s="749"/>
      <c r="C18" s="749"/>
      <c r="D18" s="749"/>
      <c r="E18" s="749"/>
      <c r="F18" s="750"/>
      <c r="G18" s="94"/>
      <c r="H18" s="95"/>
      <c r="I18" s="94"/>
      <c r="J18" s="94"/>
      <c r="L18" s="79"/>
    </row>
    <row r="19" spans="1:12" ht="15">
      <c r="A19" s="83" t="s">
        <v>105</v>
      </c>
      <c r="B19" s="75"/>
      <c r="C19" s="75"/>
      <c r="D19" s="77"/>
      <c r="E19" s="76"/>
      <c r="F19" s="75"/>
      <c r="G19" s="76"/>
      <c r="H19" s="76"/>
      <c r="I19" s="78"/>
      <c r="J19" s="78"/>
      <c r="L19" s="79"/>
    </row>
    <row r="20" spans="1:12" ht="15">
      <c r="A20" s="86" t="str">
        <f>A6</f>
        <v>~CS01</v>
      </c>
      <c r="B20" s="87">
        <f>B6</f>
        <v>5.55</v>
      </c>
      <c r="C20" s="75">
        <v>25.7</v>
      </c>
      <c r="D20" s="77"/>
      <c r="E20" s="76"/>
      <c r="F20" s="75">
        <f t="shared" ref="F20:F26" si="3">B20*C20</f>
        <v>142.63499999999999</v>
      </c>
      <c r="G20" s="76"/>
      <c r="H20" s="76" t="s">
        <v>100</v>
      </c>
      <c r="I20" s="78">
        <f t="shared" ref="I20:I26" si="4">F20*1.1</f>
        <v>156.89850000000001</v>
      </c>
      <c r="J20" s="127">
        <f t="shared" ref="J20:J26" si="5">ROUNDUP(I20,2)</f>
        <v>156.89999999999998</v>
      </c>
      <c r="L20" s="79"/>
    </row>
    <row r="21" spans="1:12" ht="15">
      <c r="A21" s="86" t="str">
        <f t="shared" ref="A21:B26" si="6">A7</f>
        <v>CS01 - CS02</v>
      </c>
      <c r="B21" s="87">
        <f t="shared" si="6"/>
        <v>10.47</v>
      </c>
      <c r="C21" s="75">
        <v>21.38</v>
      </c>
      <c r="D21" s="77"/>
      <c r="E21" s="76"/>
      <c r="F21" s="75">
        <f t="shared" si="3"/>
        <v>223.8486</v>
      </c>
      <c r="G21" s="76"/>
      <c r="H21" s="76" t="s">
        <v>100</v>
      </c>
      <c r="I21" s="78">
        <f t="shared" si="4"/>
        <v>246.23346000000004</v>
      </c>
      <c r="J21" s="127">
        <f t="shared" si="5"/>
        <v>246.23999999999998</v>
      </c>
      <c r="L21" s="79"/>
    </row>
    <row r="22" spans="1:12" ht="15">
      <c r="A22" s="86" t="str">
        <f t="shared" si="6"/>
        <v>CS02 - CS03</v>
      </c>
      <c r="B22" s="87">
        <f t="shared" si="6"/>
        <v>10.32</v>
      </c>
      <c r="C22" s="75">
        <v>19.975000000000001</v>
      </c>
      <c r="D22" s="77"/>
      <c r="E22" s="76"/>
      <c r="F22" s="75">
        <f t="shared" si="3"/>
        <v>206.14200000000002</v>
      </c>
      <c r="G22" s="76"/>
      <c r="H22" s="76" t="s">
        <v>100</v>
      </c>
      <c r="I22" s="78">
        <f t="shared" si="4"/>
        <v>226.75620000000004</v>
      </c>
      <c r="J22" s="127">
        <f t="shared" si="5"/>
        <v>226.76</v>
      </c>
      <c r="L22" s="79"/>
    </row>
    <row r="23" spans="1:12" ht="15">
      <c r="A23" s="86" t="str">
        <f t="shared" si="6"/>
        <v>CS03 - CS04</v>
      </c>
      <c r="B23" s="87">
        <f t="shared" si="6"/>
        <v>9.98</v>
      </c>
      <c r="C23" s="75">
        <v>30.39</v>
      </c>
      <c r="D23" s="77"/>
      <c r="E23" s="76"/>
      <c r="F23" s="75">
        <f t="shared" si="3"/>
        <v>303.29220000000004</v>
      </c>
      <c r="G23" s="76"/>
      <c r="H23" s="76" t="s">
        <v>100</v>
      </c>
      <c r="I23" s="78">
        <f t="shared" si="4"/>
        <v>333.62142000000006</v>
      </c>
      <c r="J23" s="127">
        <f t="shared" si="5"/>
        <v>333.63</v>
      </c>
      <c r="L23" s="79"/>
    </row>
    <row r="24" spans="1:12" ht="15">
      <c r="A24" s="86" t="str">
        <f t="shared" si="6"/>
        <v>CS04 - CS05</v>
      </c>
      <c r="B24" s="87">
        <f t="shared" si="6"/>
        <v>11.73</v>
      </c>
      <c r="C24" s="75">
        <v>30.075000000000003</v>
      </c>
      <c r="D24" s="77"/>
      <c r="E24" s="76"/>
      <c r="F24" s="75">
        <f t="shared" si="3"/>
        <v>352.77975000000004</v>
      </c>
      <c r="G24" s="76"/>
      <c r="H24" s="76" t="s">
        <v>100</v>
      </c>
      <c r="I24" s="78">
        <f t="shared" si="4"/>
        <v>388.05772500000006</v>
      </c>
      <c r="J24" s="127">
        <f t="shared" si="5"/>
        <v>388.06</v>
      </c>
      <c r="L24" s="79"/>
    </row>
    <row r="25" spans="1:12" ht="15">
      <c r="A25" s="86" t="str">
        <f t="shared" si="6"/>
        <v>CS05 - CS06</v>
      </c>
      <c r="B25" s="87">
        <f t="shared" si="6"/>
        <v>12.92</v>
      </c>
      <c r="C25" s="75">
        <v>24.21</v>
      </c>
      <c r="D25" s="77"/>
      <c r="E25" s="76"/>
      <c r="F25" s="75">
        <f t="shared" si="3"/>
        <v>312.79320000000001</v>
      </c>
      <c r="G25" s="76"/>
      <c r="H25" s="76" t="s">
        <v>100</v>
      </c>
      <c r="I25" s="78">
        <f t="shared" si="4"/>
        <v>344.07252000000005</v>
      </c>
      <c r="J25" s="127">
        <f t="shared" si="5"/>
        <v>344.08</v>
      </c>
      <c r="L25" s="79"/>
    </row>
    <row r="26" spans="1:12" ht="15">
      <c r="A26" s="86" t="str">
        <f t="shared" si="6"/>
        <v>CS06~</v>
      </c>
      <c r="B26" s="87">
        <f t="shared" si="6"/>
        <v>7.78</v>
      </c>
      <c r="C26" s="75">
        <v>26.16</v>
      </c>
      <c r="D26" s="77"/>
      <c r="E26" s="76"/>
      <c r="F26" s="75">
        <f t="shared" si="3"/>
        <v>203.5248</v>
      </c>
      <c r="G26" s="76"/>
      <c r="H26" s="76" t="s">
        <v>100</v>
      </c>
      <c r="I26" s="78">
        <f t="shared" si="4"/>
        <v>223.87728000000001</v>
      </c>
      <c r="J26" s="127">
        <f t="shared" si="5"/>
        <v>223.88</v>
      </c>
      <c r="L26" s="79"/>
    </row>
    <row r="27" spans="1:12" ht="15">
      <c r="A27" s="83"/>
      <c r="B27" s="75"/>
      <c r="C27" s="75"/>
      <c r="D27" s="77"/>
      <c r="E27" s="76"/>
      <c r="F27" s="75"/>
      <c r="G27" s="76"/>
      <c r="H27" s="76"/>
      <c r="I27" s="78"/>
      <c r="J27" s="102">
        <f>SUM(J19:J26)</f>
        <v>1919.5499999999997</v>
      </c>
    </row>
    <row r="28" spans="1:12" ht="15">
      <c r="A28" s="83"/>
      <c r="B28" s="75"/>
      <c r="C28" s="75"/>
      <c r="D28" s="77"/>
      <c r="E28" s="76"/>
      <c r="F28" s="75"/>
      <c r="G28" s="76"/>
      <c r="H28" s="76"/>
      <c r="I28" s="78"/>
      <c r="J28" s="100"/>
    </row>
    <row r="29" spans="1:12" ht="15">
      <c r="A29" s="83"/>
      <c r="B29" s="75"/>
      <c r="C29" s="75"/>
      <c r="D29" s="77"/>
      <c r="E29" s="76"/>
      <c r="F29" s="75"/>
      <c r="G29" s="76"/>
      <c r="H29" s="76"/>
      <c r="I29" s="78"/>
      <c r="J29" s="78"/>
    </row>
    <row r="30" spans="1:12" ht="15">
      <c r="A30" s="748" t="s">
        <v>106</v>
      </c>
      <c r="B30" s="749"/>
      <c r="C30" s="749"/>
      <c r="D30" s="749"/>
      <c r="E30" s="749"/>
      <c r="F30" s="750"/>
      <c r="G30" s="96"/>
      <c r="H30" s="73"/>
      <c r="I30" s="72"/>
      <c r="J30" s="72"/>
      <c r="K30" s="79"/>
      <c r="L30" s="79"/>
    </row>
    <row r="31" spans="1:12" ht="15">
      <c r="A31" s="748" t="s">
        <v>107</v>
      </c>
      <c r="B31" s="749"/>
      <c r="C31" s="749"/>
      <c r="D31" s="749"/>
      <c r="E31" s="749"/>
      <c r="F31" s="750"/>
      <c r="G31" s="96"/>
      <c r="H31" s="73"/>
      <c r="I31" s="72"/>
      <c r="J31" s="72"/>
      <c r="K31" s="79"/>
      <c r="L31" s="79"/>
    </row>
    <row r="32" spans="1:12" ht="15">
      <c r="A32" s="748" t="s">
        <v>108</v>
      </c>
      <c r="B32" s="749"/>
      <c r="C32" s="749"/>
      <c r="D32" s="749"/>
      <c r="E32" s="749"/>
      <c r="F32" s="750"/>
      <c r="G32" s="94"/>
      <c r="H32" s="95"/>
      <c r="I32" s="94"/>
      <c r="J32" s="94"/>
      <c r="K32" s="79"/>
      <c r="L32" s="79"/>
    </row>
    <row r="33" spans="1:12" ht="15">
      <c r="A33" s="97" t="s">
        <v>383</v>
      </c>
      <c r="B33" s="81"/>
      <c r="C33" s="98"/>
      <c r="D33" s="98"/>
      <c r="E33" s="99"/>
      <c r="F33" s="81"/>
      <c r="G33" s="99"/>
      <c r="H33" s="99"/>
      <c r="I33" s="78"/>
      <c r="J33" s="100"/>
      <c r="K33" s="79"/>
      <c r="L33" s="79"/>
    </row>
    <row r="34" spans="1:12" ht="15">
      <c r="A34" s="86" t="s">
        <v>577</v>
      </c>
      <c r="B34" s="87">
        <v>5.55</v>
      </c>
      <c r="C34" s="89">
        <v>6.61</v>
      </c>
      <c r="D34" s="89"/>
      <c r="E34" s="90"/>
      <c r="F34" s="87">
        <f>PRODUCT(B34:E34)</f>
        <v>36.685499999999998</v>
      </c>
      <c r="G34" s="101">
        <f>F34</f>
        <v>36.685499999999998</v>
      </c>
      <c r="H34" s="76" t="s">
        <v>100</v>
      </c>
      <c r="I34" s="78">
        <f>G34*1.1</f>
        <v>40.354050000000001</v>
      </c>
      <c r="J34" s="127">
        <f>I34</f>
        <v>40.354050000000001</v>
      </c>
      <c r="K34" s="79"/>
      <c r="L34" s="79"/>
    </row>
    <row r="35" spans="1:12" ht="15">
      <c r="A35" s="86" t="s">
        <v>578</v>
      </c>
      <c r="B35" s="87">
        <v>10.47</v>
      </c>
      <c r="C35" s="89">
        <v>9.0299999999999994</v>
      </c>
      <c r="D35" s="89"/>
      <c r="E35" s="90"/>
      <c r="F35" s="87">
        <f>PRODUCT(B35:E35)</f>
        <v>94.5441</v>
      </c>
      <c r="G35" s="101">
        <f>F35</f>
        <v>94.5441</v>
      </c>
      <c r="H35" s="76" t="s">
        <v>100</v>
      </c>
      <c r="I35" s="78">
        <f>G35*1.1</f>
        <v>103.99851000000001</v>
      </c>
      <c r="J35" s="127">
        <f>I35</f>
        <v>103.99851000000001</v>
      </c>
      <c r="K35" s="79"/>
      <c r="L35" s="79"/>
    </row>
    <row r="36" spans="1:12" ht="15">
      <c r="A36" s="86" t="s">
        <v>379</v>
      </c>
      <c r="B36" s="87">
        <v>10.32</v>
      </c>
      <c r="C36" s="89">
        <v>11.425000000000001</v>
      </c>
      <c r="D36" s="89"/>
      <c r="E36" s="90"/>
      <c r="F36" s="87">
        <f>PRODUCT(B36:E36)</f>
        <v>117.90600000000001</v>
      </c>
      <c r="G36" s="101">
        <f>F36</f>
        <v>117.90600000000001</v>
      </c>
      <c r="H36" s="76" t="s">
        <v>100</v>
      </c>
      <c r="I36" s="78">
        <f>G36*1.1</f>
        <v>129.69660000000002</v>
      </c>
      <c r="J36" s="127">
        <f>I36</f>
        <v>129.69660000000002</v>
      </c>
      <c r="K36" s="79"/>
      <c r="L36" s="79"/>
    </row>
    <row r="37" spans="1:12" ht="15">
      <c r="A37" s="86" t="s">
        <v>380</v>
      </c>
      <c r="B37" s="87">
        <v>9.98</v>
      </c>
      <c r="C37" s="89">
        <v>12.004999999999999</v>
      </c>
      <c r="D37" s="89"/>
      <c r="E37" s="90"/>
      <c r="F37" s="87">
        <f t="shared" ref="F37:F40" si="7">PRODUCT(B37:E37)</f>
        <v>119.8099</v>
      </c>
      <c r="G37" s="101">
        <f t="shared" ref="G37:G40" si="8">F37</f>
        <v>119.8099</v>
      </c>
      <c r="H37" s="76" t="s">
        <v>100</v>
      </c>
      <c r="I37" s="78">
        <f t="shared" ref="I37:I40" si="9">G37*1.1</f>
        <v>131.79089000000002</v>
      </c>
      <c r="J37" s="127">
        <f t="shared" ref="J37:J40" si="10">I37</f>
        <v>131.79089000000002</v>
      </c>
      <c r="K37" s="79"/>
      <c r="L37" s="79"/>
    </row>
    <row r="38" spans="1:12" ht="15">
      <c r="A38" s="86" t="s">
        <v>579</v>
      </c>
      <c r="B38" s="87">
        <v>11.73</v>
      </c>
      <c r="C38" s="89">
        <v>12.83</v>
      </c>
      <c r="D38" s="89"/>
      <c r="E38" s="90"/>
      <c r="F38" s="87">
        <f t="shared" si="7"/>
        <v>150.49590000000001</v>
      </c>
      <c r="G38" s="101">
        <f t="shared" si="8"/>
        <v>150.49590000000001</v>
      </c>
      <c r="H38" s="76" t="s">
        <v>100</v>
      </c>
      <c r="I38" s="78">
        <f t="shared" si="9"/>
        <v>165.54549000000003</v>
      </c>
      <c r="J38" s="127">
        <f t="shared" si="10"/>
        <v>165.54549000000003</v>
      </c>
      <c r="K38" s="79"/>
      <c r="L38" s="79"/>
    </row>
    <row r="39" spans="1:12" ht="15">
      <c r="A39" s="86" t="s">
        <v>580</v>
      </c>
      <c r="B39" s="87">
        <v>12.92</v>
      </c>
      <c r="C39" s="89">
        <v>12.190000000000001</v>
      </c>
      <c r="D39" s="89"/>
      <c r="E39" s="90"/>
      <c r="F39" s="87">
        <f t="shared" si="7"/>
        <v>157.49480000000003</v>
      </c>
      <c r="G39" s="101">
        <f t="shared" si="8"/>
        <v>157.49480000000003</v>
      </c>
      <c r="H39" s="76" t="s">
        <v>100</v>
      </c>
      <c r="I39" s="78">
        <f t="shared" si="9"/>
        <v>173.24428000000003</v>
      </c>
      <c r="J39" s="127">
        <f t="shared" si="10"/>
        <v>173.24428000000003</v>
      </c>
      <c r="K39" s="79"/>
      <c r="L39" s="79"/>
    </row>
    <row r="40" spans="1:12" ht="15">
      <c r="A40" s="86" t="s">
        <v>506</v>
      </c>
      <c r="B40" s="87">
        <v>7.78</v>
      </c>
      <c r="C40" s="89">
        <v>11.33</v>
      </c>
      <c r="D40" s="89"/>
      <c r="E40" s="90"/>
      <c r="F40" s="87">
        <f t="shared" si="7"/>
        <v>88.147400000000005</v>
      </c>
      <c r="G40" s="101">
        <f t="shared" si="8"/>
        <v>88.147400000000005</v>
      </c>
      <c r="H40" s="76" t="s">
        <v>100</v>
      </c>
      <c r="I40" s="78">
        <f t="shared" si="9"/>
        <v>96.962140000000019</v>
      </c>
      <c r="J40" s="127">
        <f t="shared" si="10"/>
        <v>96.962140000000019</v>
      </c>
      <c r="K40" s="79"/>
      <c r="L40" s="79"/>
    </row>
    <row r="41" spans="1:12" ht="15">
      <c r="A41" s="86"/>
      <c r="B41" s="87"/>
      <c r="C41" s="89"/>
      <c r="D41" s="89"/>
      <c r="E41" s="90"/>
      <c r="F41" s="87"/>
      <c r="G41" s="90"/>
      <c r="H41" s="90"/>
      <c r="I41" s="78"/>
      <c r="J41" s="102">
        <f>SUM(J34:J40)</f>
        <v>841.59195999999997</v>
      </c>
      <c r="K41" s="79"/>
      <c r="L41" s="79"/>
    </row>
    <row r="42" spans="1:12" ht="15">
      <c r="A42" s="86"/>
      <c r="B42" s="87"/>
      <c r="C42" s="89"/>
      <c r="D42" s="89"/>
      <c r="E42" s="90"/>
      <c r="F42" s="87"/>
      <c r="G42" s="90"/>
      <c r="H42" s="90"/>
      <c r="I42" s="78"/>
      <c r="J42" s="100"/>
      <c r="K42" s="79"/>
      <c r="L42" s="79"/>
    </row>
    <row r="43" spans="1:12" ht="15">
      <c r="A43" s="751" t="s">
        <v>109</v>
      </c>
      <c r="B43" s="752"/>
      <c r="C43" s="752"/>
      <c r="D43" s="752"/>
      <c r="E43" s="752"/>
      <c r="F43" s="752"/>
      <c r="G43" s="752"/>
      <c r="H43" s="752"/>
      <c r="I43" s="752"/>
      <c r="J43" s="753"/>
      <c r="K43" s="79"/>
      <c r="L43" s="79"/>
    </row>
    <row r="44" spans="1:12" ht="15">
      <c r="A44" s="97" t="s">
        <v>383</v>
      </c>
      <c r="B44" s="75"/>
      <c r="C44" s="77"/>
      <c r="D44" s="77"/>
      <c r="E44" s="76"/>
      <c r="F44" s="75"/>
      <c r="G44" s="76"/>
      <c r="H44" s="76"/>
      <c r="I44" s="78"/>
      <c r="J44" s="78"/>
      <c r="K44" s="79"/>
      <c r="L44" s="79"/>
    </row>
    <row r="45" spans="1:12" ht="15">
      <c r="A45" s="86" t="s">
        <v>577</v>
      </c>
      <c r="B45" s="87">
        <v>5.55</v>
      </c>
      <c r="C45" s="77">
        <v>6.16</v>
      </c>
      <c r="D45" s="77"/>
      <c r="E45" s="76"/>
      <c r="F45" s="87">
        <f>PRODUCT(B45:E45)</f>
        <v>34.188000000000002</v>
      </c>
      <c r="G45" s="101">
        <f>F45</f>
        <v>34.188000000000002</v>
      </c>
      <c r="H45" s="76" t="s">
        <v>100</v>
      </c>
      <c r="I45" s="78">
        <f>G45*1.1</f>
        <v>37.606800000000007</v>
      </c>
      <c r="J45" s="127">
        <f>I45</f>
        <v>37.606800000000007</v>
      </c>
      <c r="K45" s="79"/>
      <c r="L45" s="79"/>
    </row>
    <row r="46" spans="1:12" ht="15">
      <c r="A46" s="86" t="s">
        <v>578</v>
      </c>
      <c r="B46" s="87">
        <v>10.47</v>
      </c>
      <c r="C46" s="77">
        <v>5.9250000000000007</v>
      </c>
      <c r="D46" s="77"/>
      <c r="E46" s="76"/>
      <c r="F46" s="87">
        <f>PRODUCT(B46:E46)</f>
        <v>62.03475000000001</v>
      </c>
      <c r="G46" s="101">
        <f>F46</f>
        <v>62.03475000000001</v>
      </c>
      <c r="H46" s="76" t="s">
        <v>100</v>
      </c>
      <c r="I46" s="78">
        <f>G46*1.1</f>
        <v>68.238225000000014</v>
      </c>
      <c r="J46" s="127">
        <f>I46</f>
        <v>68.238225000000014</v>
      </c>
      <c r="K46" s="79"/>
      <c r="L46" s="79"/>
    </row>
    <row r="47" spans="1:12" ht="15">
      <c r="A47" s="86" t="s">
        <v>379</v>
      </c>
      <c r="B47" s="87">
        <v>10.32</v>
      </c>
      <c r="C47" s="77">
        <v>5.69</v>
      </c>
      <c r="D47" s="77"/>
      <c r="E47" s="76"/>
      <c r="F47" s="87">
        <f>PRODUCT(B47:E47)</f>
        <v>58.720800000000004</v>
      </c>
      <c r="G47" s="101">
        <f>F47</f>
        <v>58.720800000000004</v>
      </c>
      <c r="H47" s="76" t="s">
        <v>100</v>
      </c>
      <c r="I47" s="78">
        <f>G47*1.1</f>
        <v>64.592880000000008</v>
      </c>
      <c r="J47" s="127">
        <f>I47</f>
        <v>64.592880000000008</v>
      </c>
      <c r="K47" s="79"/>
      <c r="L47" s="79"/>
    </row>
    <row r="48" spans="1:12" ht="15">
      <c r="A48" s="287" t="s">
        <v>380</v>
      </c>
      <c r="B48" s="109">
        <v>9.98</v>
      </c>
      <c r="C48" s="77">
        <v>5.875</v>
      </c>
      <c r="D48" s="77"/>
      <c r="E48" s="76"/>
      <c r="F48" s="87">
        <f t="shared" ref="F48:F51" si="11">PRODUCT(B48:E48)</f>
        <v>58.6325</v>
      </c>
      <c r="G48" s="101">
        <f t="shared" ref="G48:G51" si="12">F48</f>
        <v>58.6325</v>
      </c>
      <c r="H48" s="76" t="s">
        <v>100</v>
      </c>
      <c r="I48" s="78">
        <f t="shared" ref="I48:I51" si="13">G48*1.1</f>
        <v>64.495750000000001</v>
      </c>
      <c r="J48" s="127">
        <f t="shared" ref="J48:J51" si="14">I48</f>
        <v>64.495750000000001</v>
      </c>
      <c r="K48" s="79"/>
      <c r="L48" s="79"/>
    </row>
    <row r="49" spans="1:12" ht="15">
      <c r="A49" s="287" t="s">
        <v>579</v>
      </c>
      <c r="B49" s="109">
        <v>11.73</v>
      </c>
      <c r="C49" s="77">
        <v>5.875</v>
      </c>
      <c r="D49" s="77"/>
      <c r="E49" s="76"/>
      <c r="F49" s="87">
        <f t="shared" si="11"/>
        <v>68.913750000000007</v>
      </c>
      <c r="G49" s="101">
        <f t="shared" si="12"/>
        <v>68.913750000000007</v>
      </c>
      <c r="H49" s="76" t="s">
        <v>100</v>
      </c>
      <c r="I49" s="78">
        <f t="shared" si="13"/>
        <v>75.805125000000018</v>
      </c>
      <c r="J49" s="127">
        <f t="shared" si="14"/>
        <v>75.805125000000018</v>
      </c>
      <c r="K49" s="79"/>
      <c r="L49" s="79"/>
    </row>
    <row r="50" spans="1:12" ht="15">
      <c r="A50" s="287" t="s">
        <v>580</v>
      </c>
      <c r="B50" s="109">
        <v>12.92</v>
      </c>
      <c r="C50" s="77">
        <v>5.69</v>
      </c>
      <c r="D50" s="77"/>
      <c r="E50" s="76"/>
      <c r="F50" s="87">
        <f t="shared" si="11"/>
        <v>73.514800000000008</v>
      </c>
      <c r="G50" s="101">
        <f t="shared" si="12"/>
        <v>73.514800000000008</v>
      </c>
      <c r="H50" s="76" t="s">
        <v>100</v>
      </c>
      <c r="I50" s="78">
        <f t="shared" si="13"/>
        <v>80.866280000000017</v>
      </c>
      <c r="J50" s="127">
        <f t="shared" si="14"/>
        <v>80.866280000000017</v>
      </c>
      <c r="K50" s="79"/>
      <c r="L50" s="79"/>
    </row>
    <row r="51" spans="1:12" ht="15">
      <c r="A51" s="287" t="s">
        <v>506</v>
      </c>
      <c r="B51" s="109">
        <v>7.78</v>
      </c>
      <c r="C51" s="77">
        <v>5.69</v>
      </c>
      <c r="D51" s="77"/>
      <c r="E51" s="76"/>
      <c r="F51" s="87">
        <f t="shared" si="11"/>
        <v>44.268200000000007</v>
      </c>
      <c r="G51" s="101">
        <f t="shared" si="12"/>
        <v>44.268200000000007</v>
      </c>
      <c r="H51" s="76" t="s">
        <v>100</v>
      </c>
      <c r="I51" s="78">
        <f t="shared" si="13"/>
        <v>48.695020000000014</v>
      </c>
      <c r="J51" s="127">
        <f t="shared" si="14"/>
        <v>48.695020000000014</v>
      </c>
      <c r="K51" s="79"/>
      <c r="L51" s="79"/>
    </row>
    <row r="52" spans="1:12" ht="15">
      <c r="A52" s="83"/>
      <c r="B52" s="75"/>
      <c r="C52" s="77"/>
      <c r="D52" s="77"/>
      <c r="E52" s="76"/>
      <c r="F52" s="87"/>
      <c r="G52" s="90"/>
      <c r="H52" s="90"/>
      <c r="I52" s="78"/>
      <c r="J52" s="102">
        <f>SUM(J45:J51)</f>
        <v>440.30008000000009</v>
      </c>
      <c r="K52" s="79"/>
      <c r="L52" s="79"/>
    </row>
    <row r="53" spans="1:12" ht="15">
      <c r="A53" s="83"/>
      <c r="B53" s="75"/>
      <c r="C53" s="77"/>
      <c r="D53" s="77"/>
      <c r="E53" s="76"/>
      <c r="F53" s="75"/>
      <c r="G53" s="76"/>
      <c r="H53" s="76"/>
      <c r="I53" s="78"/>
      <c r="J53" s="78"/>
      <c r="K53" s="79"/>
      <c r="L53" s="79"/>
    </row>
    <row r="54" spans="1:12" ht="15">
      <c r="A54" s="736"/>
      <c r="B54" s="737"/>
      <c r="C54" s="737"/>
      <c r="D54" s="737"/>
      <c r="E54" s="737"/>
      <c r="F54" s="737"/>
      <c r="G54" s="737"/>
      <c r="H54" s="737"/>
      <c r="I54" s="737"/>
      <c r="J54" s="738"/>
      <c r="L54" s="79"/>
    </row>
    <row r="55" spans="1:12" ht="15">
      <c r="A55" s="754" t="s">
        <v>110</v>
      </c>
      <c r="B55" s="755"/>
      <c r="C55" s="755"/>
      <c r="D55" s="755"/>
      <c r="E55" s="755"/>
      <c r="F55" s="755"/>
      <c r="G55" s="755"/>
      <c r="H55" s="755"/>
      <c r="I55" s="755"/>
      <c r="J55" s="756"/>
      <c r="L55" s="79"/>
    </row>
    <row r="56" spans="1:12" ht="15">
      <c r="A56" s="757" t="s">
        <v>111</v>
      </c>
      <c r="B56" s="758"/>
      <c r="C56" s="758"/>
      <c r="D56" s="758"/>
      <c r="E56" s="758"/>
      <c r="F56" s="759"/>
      <c r="G56" s="72"/>
      <c r="H56" s="73"/>
      <c r="I56" s="72"/>
      <c r="J56" s="72"/>
    </row>
    <row r="57" spans="1:12" ht="15">
      <c r="A57" s="74"/>
      <c r="B57" s="81"/>
      <c r="C57" s="98"/>
      <c r="D57" s="103"/>
      <c r="E57" s="104"/>
      <c r="F57" s="81"/>
      <c r="G57" s="105"/>
      <c r="H57" s="99"/>
      <c r="I57" s="78"/>
      <c r="J57" s="100"/>
      <c r="L57" s="106"/>
    </row>
    <row r="58" spans="1:12" s="70" customFormat="1" ht="30" customHeight="1">
      <c r="A58" s="86"/>
      <c r="B58" s="107"/>
      <c r="C58" s="108"/>
      <c r="D58" s="103"/>
      <c r="E58" s="104"/>
      <c r="F58" s="109"/>
      <c r="G58" s="110"/>
      <c r="H58" s="76"/>
      <c r="I58" s="111"/>
      <c r="J58" s="111"/>
    </row>
    <row r="59" spans="1:12" ht="15">
      <c r="A59" s="757" t="s">
        <v>112</v>
      </c>
      <c r="B59" s="758"/>
      <c r="C59" s="758"/>
      <c r="D59" s="758"/>
      <c r="E59" s="758"/>
      <c r="F59" s="759"/>
      <c r="G59" s="72"/>
      <c r="H59" s="73"/>
      <c r="I59" s="72"/>
      <c r="J59" s="72"/>
    </row>
    <row r="60" spans="1:12" ht="15">
      <c r="A60" s="754" t="s">
        <v>113</v>
      </c>
      <c r="B60" s="755"/>
      <c r="C60" s="755"/>
      <c r="D60" s="755"/>
      <c r="E60" s="755"/>
      <c r="F60" s="755"/>
      <c r="G60" s="755"/>
      <c r="H60" s="755"/>
      <c r="I60" s="755"/>
      <c r="J60" s="756"/>
      <c r="L60" s="79"/>
    </row>
    <row r="61" spans="1:12" ht="15">
      <c r="A61" s="97"/>
      <c r="B61" s="75"/>
      <c r="C61" s="77"/>
      <c r="D61" s="77"/>
      <c r="E61" s="76"/>
      <c r="F61" s="75"/>
      <c r="G61" s="76"/>
      <c r="H61" s="76"/>
      <c r="I61" s="78"/>
      <c r="J61" s="78"/>
      <c r="L61" s="79"/>
    </row>
    <row r="62" spans="1:12" ht="15">
      <c r="A62" s="86" t="s">
        <v>384</v>
      </c>
      <c r="B62" s="87">
        <v>72.34</v>
      </c>
      <c r="C62" s="77">
        <v>4.5</v>
      </c>
      <c r="D62" s="77"/>
      <c r="E62" s="76"/>
      <c r="F62" s="87">
        <f>PRODUCT(B62:E62)</f>
        <v>325.53000000000003</v>
      </c>
      <c r="G62" s="101">
        <f>F62</f>
        <v>325.53000000000003</v>
      </c>
      <c r="H62" s="76" t="s">
        <v>100</v>
      </c>
      <c r="I62" s="78">
        <f>G62*1.1</f>
        <v>358.08300000000008</v>
      </c>
      <c r="J62" s="102">
        <f>I62</f>
        <v>358.08300000000008</v>
      </c>
      <c r="L62" s="79"/>
    </row>
    <row r="63" spans="1:12" ht="15">
      <c r="A63" s="86" t="s">
        <v>385</v>
      </c>
      <c r="B63" s="87">
        <v>72.34</v>
      </c>
      <c r="C63" s="77">
        <v>1</v>
      </c>
      <c r="D63" s="77"/>
      <c r="E63" s="76"/>
      <c r="F63" s="87">
        <f>PRODUCT(B63:E63)</f>
        <v>72.34</v>
      </c>
      <c r="G63" s="101">
        <f>F63</f>
        <v>72.34</v>
      </c>
      <c r="H63" s="76" t="s">
        <v>100</v>
      </c>
      <c r="I63" s="78">
        <f>G63*1.1</f>
        <v>79.574000000000012</v>
      </c>
      <c r="J63" s="102">
        <f>I63</f>
        <v>79.574000000000012</v>
      </c>
      <c r="L63" s="79"/>
    </row>
    <row r="64" spans="1:12" ht="15">
      <c r="A64" s="86" t="s">
        <v>114</v>
      </c>
      <c r="B64" s="87">
        <v>72.34</v>
      </c>
      <c r="C64" s="77">
        <v>8.1999999999999993</v>
      </c>
      <c r="D64" s="77"/>
      <c r="E64" s="76"/>
      <c r="F64" s="87">
        <f>PRODUCT(B64:E64)</f>
        <v>593.18799999999999</v>
      </c>
      <c r="G64" s="101">
        <f>F64</f>
        <v>593.18799999999999</v>
      </c>
      <c r="H64" s="76" t="s">
        <v>100</v>
      </c>
      <c r="I64" s="78">
        <f>G64*1.1</f>
        <v>652.5068</v>
      </c>
      <c r="J64" s="102">
        <f>I64</f>
        <v>652.5068</v>
      </c>
      <c r="L64" s="79"/>
    </row>
    <row r="65" spans="1:12" ht="15">
      <c r="A65" s="86"/>
      <c r="B65" s="87"/>
      <c r="C65" s="77"/>
      <c r="D65" s="77"/>
      <c r="E65" s="76"/>
      <c r="F65" s="87"/>
      <c r="G65" s="101"/>
      <c r="H65" s="76"/>
      <c r="I65" s="78"/>
      <c r="J65" s="78"/>
      <c r="L65" s="79"/>
    </row>
    <row r="66" spans="1:12" ht="15">
      <c r="A66" s="86"/>
      <c r="B66" s="87"/>
      <c r="C66" s="77"/>
      <c r="D66" s="77"/>
      <c r="E66" s="76"/>
      <c r="F66" s="87"/>
      <c r="G66" s="101"/>
      <c r="H66" s="76"/>
      <c r="I66" s="78"/>
      <c r="J66" s="78"/>
      <c r="L66" s="79"/>
    </row>
    <row r="67" spans="1:12" ht="30">
      <c r="A67" s="113"/>
      <c r="B67" s="114" t="s">
        <v>115</v>
      </c>
      <c r="C67" s="114" t="s">
        <v>92</v>
      </c>
      <c r="D67" s="114" t="s">
        <v>1</v>
      </c>
      <c r="E67" s="115" t="s">
        <v>116</v>
      </c>
      <c r="F67" s="114" t="s">
        <v>117</v>
      </c>
      <c r="G67" s="114"/>
      <c r="H67" s="114"/>
      <c r="I67" s="114"/>
      <c r="J67" s="114"/>
      <c r="L67" s="106"/>
    </row>
    <row r="68" spans="1:12" ht="15">
      <c r="A68" s="757" t="s">
        <v>118</v>
      </c>
      <c r="B68" s="758"/>
      <c r="C68" s="758"/>
      <c r="D68" s="758"/>
      <c r="E68" s="758"/>
      <c r="F68" s="759"/>
      <c r="G68" s="72"/>
      <c r="H68" s="73"/>
      <c r="I68" s="72"/>
      <c r="J68" s="72"/>
    </row>
    <row r="69" spans="1:12" ht="15">
      <c r="A69" s="116"/>
      <c r="B69" s="98"/>
      <c r="C69" s="99"/>
      <c r="D69" s="98"/>
      <c r="E69" s="99"/>
      <c r="F69" s="81"/>
      <c r="G69" s="103"/>
      <c r="H69" s="99"/>
      <c r="I69" s="103"/>
      <c r="J69" s="92"/>
      <c r="L69" s="106"/>
    </row>
    <row r="70" spans="1:12" ht="15">
      <c r="A70" s="116"/>
      <c r="B70" s="98"/>
      <c r="C70" s="99"/>
      <c r="D70" s="98"/>
      <c r="E70" s="99"/>
      <c r="F70" s="81"/>
      <c r="G70" s="103"/>
      <c r="H70" s="99"/>
      <c r="I70" s="103"/>
      <c r="J70" s="92"/>
      <c r="L70" s="106"/>
    </row>
    <row r="71" spans="1:12" ht="15">
      <c r="A71" s="757" t="s">
        <v>119</v>
      </c>
      <c r="B71" s="758"/>
      <c r="C71" s="758"/>
      <c r="D71" s="758"/>
      <c r="E71" s="758"/>
      <c r="F71" s="759"/>
      <c r="G71" s="72"/>
      <c r="H71" s="73"/>
      <c r="I71" s="72"/>
      <c r="J71" s="72"/>
    </row>
    <row r="72" spans="1:12" ht="15">
      <c r="A72" s="74"/>
      <c r="B72" s="81"/>
      <c r="C72" s="99"/>
      <c r="D72" s="98"/>
      <c r="E72" s="99"/>
      <c r="F72" s="81"/>
      <c r="G72" s="91"/>
      <c r="H72" s="99"/>
      <c r="I72" s="91"/>
      <c r="J72" s="92"/>
      <c r="L72" s="79"/>
    </row>
    <row r="73" spans="1:12" ht="15">
      <c r="A73" s="74"/>
      <c r="B73" s="81"/>
      <c r="C73" s="99"/>
      <c r="D73" s="98"/>
      <c r="E73" s="99"/>
      <c r="F73" s="81"/>
      <c r="G73" s="91"/>
      <c r="H73" s="99"/>
      <c r="I73" s="91"/>
      <c r="J73" s="92"/>
      <c r="L73" s="79"/>
    </row>
    <row r="74" spans="1:12" ht="24.9" customHeight="1">
      <c r="A74" s="757" t="s">
        <v>120</v>
      </c>
      <c r="B74" s="758"/>
      <c r="C74" s="758"/>
      <c r="D74" s="758"/>
      <c r="E74" s="758"/>
      <c r="F74" s="759"/>
      <c r="G74" s="72"/>
      <c r="H74" s="73"/>
      <c r="I74" s="72"/>
      <c r="J74" s="72"/>
    </row>
    <row r="75" spans="1:12" ht="15">
      <c r="A75" s="74"/>
      <c r="B75" s="117"/>
      <c r="C75" s="103"/>
      <c r="D75" s="103"/>
      <c r="E75" s="117"/>
      <c r="F75" s="81"/>
      <c r="G75" s="99"/>
      <c r="H75" s="99"/>
      <c r="I75" s="91"/>
      <c r="J75" s="100"/>
    </row>
    <row r="76" spans="1:12" ht="15">
      <c r="A76" s="74"/>
      <c r="B76" s="117"/>
      <c r="C76" s="103"/>
      <c r="D76" s="103"/>
      <c r="E76" s="117"/>
      <c r="F76" s="81"/>
      <c r="G76" s="99"/>
      <c r="H76" s="99"/>
      <c r="I76" s="91"/>
      <c r="J76" s="100"/>
      <c r="L76" s="79"/>
    </row>
    <row r="77" spans="1:12" ht="15">
      <c r="A77" s="754" t="s">
        <v>121</v>
      </c>
      <c r="B77" s="755"/>
      <c r="C77" s="755"/>
      <c r="D77" s="755"/>
      <c r="E77" s="755"/>
      <c r="F77" s="755"/>
      <c r="G77" s="755"/>
      <c r="H77" s="755"/>
      <c r="I77" s="755"/>
      <c r="J77" s="756"/>
      <c r="L77" s="106"/>
    </row>
    <row r="78" spans="1:12" ht="24.9" customHeight="1">
      <c r="A78" s="757"/>
      <c r="B78" s="758"/>
      <c r="C78" s="758"/>
      <c r="D78" s="758"/>
      <c r="E78" s="758"/>
      <c r="F78" s="759"/>
      <c r="G78" s="72"/>
      <c r="H78" s="73"/>
      <c r="I78" s="72"/>
      <c r="J78" s="72"/>
    </row>
    <row r="79" spans="1:12" ht="15">
      <c r="A79" s="74"/>
      <c r="B79" s="117"/>
      <c r="C79" s="99"/>
      <c r="D79" s="98"/>
      <c r="E79" s="99"/>
      <c r="F79" s="81"/>
      <c r="G79" s="99"/>
      <c r="H79" s="99"/>
      <c r="I79" s="91"/>
      <c r="J79" s="78"/>
      <c r="L79" s="79"/>
    </row>
    <row r="80" spans="1:12" ht="15">
      <c r="A80" s="118"/>
      <c r="B80" s="119"/>
      <c r="C80" s="120"/>
      <c r="D80" s="121"/>
      <c r="E80" s="120"/>
      <c r="F80" s="122"/>
      <c r="G80" s="120"/>
      <c r="H80" s="120"/>
      <c r="I80" s="123"/>
      <c r="J80" s="123"/>
      <c r="L80" s="79"/>
    </row>
    <row r="81" spans="1:12" ht="15">
      <c r="A81" s="760" t="s">
        <v>122</v>
      </c>
      <c r="B81" s="761"/>
      <c r="C81" s="761"/>
      <c r="D81" s="761"/>
      <c r="E81" s="761"/>
      <c r="F81" s="761"/>
      <c r="G81" s="761"/>
      <c r="H81" s="761"/>
      <c r="I81" s="761"/>
      <c r="J81" s="762"/>
      <c r="L81" s="79"/>
    </row>
    <row r="82" spans="1:12" ht="15">
      <c r="A82" s="751" t="s">
        <v>123</v>
      </c>
      <c r="B82" s="752"/>
      <c r="C82" s="752"/>
      <c r="D82" s="752"/>
      <c r="E82" s="752"/>
      <c r="F82" s="752"/>
      <c r="G82" s="752"/>
      <c r="H82" s="752"/>
      <c r="I82" s="124"/>
      <c r="J82" s="243"/>
      <c r="L82" s="79"/>
    </row>
    <row r="83" spans="1:12" ht="15">
      <c r="A83" s="288" t="s">
        <v>124</v>
      </c>
      <c r="B83" s="81"/>
      <c r="C83" s="90"/>
      <c r="D83" s="77"/>
      <c r="E83" s="76"/>
      <c r="F83" s="75"/>
      <c r="G83" s="76"/>
      <c r="H83" s="76"/>
      <c r="I83" s="78"/>
      <c r="J83" s="100"/>
      <c r="L83" s="79"/>
    </row>
    <row r="84" spans="1:12" ht="15">
      <c r="A84" s="83" t="s">
        <v>581</v>
      </c>
      <c r="B84" s="81">
        <v>9.18</v>
      </c>
      <c r="C84" s="90">
        <v>10.7</v>
      </c>
      <c r="D84" s="77"/>
      <c r="E84" s="76"/>
      <c r="F84" s="75">
        <f>PRODUCT(B84:E84)</f>
        <v>98.225999999999985</v>
      </c>
      <c r="G84" s="76"/>
      <c r="H84" s="76" t="s">
        <v>5</v>
      </c>
      <c r="I84" s="78">
        <f>F84*1.1</f>
        <v>108.04859999999999</v>
      </c>
      <c r="J84" s="127">
        <f>I84</f>
        <v>108.04859999999999</v>
      </c>
      <c r="L84" s="79"/>
    </row>
    <row r="85" spans="1:12" ht="15">
      <c r="A85" s="83" t="s">
        <v>579</v>
      </c>
      <c r="B85" s="81">
        <v>11.73</v>
      </c>
      <c r="C85" s="90">
        <v>12.085000000000001</v>
      </c>
      <c r="D85" s="77"/>
      <c r="E85" s="76"/>
      <c r="F85" s="75">
        <f>PRODUCT(B85:E85)</f>
        <v>141.75705000000002</v>
      </c>
      <c r="G85" s="76"/>
      <c r="H85" s="76" t="s">
        <v>5</v>
      </c>
      <c r="I85" s="78">
        <f t="shared" ref="I85:I87" si="15">F85*1.1</f>
        <v>155.93275500000004</v>
      </c>
      <c r="J85" s="127">
        <f t="shared" ref="J85:J87" si="16">I85</f>
        <v>155.93275500000004</v>
      </c>
      <c r="L85" s="79"/>
    </row>
    <row r="86" spans="1:12" ht="15">
      <c r="A86" s="83" t="s">
        <v>580</v>
      </c>
      <c r="B86" s="81">
        <v>12.45</v>
      </c>
      <c r="C86" s="90">
        <v>14.06</v>
      </c>
      <c r="D86" s="77"/>
      <c r="E86" s="76"/>
      <c r="F86" s="75">
        <f>PRODUCT(B86:E86)</f>
        <v>175.047</v>
      </c>
      <c r="G86" s="76"/>
      <c r="H86" s="76" t="s">
        <v>5</v>
      </c>
      <c r="I86" s="78">
        <f t="shared" si="15"/>
        <v>192.55170000000001</v>
      </c>
      <c r="J86" s="127">
        <f t="shared" si="16"/>
        <v>192.55170000000001</v>
      </c>
      <c r="L86" s="79"/>
    </row>
    <row r="87" spans="1:12" ht="15">
      <c r="A87" s="83" t="s">
        <v>506</v>
      </c>
      <c r="B87" s="81">
        <v>7.68</v>
      </c>
      <c r="C87" s="90">
        <v>14.65</v>
      </c>
      <c r="D87" s="77"/>
      <c r="E87" s="76"/>
      <c r="F87" s="75">
        <f t="shared" ref="F87" si="17">PRODUCT(B87:E87)</f>
        <v>112.512</v>
      </c>
      <c r="G87" s="76"/>
      <c r="H87" s="76" t="s">
        <v>5</v>
      </c>
      <c r="I87" s="78">
        <f t="shared" si="15"/>
        <v>123.76320000000001</v>
      </c>
      <c r="J87" s="127">
        <f t="shared" si="16"/>
        <v>123.76320000000001</v>
      </c>
      <c r="L87" s="79"/>
    </row>
    <row r="88" spans="1:12" ht="15">
      <c r="A88" s="288"/>
      <c r="B88" s="81"/>
      <c r="C88" s="90"/>
      <c r="D88" s="77"/>
      <c r="E88" s="76"/>
      <c r="F88" s="75"/>
      <c r="G88" s="76"/>
      <c r="H88" s="76"/>
      <c r="I88" s="78"/>
      <c r="J88" s="102">
        <f>SUM(J84:J86)</f>
        <v>456.53305499999999</v>
      </c>
      <c r="L88" s="79"/>
    </row>
    <row r="89" spans="1:12" ht="15">
      <c r="A89" s="83"/>
      <c r="B89" s="81"/>
      <c r="C89" s="90"/>
      <c r="D89" s="98"/>
      <c r="E89" s="99"/>
      <c r="F89" s="81"/>
      <c r="G89" s="99"/>
      <c r="H89" s="99"/>
      <c r="I89" s="78"/>
      <c r="J89" s="78"/>
      <c r="L89" s="79"/>
    </row>
    <row r="90" spans="1:12" ht="15">
      <c r="A90" s="288" t="s">
        <v>125</v>
      </c>
      <c r="B90" s="87"/>
      <c r="C90" s="90"/>
      <c r="D90" s="89"/>
      <c r="E90" s="90"/>
      <c r="F90" s="81"/>
      <c r="G90" s="90"/>
      <c r="H90" s="90"/>
      <c r="I90" s="78"/>
      <c r="J90" s="78"/>
      <c r="L90" s="79"/>
    </row>
    <row r="91" spans="1:12" ht="15">
      <c r="A91" s="83"/>
      <c r="B91" s="87"/>
      <c r="C91" s="90"/>
      <c r="D91" s="89"/>
      <c r="E91" s="90"/>
      <c r="F91" s="87"/>
      <c r="G91" s="90"/>
      <c r="H91" s="128"/>
      <c r="I91" s="78"/>
      <c r="J91" s="78"/>
      <c r="L91" s="79"/>
    </row>
    <row r="92" spans="1:12" ht="15">
      <c r="A92" s="83" t="s">
        <v>126</v>
      </c>
      <c r="B92" s="87"/>
      <c r="C92" s="90"/>
      <c r="D92" s="89"/>
      <c r="E92" s="90"/>
      <c r="F92" s="87"/>
      <c r="G92" s="90"/>
      <c r="H92" s="128"/>
      <c r="I92" s="78"/>
      <c r="J92" s="78"/>
      <c r="L92" s="79"/>
    </row>
    <row r="93" spans="1:12" ht="15">
      <c r="A93" s="83"/>
      <c r="B93" s="87"/>
      <c r="C93" s="90"/>
      <c r="D93" s="89"/>
      <c r="E93" s="90"/>
      <c r="F93" s="87"/>
      <c r="G93" s="90"/>
      <c r="H93" s="76"/>
      <c r="I93" s="78"/>
      <c r="J93" s="78"/>
      <c r="L93" s="79"/>
    </row>
    <row r="94" spans="1:12" ht="15">
      <c r="A94" s="86" t="s">
        <v>577</v>
      </c>
      <c r="B94" s="87">
        <v>5.55</v>
      </c>
      <c r="C94" s="90">
        <v>11.91</v>
      </c>
      <c r="D94" s="89"/>
      <c r="E94" s="90"/>
      <c r="F94" s="75">
        <f>PRODUCT(B94:E94)</f>
        <v>66.100499999999997</v>
      </c>
      <c r="G94" s="76"/>
      <c r="H94" s="76" t="s">
        <v>5</v>
      </c>
      <c r="I94" s="78">
        <f>F94*1.1</f>
        <v>72.710549999999998</v>
      </c>
      <c r="J94" s="127">
        <f>I94</f>
        <v>72.710549999999998</v>
      </c>
      <c r="L94" s="79"/>
    </row>
    <row r="95" spans="1:12" ht="15">
      <c r="A95" s="86" t="s">
        <v>578</v>
      </c>
      <c r="B95" s="87">
        <v>10.47</v>
      </c>
      <c r="C95" s="90">
        <v>11.004999999999999</v>
      </c>
      <c r="D95" s="89"/>
      <c r="E95" s="90"/>
      <c r="F95" s="75">
        <f>PRODUCT(B95:E95)</f>
        <v>115.22234999999999</v>
      </c>
      <c r="G95" s="76"/>
      <c r="H95" s="76" t="s">
        <v>5</v>
      </c>
      <c r="I95" s="78">
        <f t="shared" ref="I95:I97" si="18">F95*1.1</f>
        <v>126.744585</v>
      </c>
      <c r="J95" s="127">
        <f t="shared" ref="J95:J97" si="19">I95</f>
        <v>126.744585</v>
      </c>
      <c r="L95" s="79"/>
    </row>
    <row r="96" spans="1:12" ht="15">
      <c r="A96" s="86" t="s">
        <v>379</v>
      </c>
      <c r="B96" s="87">
        <v>10.32</v>
      </c>
      <c r="C96" s="90">
        <v>12.379999999999999</v>
      </c>
      <c r="D96" s="89"/>
      <c r="E96" s="90"/>
      <c r="F96" s="75">
        <f>PRODUCT(B96:E96)</f>
        <v>127.76159999999999</v>
      </c>
      <c r="G96" s="76"/>
      <c r="H96" s="76" t="s">
        <v>5</v>
      </c>
      <c r="I96" s="78">
        <f t="shared" si="18"/>
        <v>140.53775999999999</v>
      </c>
      <c r="J96" s="127">
        <f t="shared" si="19"/>
        <v>140.53775999999999</v>
      </c>
      <c r="L96" s="79"/>
    </row>
    <row r="97" spans="1:12" ht="15">
      <c r="A97" s="287" t="s">
        <v>380</v>
      </c>
      <c r="B97" s="109">
        <v>9.98</v>
      </c>
      <c r="C97" s="90">
        <v>16.435000000000002</v>
      </c>
      <c r="D97" s="89"/>
      <c r="E97" s="90"/>
      <c r="F97" s="75">
        <f t="shared" ref="F97" si="20">PRODUCT(B97:E97)</f>
        <v>164.02130000000002</v>
      </c>
      <c r="G97" s="76"/>
      <c r="H97" s="76" t="s">
        <v>5</v>
      </c>
      <c r="I97" s="78">
        <f t="shared" si="18"/>
        <v>180.42343000000005</v>
      </c>
      <c r="J97" s="127">
        <f t="shared" si="19"/>
        <v>180.42343000000005</v>
      </c>
      <c r="L97" s="79"/>
    </row>
    <row r="98" spans="1:12" ht="15">
      <c r="A98" s="287" t="s">
        <v>579</v>
      </c>
      <c r="B98" s="109">
        <v>11.73</v>
      </c>
      <c r="C98" s="90">
        <v>18.75</v>
      </c>
      <c r="D98" s="89"/>
      <c r="E98" s="90"/>
      <c r="F98" s="75">
        <f>PRODUCT(B98:E98)</f>
        <v>219.9375</v>
      </c>
      <c r="G98" s="76"/>
      <c r="H98" s="76" t="s">
        <v>5</v>
      </c>
      <c r="I98" s="78">
        <f>F98*1.1</f>
        <v>241.93125000000001</v>
      </c>
      <c r="J98" s="127">
        <f>I98</f>
        <v>241.93125000000001</v>
      </c>
      <c r="L98" s="79"/>
    </row>
    <row r="99" spans="1:12" ht="15">
      <c r="A99" s="287" t="s">
        <v>580</v>
      </c>
      <c r="B99" s="109">
        <v>12.92</v>
      </c>
      <c r="C99" s="90">
        <v>20.375</v>
      </c>
      <c r="D99" s="89"/>
      <c r="E99" s="90"/>
      <c r="F99" s="75">
        <f>PRODUCT(B99:E99)</f>
        <v>263.245</v>
      </c>
      <c r="G99" s="76"/>
      <c r="H99" s="76" t="s">
        <v>5</v>
      </c>
      <c r="I99" s="78">
        <f t="shared" ref="I99:I100" si="21">F99*1.1</f>
        <v>289.56950000000001</v>
      </c>
      <c r="J99" s="127">
        <f t="shared" ref="J99:J100" si="22">I99</f>
        <v>289.56950000000001</v>
      </c>
      <c r="L99" s="79"/>
    </row>
    <row r="100" spans="1:12" ht="15">
      <c r="A100" s="287" t="s">
        <v>506</v>
      </c>
      <c r="B100" s="109">
        <v>7.78</v>
      </c>
      <c r="C100" s="90">
        <v>21.46</v>
      </c>
      <c r="D100" s="89"/>
      <c r="E100" s="90"/>
      <c r="F100" s="75">
        <f>PRODUCT(B100:E100)</f>
        <v>166.95880000000002</v>
      </c>
      <c r="G100" s="76"/>
      <c r="H100" s="76" t="s">
        <v>5</v>
      </c>
      <c r="I100" s="78">
        <f t="shared" si="21"/>
        <v>183.65468000000004</v>
      </c>
      <c r="J100" s="127">
        <f t="shared" si="22"/>
        <v>183.65468000000004</v>
      </c>
      <c r="L100" s="79"/>
    </row>
    <row r="101" spans="1:12" ht="15">
      <c r="A101" s="287"/>
      <c r="B101" s="109"/>
      <c r="C101" s="90"/>
      <c r="D101" s="89"/>
      <c r="E101" s="90"/>
      <c r="F101" s="75"/>
      <c r="G101" s="76"/>
      <c r="H101" s="76"/>
      <c r="I101" s="78"/>
      <c r="J101" s="127">
        <f>-J88</f>
        <v>-456.53305499999999</v>
      </c>
      <c r="L101" s="79"/>
    </row>
    <row r="102" spans="1:12" ht="15">
      <c r="A102" s="83"/>
      <c r="B102" s="87"/>
      <c r="C102" s="90"/>
      <c r="D102" s="89"/>
      <c r="E102" s="90"/>
      <c r="F102" s="75"/>
      <c r="G102" s="76"/>
      <c r="H102" s="76"/>
      <c r="I102" s="78"/>
      <c r="J102" s="102">
        <f>SUM(J94:J101)</f>
        <v>779.03870000000018</v>
      </c>
      <c r="L102" s="79"/>
    </row>
    <row r="103" spans="1:12" ht="15">
      <c r="A103" s="83"/>
      <c r="B103" s="87"/>
      <c r="C103" s="90"/>
      <c r="D103" s="89"/>
      <c r="E103" s="90"/>
      <c r="F103" s="87"/>
      <c r="G103" s="90"/>
      <c r="H103" s="76"/>
      <c r="I103" s="78"/>
      <c r="J103" s="78"/>
      <c r="L103" s="79"/>
    </row>
    <row r="104" spans="1:12" ht="15">
      <c r="A104" s="83"/>
      <c r="B104" s="87"/>
      <c r="C104" s="90"/>
      <c r="D104" s="89"/>
      <c r="E104" s="90"/>
      <c r="F104" s="87"/>
      <c r="G104" s="90"/>
      <c r="H104" s="76"/>
      <c r="I104" s="78"/>
      <c r="J104" s="78"/>
      <c r="L104" s="79"/>
    </row>
    <row r="105" spans="1:12" ht="15">
      <c r="A105" s="751" t="s">
        <v>127</v>
      </c>
      <c r="B105" s="752"/>
      <c r="C105" s="752"/>
      <c r="D105" s="752"/>
      <c r="E105" s="752"/>
      <c r="F105" s="752"/>
      <c r="G105" s="752"/>
      <c r="H105" s="752"/>
      <c r="I105" s="752"/>
      <c r="J105" s="753"/>
      <c r="L105" s="79"/>
    </row>
    <row r="106" spans="1:12" ht="15">
      <c r="A106" s="289" t="s">
        <v>511</v>
      </c>
      <c r="B106" s="130"/>
      <c r="C106" s="76"/>
      <c r="D106" s="77"/>
      <c r="E106" s="76"/>
      <c r="F106" s="75"/>
      <c r="G106" s="76"/>
      <c r="H106" s="76"/>
      <c r="I106" s="78"/>
      <c r="J106" s="78"/>
      <c r="L106" s="79"/>
    </row>
    <row r="107" spans="1:12" ht="15">
      <c r="A107" s="289"/>
      <c r="B107" s="130"/>
      <c r="C107" s="76"/>
      <c r="D107" s="77"/>
      <c r="E107" s="76"/>
      <c r="F107" s="75"/>
      <c r="G107" s="76"/>
      <c r="H107" s="76"/>
      <c r="I107" s="78"/>
      <c r="J107" s="78"/>
      <c r="L107" s="79"/>
    </row>
    <row r="108" spans="1:12" ht="15">
      <c r="A108" s="289" t="s">
        <v>582</v>
      </c>
      <c r="B108" s="88">
        <v>8</v>
      </c>
      <c r="C108" s="99"/>
      <c r="D108" s="98"/>
      <c r="E108" s="88">
        <v>40</v>
      </c>
      <c r="F108" s="75">
        <f>PRODUCT(B108:E108)</f>
        <v>320</v>
      </c>
      <c r="G108" s="99"/>
      <c r="H108" s="76" t="s">
        <v>5</v>
      </c>
      <c r="I108" s="91"/>
      <c r="J108" s="127">
        <f t="shared" ref="J108:J109" si="23">F108</f>
        <v>320</v>
      </c>
      <c r="L108" s="79"/>
    </row>
    <row r="109" spans="1:12" ht="15">
      <c r="A109" s="289" t="s">
        <v>583</v>
      </c>
      <c r="B109" s="88">
        <v>6</v>
      </c>
      <c r="C109" s="90"/>
      <c r="D109" s="89"/>
      <c r="E109" s="88">
        <v>66</v>
      </c>
      <c r="F109" s="75">
        <f t="shared" ref="F109" si="24">PRODUCT(B109:E109)</f>
        <v>396</v>
      </c>
      <c r="G109" s="90"/>
      <c r="H109" s="76" t="s">
        <v>5</v>
      </c>
      <c r="I109" s="101"/>
      <c r="J109" s="127">
        <f t="shared" si="23"/>
        <v>396</v>
      </c>
      <c r="L109" s="79"/>
    </row>
    <row r="110" spans="1:12" ht="15">
      <c r="A110" s="289"/>
      <c r="C110" s="90"/>
      <c r="D110" s="89"/>
      <c r="E110" s="90"/>
      <c r="F110" s="87"/>
      <c r="G110" s="90"/>
      <c r="H110" s="90"/>
      <c r="I110" s="101"/>
      <c r="J110" s="137">
        <f>SUM(J108:J109)</f>
        <v>716</v>
      </c>
      <c r="L110" s="79"/>
    </row>
    <row r="111" spans="1:12" ht="15">
      <c r="A111" s="289"/>
      <c r="B111" s="88"/>
      <c r="C111" s="90"/>
      <c r="D111" s="89"/>
      <c r="E111" s="90"/>
      <c r="F111" s="87"/>
      <c r="G111" s="90"/>
      <c r="H111" s="90"/>
      <c r="I111" s="101"/>
      <c r="J111" s="133"/>
      <c r="L111" s="79"/>
    </row>
    <row r="112" spans="1:12" ht="15">
      <c r="A112" s="751" t="s">
        <v>128</v>
      </c>
      <c r="B112" s="752"/>
      <c r="C112" s="752"/>
      <c r="D112" s="752"/>
      <c r="E112" s="752"/>
      <c r="F112" s="752"/>
      <c r="G112" s="752"/>
      <c r="H112" s="752"/>
      <c r="I112" s="752"/>
      <c r="J112" s="753"/>
      <c r="L112" s="79"/>
    </row>
    <row r="113" spans="1:12" ht="15">
      <c r="A113" s="129" t="s">
        <v>6</v>
      </c>
      <c r="B113" s="88">
        <v>187.75</v>
      </c>
      <c r="C113" s="76"/>
      <c r="D113" s="77"/>
      <c r="E113" s="76"/>
      <c r="F113" s="75">
        <f t="shared" ref="F113:F114" si="25">PRODUCT(B113:E113)</f>
        <v>187.75</v>
      </c>
      <c r="G113" s="78">
        <f>F113</f>
        <v>187.75</v>
      </c>
      <c r="H113" s="76" t="s">
        <v>5</v>
      </c>
      <c r="I113" s="78">
        <f>G113*1.1</f>
        <v>206.52500000000001</v>
      </c>
      <c r="J113" s="127">
        <f>I113*1.1</f>
        <v>227.17750000000004</v>
      </c>
      <c r="L113" s="79"/>
    </row>
    <row r="114" spans="1:12" ht="15">
      <c r="A114" s="129" t="s">
        <v>7</v>
      </c>
      <c r="B114" s="88">
        <v>194.6</v>
      </c>
      <c r="C114" s="76"/>
      <c r="D114" s="77"/>
      <c r="E114" s="76"/>
      <c r="F114" s="75">
        <f t="shared" si="25"/>
        <v>194.6</v>
      </c>
      <c r="G114" s="78">
        <f>F114</f>
        <v>194.6</v>
      </c>
      <c r="H114" s="76" t="s">
        <v>5</v>
      </c>
      <c r="I114" s="78">
        <f>G114*1.1</f>
        <v>214.06</v>
      </c>
      <c r="J114" s="127">
        <f>I114*1.1</f>
        <v>235.46600000000001</v>
      </c>
      <c r="L114" s="79"/>
    </row>
    <row r="115" spans="1:12" ht="15">
      <c r="A115" s="83"/>
      <c r="B115" s="117"/>
      <c r="C115" s="99"/>
      <c r="D115" s="98"/>
      <c r="E115" s="99"/>
      <c r="F115" s="81"/>
      <c r="G115" s="99"/>
      <c r="H115" s="99"/>
      <c r="I115" s="91"/>
      <c r="J115" s="132">
        <f>SUM(J113:J114)</f>
        <v>462.64350000000002</v>
      </c>
      <c r="L115" s="79"/>
    </row>
    <row r="116" spans="1:12" ht="15">
      <c r="A116" s="83"/>
      <c r="B116" s="117"/>
      <c r="C116" s="99"/>
      <c r="D116" s="98"/>
      <c r="E116" s="99"/>
      <c r="F116" s="81"/>
      <c r="G116" s="99"/>
      <c r="H116" s="99"/>
      <c r="I116" s="91"/>
      <c r="J116" s="92"/>
      <c r="L116" s="79"/>
    </row>
    <row r="117" spans="1:12" ht="15">
      <c r="A117" s="757" t="s">
        <v>388</v>
      </c>
      <c r="B117" s="758"/>
      <c r="C117" s="758"/>
      <c r="D117" s="758"/>
      <c r="E117" s="758"/>
      <c r="F117" s="759"/>
      <c r="G117" s="72"/>
      <c r="H117" s="73"/>
      <c r="I117" s="72"/>
      <c r="J117" s="72"/>
      <c r="L117" s="79"/>
    </row>
    <row r="118" spans="1:12" ht="15">
      <c r="A118" s="134" t="s">
        <v>389</v>
      </c>
      <c r="B118" s="88">
        <v>20</v>
      </c>
      <c r="C118" s="89"/>
      <c r="D118" s="135"/>
      <c r="E118" s="90">
        <v>4</v>
      </c>
      <c r="F118" s="81">
        <f>B118*E118</f>
        <v>80</v>
      </c>
      <c r="G118" s="91"/>
      <c r="H118" s="99" t="s">
        <v>5</v>
      </c>
      <c r="I118" s="91"/>
      <c r="J118" s="290">
        <f>F118</f>
        <v>80</v>
      </c>
      <c r="L118" s="79"/>
    </row>
    <row r="119" spans="1:12" ht="15">
      <c r="A119" s="134"/>
      <c r="B119" s="88"/>
      <c r="C119" s="89"/>
      <c r="D119" s="135"/>
      <c r="E119" s="90"/>
      <c r="F119" s="81"/>
      <c r="G119" s="91"/>
      <c r="H119" s="99"/>
      <c r="I119" s="91"/>
      <c r="J119" s="290"/>
    </row>
    <row r="120" spans="1:12" ht="15">
      <c r="A120" s="134"/>
      <c r="B120" s="88"/>
      <c r="C120" s="89"/>
      <c r="D120" s="135"/>
      <c r="E120" s="90"/>
      <c r="F120" s="87"/>
      <c r="G120" s="101"/>
      <c r="H120" s="90"/>
      <c r="I120" s="101"/>
      <c r="J120" s="137">
        <f>SUM(J118:J119)</f>
        <v>80</v>
      </c>
    </row>
    <row r="121" spans="1:12" ht="15">
      <c r="A121" s="86"/>
      <c r="B121" s="88"/>
      <c r="C121" s="89"/>
      <c r="D121" s="135"/>
      <c r="E121" s="90"/>
      <c r="F121" s="87"/>
      <c r="G121" s="101"/>
      <c r="H121" s="90"/>
      <c r="I121" s="101"/>
      <c r="J121" s="101"/>
    </row>
    <row r="122" spans="1:12" ht="15">
      <c r="A122" s="751" t="s">
        <v>390</v>
      </c>
      <c r="B122" s="752"/>
      <c r="C122" s="752"/>
      <c r="D122" s="752"/>
      <c r="E122" s="752"/>
      <c r="F122" s="752"/>
      <c r="G122" s="752"/>
      <c r="H122" s="752"/>
      <c r="I122" s="752"/>
      <c r="J122" s="753"/>
    </row>
    <row r="123" spans="1:12" ht="15">
      <c r="A123" s="238"/>
      <c r="B123" s="239"/>
      <c r="C123" s="239"/>
      <c r="D123" s="239"/>
      <c r="E123" s="239"/>
      <c r="F123" s="239"/>
      <c r="G123" s="239"/>
      <c r="H123" s="239"/>
      <c r="I123" s="239"/>
      <c r="J123" s="240"/>
    </row>
    <row r="124" spans="1:12" ht="15">
      <c r="A124" s="141"/>
      <c r="B124" s="142">
        <v>105.25</v>
      </c>
      <c r="C124" s="143"/>
      <c r="D124" s="144"/>
      <c r="E124" s="143"/>
      <c r="F124" s="145">
        <f>B124</f>
        <v>105.25</v>
      </c>
      <c r="G124" s="143"/>
      <c r="H124" s="143" t="s">
        <v>5</v>
      </c>
      <c r="I124" s="146">
        <f>F124*1.1</f>
        <v>115.77500000000001</v>
      </c>
      <c r="J124" s="147">
        <f>I124</f>
        <v>115.77500000000001</v>
      </c>
    </row>
    <row r="126" spans="1:12" ht="15">
      <c r="A126" s="751" t="s">
        <v>129</v>
      </c>
      <c r="B126" s="752"/>
      <c r="C126" s="752"/>
      <c r="D126" s="752"/>
      <c r="E126" s="752"/>
      <c r="F126" s="752"/>
      <c r="G126" s="752"/>
      <c r="H126" s="752"/>
      <c r="I126" s="752"/>
      <c r="J126" s="753"/>
    </row>
    <row r="127" spans="1:12" ht="15">
      <c r="A127" s="148"/>
      <c r="B127" s="81"/>
      <c r="C127" s="90"/>
      <c r="D127" s="81"/>
      <c r="E127" s="90"/>
      <c r="F127" s="81"/>
      <c r="G127" s="91"/>
      <c r="H127" s="99"/>
      <c r="I127" s="91"/>
      <c r="J127" s="91"/>
    </row>
    <row r="128" spans="1:12" ht="15">
      <c r="A128" s="86" t="s">
        <v>584</v>
      </c>
      <c r="B128" s="87">
        <v>7.55</v>
      </c>
      <c r="C128" s="90">
        <v>6.77</v>
      </c>
      <c r="D128" s="87"/>
      <c r="E128" s="90"/>
      <c r="F128" s="87">
        <f>PRODUCT(B128:E128)</f>
        <v>51.113499999999995</v>
      </c>
      <c r="G128" s="101">
        <f>F128</f>
        <v>51.113499999999995</v>
      </c>
      <c r="H128" s="76" t="s">
        <v>100</v>
      </c>
      <c r="I128" s="78">
        <f>G128*1.1</f>
        <v>56.224849999999996</v>
      </c>
      <c r="J128" s="127">
        <f>I128</f>
        <v>56.224849999999996</v>
      </c>
    </row>
    <row r="129" spans="1:12" ht="15">
      <c r="A129" s="86" t="s">
        <v>585</v>
      </c>
      <c r="B129" s="87">
        <v>19.850000000000001</v>
      </c>
      <c r="C129" s="90">
        <v>6.15</v>
      </c>
      <c r="D129" s="87"/>
      <c r="E129" s="90"/>
      <c r="F129" s="87">
        <f>PRODUCT(B129:E129)</f>
        <v>122.07750000000001</v>
      </c>
      <c r="G129" s="101">
        <f>F129</f>
        <v>122.07750000000001</v>
      </c>
      <c r="H129" s="76" t="s">
        <v>100</v>
      </c>
      <c r="I129" s="78">
        <f>G129*1.1</f>
        <v>134.28525000000002</v>
      </c>
      <c r="J129" s="127">
        <f>I129</f>
        <v>134.28525000000002</v>
      </c>
    </row>
    <row r="130" spans="1:12" ht="15">
      <c r="A130" s="86" t="s">
        <v>586</v>
      </c>
      <c r="B130" s="87">
        <v>16.55</v>
      </c>
      <c r="C130" s="90">
        <v>5.53</v>
      </c>
      <c r="D130" s="87"/>
      <c r="E130" s="90"/>
      <c r="F130" s="87">
        <f>PRODUCT(B130:E130)</f>
        <v>91.521500000000003</v>
      </c>
      <c r="G130" s="101">
        <f>F130</f>
        <v>91.521500000000003</v>
      </c>
      <c r="H130" s="76" t="s">
        <v>100</v>
      </c>
      <c r="I130" s="78">
        <f>G130*1.1</f>
        <v>100.67365000000001</v>
      </c>
      <c r="J130" s="127">
        <f>I130</f>
        <v>100.67365000000001</v>
      </c>
    </row>
    <row r="131" spans="1:12" ht="15">
      <c r="A131" s="74"/>
      <c r="B131" s="87"/>
      <c r="C131" s="90"/>
      <c r="D131" s="87"/>
      <c r="E131" s="90"/>
      <c r="F131" s="87"/>
      <c r="G131" s="101"/>
      <c r="H131" s="90"/>
      <c r="I131" s="101"/>
      <c r="J131" s="137">
        <f>SUM(J128:J130)</f>
        <v>291.18375000000003</v>
      </c>
    </row>
    <row r="132" spans="1:12" ht="15">
      <c r="A132" s="74"/>
      <c r="B132" s="87"/>
      <c r="C132" s="90"/>
      <c r="D132" s="87"/>
      <c r="E132" s="90"/>
      <c r="F132" s="87"/>
      <c r="G132" s="101"/>
      <c r="H132" s="90"/>
      <c r="I132" s="101"/>
      <c r="J132" s="101"/>
    </row>
    <row r="133" spans="1:12" ht="15">
      <c r="A133" s="736" t="s">
        <v>130</v>
      </c>
      <c r="B133" s="737"/>
      <c r="C133" s="737"/>
      <c r="D133" s="737"/>
      <c r="E133" s="737"/>
      <c r="F133" s="737"/>
      <c r="G133" s="737"/>
      <c r="H133" s="737"/>
      <c r="I133" s="737"/>
      <c r="J133" s="738"/>
    </row>
    <row r="134" spans="1:12" ht="15">
      <c r="A134" s="83"/>
      <c r="B134" s="81"/>
      <c r="C134" s="90"/>
      <c r="D134" s="81"/>
      <c r="E134" s="90"/>
      <c r="F134" s="81"/>
      <c r="G134" s="91"/>
      <c r="H134" s="99"/>
      <c r="I134" s="91"/>
      <c r="J134" s="91"/>
    </row>
    <row r="135" spans="1:12" ht="15">
      <c r="A135" s="83"/>
      <c r="B135" s="87"/>
      <c r="C135" s="90"/>
      <c r="D135" s="87"/>
      <c r="E135" s="90"/>
      <c r="F135" s="87"/>
      <c r="G135" s="101"/>
      <c r="H135" s="90"/>
      <c r="I135" s="101"/>
      <c r="J135" s="149"/>
      <c r="L135" s="67" t="s">
        <v>131</v>
      </c>
    </row>
  </sheetData>
  <mergeCells count="29">
    <mergeCell ref="A54:J54"/>
    <mergeCell ref="A1:J1"/>
    <mergeCell ref="A3:J3"/>
    <mergeCell ref="A4:F4"/>
    <mergeCell ref="A15:J15"/>
    <mergeCell ref="A16:F16"/>
    <mergeCell ref="A17:F17"/>
    <mergeCell ref="A18:F18"/>
    <mergeCell ref="A30:F30"/>
    <mergeCell ref="A31:F31"/>
    <mergeCell ref="A32:F32"/>
    <mergeCell ref="A43:J43"/>
    <mergeCell ref="A105:J105"/>
    <mergeCell ref="A55:J55"/>
    <mergeCell ref="A56:F56"/>
    <mergeCell ref="A59:F59"/>
    <mergeCell ref="A60:J60"/>
    <mergeCell ref="A68:F68"/>
    <mergeCell ref="A71:F71"/>
    <mergeCell ref="A74:F74"/>
    <mergeCell ref="A77:J77"/>
    <mergeCell ref="A78:F78"/>
    <mergeCell ref="A81:J81"/>
    <mergeCell ref="A82:H82"/>
    <mergeCell ref="A112:J112"/>
    <mergeCell ref="A117:F117"/>
    <mergeCell ref="A122:J122"/>
    <mergeCell ref="A126:J126"/>
    <mergeCell ref="A133:J133"/>
  </mergeCells>
  <pageMargins left="0.7" right="0.7" top="0.75" bottom="0.75" header="0.3" footer="0.3"/>
  <pageSetup paperSize="9" scale="63" orientation="portrait" r:id="rId1"/>
  <rowBreaks count="1" manualBreakCount="1">
    <brk id="57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623D8-D090-4BD1-9D3B-5AD4BA228EB3}">
  <dimension ref="B3:W368"/>
  <sheetViews>
    <sheetView zoomScale="70" zoomScaleNormal="70" workbookViewId="0">
      <pane ySplit="1" topLeftCell="A75" activePane="bottomLeft" state="frozen"/>
      <selection activeCell="F15" sqref="F15"/>
      <selection pane="bottomLeft" activeCell="F15" sqref="F15"/>
    </sheetView>
  </sheetViews>
  <sheetFormatPr defaultColWidth="9.109375" defaultRowHeight="14.4"/>
  <cols>
    <col min="1" max="1" width="3.88671875" style="153" customWidth="1"/>
    <col min="2" max="2" width="20.44140625" style="153" customWidth="1"/>
    <col min="3" max="3" width="17.109375" style="153" customWidth="1"/>
    <col min="4" max="4" width="14.44140625" style="153" customWidth="1"/>
    <col min="5" max="5" width="15.109375" style="153" customWidth="1"/>
    <col min="6" max="10" width="14.44140625" style="153" customWidth="1"/>
    <col min="11" max="11" width="19.88671875" style="153" customWidth="1"/>
    <col min="12" max="12" width="12.109375" style="153" customWidth="1"/>
    <col min="13" max="13" width="14" style="153" customWidth="1"/>
    <col min="14" max="17" width="9.109375" style="153"/>
    <col min="18" max="18" width="11.88671875" style="153" customWidth="1"/>
    <col min="19" max="19" width="12.88671875" style="153" customWidth="1"/>
    <col min="20" max="20" width="9.109375" style="153"/>
    <col min="21" max="21" width="11.109375" style="153" bestFit="1" customWidth="1"/>
    <col min="22" max="16384" width="9.109375" style="153"/>
  </cols>
  <sheetData>
    <row r="3" spans="2:23">
      <c r="B3" s="150" t="s">
        <v>132</v>
      </c>
      <c r="C3" s="150" t="s">
        <v>133</v>
      </c>
      <c r="D3" s="150" t="s">
        <v>134</v>
      </c>
      <c r="E3" s="150" t="s">
        <v>135</v>
      </c>
      <c r="F3" s="150" t="s">
        <v>136</v>
      </c>
      <c r="G3" s="150"/>
      <c r="H3" s="765" t="s">
        <v>137</v>
      </c>
      <c r="I3" s="765"/>
      <c r="J3" s="765"/>
      <c r="K3" s="150" t="s">
        <v>138</v>
      </c>
      <c r="L3" s="151" t="s">
        <v>139</v>
      </c>
      <c r="M3" s="152"/>
    </row>
    <row r="4" spans="2:23" ht="19.5" customHeight="1">
      <c r="B4" s="154"/>
      <c r="C4" s="154"/>
      <c r="D4" s="154"/>
      <c r="E4" s="154"/>
      <c r="F4" s="155" t="s">
        <v>135</v>
      </c>
      <c r="G4" s="155" t="s">
        <v>140</v>
      </c>
      <c r="H4" s="155" t="s">
        <v>141</v>
      </c>
      <c r="I4" s="155" t="s">
        <v>140</v>
      </c>
      <c r="J4" s="155" t="s">
        <v>142</v>
      </c>
      <c r="K4" s="155" t="s">
        <v>143</v>
      </c>
      <c r="L4" s="156" t="s">
        <v>144</v>
      </c>
      <c r="M4" s="156" t="s">
        <v>145</v>
      </c>
    </row>
    <row r="5" spans="2:23">
      <c r="B5" s="157"/>
      <c r="C5" s="157"/>
      <c r="D5" s="157"/>
      <c r="E5" s="157"/>
      <c r="F5" s="158"/>
      <c r="G5" s="158"/>
      <c r="H5" s="158"/>
      <c r="I5" s="158"/>
      <c r="J5" s="158"/>
      <c r="K5" s="159"/>
      <c r="L5" s="159"/>
      <c r="M5" s="159"/>
    </row>
    <row r="6" spans="2:23" ht="18">
      <c r="B6" s="159" t="s">
        <v>146</v>
      </c>
      <c r="C6" s="160">
        <v>0.3</v>
      </c>
      <c r="D6" s="160">
        <v>0.3</v>
      </c>
      <c r="E6" s="160">
        <v>0.1</v>
      </c>
      <c r="F6" s="160">
        <v>0.05</v>
      </c>
      <c r="G6" s="160">
        <v>10</v>
      </c>
      <c r="H6" s="160">
        <v>0.2</v>
      </c>
      <c r="I6" s="160">
        <v>10</v>
      </c>
      <c r="J6" s="160">
        <v>0.25</v>
      </c>
      <c r="K6" s="160">
        <v>3</v>
      </c>
      <c r="L6" s="159"/>
      <c r="M6" s="159"/>
      <c r="T6" s="766" t="s">
        <v>147</v>
      </c>
      <c r="U6" s="766"/>
    </row>
    <row r="7" spans="2:23">
      <c r="B7" s="159"/>
      <c r="C7" s="160"/>
      <c r="D7" s="160"/>
      <c r="E7" s="160"/>
      <c r="F7" s="160"/>
      <c r="G7" s="160"/>
      <c r="H7" s="159"/>
      <c r="I7" s="159"/>
      <c r="J7" s="159"/>
      <c r="K7" s="160"/>
      <c r="L7" s="159"/>
      <c r="M7" s="159"/>
      <c r="S7" s="161"/>
      <c r="V7" s="161"/>
      <c r="W7" s="767" t="s">
        <v>6</v>
      </c>
    </row>
    <row r="8" spans="2:23">
      <c r="B8" s="159"/>
      <c r="C8" s="160"/>
      <c r="D8" s="160"/>
      <c r="E8" s="160"/>
      <c r="F8" s="160"/>
      <c r="G8" s="160"/>
      <c r="H8" s="159"/>
      <c r="I8" s="159"/>
      <c r="J8" s="159"/>
      <c r="K8" s="160"/>
      <c r="L8" s="159"/>
      <c r="M8" s="159"/>
      <c r="S8" s="161"/>
      <c r="V8" s="161"/>
      <c r="W8" s="767"/>
    </row>
    <row r="9" spans="2:23">
      <c r="B9" s="159" t="s">
        <v>148</v>
      </c>
      <c r="C9" s="160">
        <v>0.45</v>
      </c>
      <c r="D9" s="160">
        <v>0.45</v>
      </c>
      <c r="E9" s="160">
        <v>0.1</v>
      </c>
      <c r="F9" s="160">
        <v>0.05</v>
      </c>
      <c r="G9" s="160">
        <v>10</v>
      </c>
      <c r="H9" s="160">
        <v>0.2</v>
      </c>
      <c r="I9" s="160">
        <v>10</v>
      </c>
      <c r="J9" s="160">
        <v>0.25</v>
      </c>
      <c r="K9" s="160">
        <v>3</v>
      </c>
      <c r="L9" s="159"/>
      <c r="M9" s="159"/>
      <c r="S9" s="161"/>
      <c r="V9" s="161"/>
      <c r="W9" s="767"/>
    </row>
    <row r="10" spans="2:23">
      <c r="B10" s="159"/>
      <c r="C10" s="160"/>
      <c r="D10" s="160"/>
      <c r="E10" s="160"/>
      <c r="F10" s="160"/>
      <c r="G10" s="160"/>
      <c r="H10" s="160"/>
      <c r="I10" s="160"/>
      <c r="J10" s="160"/>
      <c r="K10" s="160"/>
      <c r="L10" s="159"/>
      <c r="M10" s="159"/>
      <c r="S10" s="161"/>
      <c r="V10" s="161"/>
      <c r="W10" s="767"/>
    </row>
    <row r="11" spans="2:23">
      <c r="B11" s="159"/>
      <c r="C11" s="160"/>
      <c r="D11" s="160"/>
      <c r="E11" s="160"/>
      <c r="F11" s="160"/>
      <c r="G11" s="160"/>
      <c r="H11" s="159"/>
      <c r="I11" s="159"/>
      <c r="J11" s="159"/>
      <c r="K11" s="160"/>
      <c r="L11" s="159"/>
      <c r="M11" s="159"/>
      <c r="S11" s="161"/>
      <c r="V11" s="161"/>
      <c r="W11" s="767"/>
    </row>
    <row r="12" spans="2:23">
      <c r="B12" s="159" t="s">
        <v>149</v>
      </c>
      <c r="C12" s="160">
        <v>0.6</v>
      </c>
      <c r="D12" s="160">
        <v>0.6</v>
      </c>
      <c r="E12" s="160">
        <v>0.1</v>
      </c>
      <c r="F12" s="160">
        <v>0.05</v>
      </c>
      <c r="G12" s="160">
        <v>10</v>
      </c>
      <c r="H12" s="159">
        <v>0.2</v>
      </c>
      <c r="I12" s="159">
        <v>10</v>
      </c>
      <c r="J12" s="159">
        <v>0.25</v>
      </c>
      <c r="K12" s="160">
        <v>3</v>
      </c>
      <c r="L12" s="159"/>
      <c r="M12" s="159"/>
      <c r="S12" s="161"/>
      <c r="V12" s="161"/>
      <c r="W12" s="767"/>
    </row>
    <row r="13" spans="2:23">
      <c r="B13" s="159"/>
      <c r="C13" s="160"/>
      <c r="D13" s="160"/>
      <c r="E13" s="160"/>
      <c r="F13" s="160"/>
      <c r="G13" s="160"/>
      <c r="H13" s="159"/>
      <c r="I13" s="159"/>
      <c r="J13" s="159"/>
      <c r="K13" s="160"/>
      <c r="L13" s="159"/>
      <c r="M13" s="159"/>
      <c r="S13" s="161"/>
      <c r="V13" s="161"/>
      <c r="W13" s="767"/>
    </row>
    <row r="14" spans="2:23">
      <c r="B14" s="159"/>
      <c r="C14" s="160"/>
      <c r="D14" s="160"/>
      <c r="E14" s="160"/>
      <c r="F14" s="160"/>
      <c r="G14" s="160"/>
      <c r="H14" s="159"/>
      <c r="I14" s="159"/>
      <c r="J14" s="159"/>
      <c r="K14" s="160"/>
      <c r="L14" s="159"/>
      <c r="M14" s="159"/>
      <c r="S14" s="161"/>
      <c r="V14" s="161"/>
      <c r="W14" s="767"/>
    </row>
    <row r="15" spans="2:23">
      <c r="B15" s="159" t="s">
        <v>150</v>
      </c>
      <c r="C15" s="160">
        <v>0.75</v>
      </c>
      <c r="D15" s="160">
        <v>0.75</v>
      </c>
      <c r="E15" s="162">
        <v>0.125</v>
      </c>
      <c r="F15" s="160">
        <v>0.05</v>
      </c>
      <c r="G15" s="160">
        <v>10</v>
      </c>
      <c r="H15" s="159">
        <v>0.2</v>
      </c>
      <c r="I15" s="159">
        <v>10</v>
      </c>
      <c r="J15" s="159">
        <v>0.25</v>
      </c>
      <c r="K15" s="160">
        <v>3</v>
      </c>
      <c r="L15" s="159"/>
      <c r="M15" s="159"/>
      <c r="S15" s="161"/>
      <c r="V15" s="161"/>
      <c r="W15" s="767"/>
    </row>
    <row r="16" spans="2:23">
      <c r="B16" s="159"/>
      <c r="C16" s="160"/>
      <c r="D16" s="160"/>
      <c r="E16" s="160"/>
      <c r="F16" s="160"/>
      <c r="G16" s="160"/>
      <c r="H16" s="159"/>
      <c r="I16" s="159"/>
      <c r="J16" s="159"/>
      <c r="K16" s="160"/>
      <c r="L16" s="159"/>
      <c r="M16" s="159"/>
      <c r="S16" s="161"/>
      <c r="V16" s="161"/>
      <c r="W16" s="767"/>
    </row>
    <row r="17" spans="2:23">
      <c r="B17" s="159"/>
      <c r="C17" s="160"/>
      <c r="D17" s="160"/>
      <c r="E17" s="160"/>
      <c r="F17" s="160"/>
      <c r="G17" s="160"/>
      <c r="H17" s="159"/>
      <c r="I17" s="159"/>
      <c r="J17" s="159"/>
      <c r="K17" s="160"/>
      <c r="L17" s="159"/>
      <c r="M17" s="159"/>
      <c r="S17" s="161"/>
      <c r="V17" s="161"/>
      <c r="W17" s="767"/>
    </row>
    <row r="18" spans="2:23">
      <c r="B18" s="163" t="s">
        <v>151</v>
      </c>
      <c r="C18" s="160">
        <v>0.9</v>
      </c>
      <c r="D18" s="160">
        <v>0.9</v>
      </c>
      <c r="E18" s="162">
        <v>0.15</v>
      </c>
      <c r="F18" s="160">
        <v>0.05</v>
      </c>
      <c r="G18" s="160">
        <v>10</v>
      </c>
      <c r="H18" s="159">
        <v>0.17499999999999999</v>
      </c>
      <c r="I18" s="159">
        <v>10</v>
      </c>
      <c r="J18" s="159">
        <v>0.25</v>
      </c>
      <c r="K18" s="160">
        <v>3</v>
      </c>
      <c r="L18" s="159"/>
      <c r="M18" s="159"/>
      <c r="S18" s="161"/>
      <c r="T18" s="161"/>
      <c r="U18" s="161"/>
      <c r="V18" s="161"/>
      <c r="W18" s="767" t="s">
        <v>152</v>
      </c>
    </row>
    <row r="19" spans="2:23">
      <c r="B19" s="159"/>
      <c r="C19" s="160"/>
      <c r="D19" s="160"/>
      <c r="E19" s="160"/>
      <c r="F19" s="160"/>
      <c r="G19" s="160"/>
      <c r="H19" s="159"/>
      <c r="I19" s="159"/>
      <c r="J19" s="159"/>
      <c r="K19" s="160"/>
      <c r="L19" s="159"/>
      <c r="M19" s="159"/>
      <c r="S19" s="161"/>
      <c r="T19" s="161"/>
      <c r="U19" s="161"/>
      <c r="V19" s="161"/>
      <c r="W19" s="767"/>
    </row>
    <row r="20" spans="2:23">
      <c r="B20" s="159"/>
      <c r="C20" s="160"/>
      <c r="D20" s="160"/>
      <c r="E20" s="160"/>
      <c r="F20" s="160"/>
      <c r="G20" s="160"/>
      <c r="H20" s="159"/>
      <c r="I20" s="159"/>
      <c r="J20" s="159"/>
      <c r="K20" s="160"/>
      <c r="L20" s="159"/>
      <c r="M20" s="159"/>
      <c r="S20" s="161"/>
      <c r="T20" s="161"/>
      <c r="U20" s="161"/>
      <c r="V20" s="161"/>
      <c r="W20" s="767"/>
    </row>
    <row r="21" spans="2:23">
      <c r="B21" s="159" t="s">
        <v>153</v>
      </c>
      <c r="C21" s="160">
        <v>1</v>
      </c>
      <c r="D21" s="160">
        <v>1</v>
      </c>
      <c r="E21" s="160">
        <v>0.15</v>
      </c>
      <c r="F21" s="160">
        <v>0.05</v>
      </c>
      <c r="G21" s="160">
        <v>10</v>
      </c>
      <c r="H21" s="159">
        <v>0.17499999999999999</v>
      </c>
      <c r="I21" s="159">
        <v>10</v>
      </c>
      <c r="J21" s="159">
        <v>0.25</v>
      </c>
      <c r="K21" s="160">
        <v>3</v>
      </c>
      <c r="L21" s="159"/>
      <c r="M21" s="159"/>
      <c r="S21" s="164"/>
      <c r="T21" s="164"/>
      <c r="U21" s="164"/>
      <c r="V21" s="164"/>
      <c r="W21" s="153" t="s">
        <v>154</v>
      </c>
    </row>
    <row r="22" spans="2:23">
      <c r="B22" s="159"/>
      <c r="C22" s="160"/>
      <c r="D22" s="160"/>
      <c r="E22" s="160"/>
      <c r="F22" s="160"/>
      <c r="G22" s="160"/>
      <c r="H22" s="159"/>
      <c r="I22" s="159"/>
      <c r="J22" s="159"/>
      <c r="K22" s="160"/>
      <c r="L22" s="159"/>
      <c r="M22" s="159"/>
      <c r="S22" s="164"/>
      <c r="T22" s="164"/>
      <c r="U22" s="164"/>
      <c r="V22" s="164"/>
    </row>
    <row r="23" spans="2:23">
      <c r="B23" s="159"/>
      <c r="C23" s="160"/>
      <c r="D23" s="160"/>
      <c r="E23" s="160"/>
      <c r="F23" s="160"/>
      <c r="G23" s="160"/>
      <c r="H23" s="159"/>
      <c r="I23" s="159"/>
      <c r="J23" s="159"/>
      <c r="K23" s="160"/>
      <c r="L23" s="159"/>
      <c r="M23" s="159"/>
    </row>
    <row r="24" spans="2:23">
      <c r="B24" s="159" t="s">
        <v>155</v>
      </c>
      <c r="C24" s="160">
        <v>0.3</v>
      </c>
      <c r="D24" s="160">
        <v>0.3</v>
      </c>
      <c r="E24" s="160">
        <v>0.1</v>
      </c>
      <c r="F24" s="160">
        <v>0.05</v>
      </c>
      <c r="G24" s="160">
        <v>10</v>
      </c>
      <c r="H24" s="159">
        <v>0.2</v>
      </c>
      <c r="I24" s="159">
        <v>10</v>
      </c>
      <c r="J24" s="159">
        <v>0.25</v>
      </c>
      <c r="K24" s="160">
        <v>3</v>
      </c>
      <c r="L24" s="159"/>
      <c r="M24" s="159"/>
    </row>
    <row r="25" spans="2:23">
      <c r="B25" s="159"/>
      <c r="C25" s="160"/>
      <c r="D25" s="160"/>
      <c r="E25" s="160"/>
      <c r="F25" s="160"/>
      <c r="G25" s="160"/>
      <c r="H25" s="159"/>
      <c r="I25" s="159"/>
      <c r="J25" s="159"/>
      <c r="K25" s="160"/>
      <c r="L25" s="159"/>
      <c r="M25" s="159"/>
    </row>
    <row r="26" spans="2:23">
      <c r="B26" s="159"/>
      <c r="C26" s="160"/>
      <c r="D26" s="160"/>
      <c r="E26" s="160"/>
      <c r="F26" s="160"/>
      <c r="G26" s="160"/>
      <c r="H26" s="159"/>
      <c r="I26" s="159"/>
      <c r="J26" s="159"/>
      <c r="K26" s="160"/>
      <c r="L26" s="159"/>
      <c r="M26" s="159"/>
    </row>
    <row r="27" spans="2:23">
      <c r="B27" s="159" t="s">
        <v>156</v>
      </c>
      <c r="C27" s="160">
        <v>0.6</v>
      </c>
      <c r="D27" s="160">
        <v>0.6</v>
      </c>
      <c r="E27" s="160">
        <v>0.1</v>
      </c>
      <c r="F27" s="160">
        <v>0.05</v>
      </c>
      <c r="G27" s="160">
        <v>10</v>
      </c>
      <c r="H27" s="159">
        <v>0.2</v>
      </c>
      <c r="I27" s="159">
        <v>10</v>
      </c>
      <c r="J27" s="159">
        <v>0.25</v>
      </c>
      <c r="K27" s="160">
        <v>3</v>
      </c>
      <c r="L27" s="159"/>
      <c r="M27" s="159"/>
    </row>
    <row r="28" spans="2:23">
      <c r="B28" s="165"/>
      <c r="C28" s="166"/>
      <c r="D28" s="166"/>
      <c r="E28" s="166"/>
      <c r="F28" s="166"/>
      <c r="G28" s="166"/>
      <c r="H28" s="165"/>
      <c r="I28" s="165"/>
      <c r="J28" s="165"/>
      <c r="K28" s="160"/>
      <c r="L28" s="159"/>
      <c r="M28" s="159"/>
    </row>
    <row r="29" spans="2:23">
      <c r="B29" s="165"/>
      <c r="C29" s="166"/>
      <c r="D29" s="166"/>
      <c r="E29" s="166"/>
      <c r="F29" s="166"/>
      <c r="G29" s="166"/>
      <c r="H29" s="165"/>
      <c r="I29" s="165"/>
      <c r="J29" s="165"/>
      <c r="K29" s="166"/>
      <c r="L29" s="159"/>
      <c r="M29" s="159"/>
    </row>
    <row r="30" spans="2:23">
      <c r="B30" s="167" t="s">
        <v>157</v>
      </c>
      <c r="C30" s="160">
        <v>0.3</v>
      </c>
      <c r="D30" s="160">
        <v>0.3</v>
      </c>
      <c r="E30" s="160">
        <v>0.1</v>
      </c>
      <c r="F30" s="160">
        <v>0.05</v>
      </c>
      <c r="G30" s="160">
        <v>10</v>
      </c>
      <c r="H30" s="159">
        <v>0.25</v>
      </c>
      <c r="I30" s="159">
        <v>10</v>
      </c>
      <c r="J30" s="159">
        <v>0.25</v>
      </c>
      <c r="K30" s="160">
        <v>0</v>
      </c>
      <c r="L30" s="159"/>
      <c r="M30" s="159"/>
    </row>
    <row r="31" spans="2:23">
      <c r="B31" s="165" t="s">
        <v>158</v>
      </c>
      <c r="C31" s="166">
        <v>1.5</v>
      </c>
      <c r="D31" s="166"/>
      <c r="E31" s="166">
        <v>0.1</v>
      </c>
      <c r="F31" s="166"/>
      <c r="G31" s="166">
        <v>10</v>
      </c>
      <c r="H31" s="165">
        <v>0.25</v>
      </c>
      <c r="I31" s="165">
        <v>10</v>
      </c>
      <c r="J31" s="165">
        <v>0.15</v>
      </c>
      <c r="K31" s="160"/>
      <c r="L31" s="159"/>
      <c r="M31" s="159"/>
    </row>
    <row r="32" spans="2:23">
      <c r="B32" s="165"/>
      <c r="C32" s="166"/>
      <c r="D32" s="166"/>
      <c r="E32" s="166"/>
      <c r="F32" s="166"/>
      <c r="G32" s="166"/>
      <c r="H32" s="165"/>
      <c r="I32" s="165"/>
      <c r="J32" s="165"/>
      <c r="K32" s="166"/>
      <c r="L32" s="159"/>
      <c r="M32" s="159"/>
    </row>
    <row r="33" spans="2:13">
      <c r="B33" s="168" t="s">
        <v>159</v>
      </c>
      <c r="C33" s="160">
        <v>0.45</v>
      </c>
      <c r="D33" s="160">
        <v>0.45</v>
      </c>
      <c r="E33" s="160">
        <v>0.1</v>
      </c>
      <c r="F33" s="160">
        <v>0.05</v>
      </c>
      <c r="G33" s="160">
        <v>10</v>
      </c>
      <c r="H33" s="159">
        <v>0.25</v>
      </c>
      <c r="I33" s="159">
        <v>10</v>
      </c>
      <c r="J33" s="159">
        <v>0.25</v>
      </c>
      <c r="K33" s="160">
        <v>0</v>
      </c>
      <c r="L33" s="159"/>
      <c r="M33" s="159"/>
    </row>
    <row r="34" spans="2:13">
      <c r="B34" s="165" t="s">
        <v>158</v>
      </c>
      <c r="C34" s="166">
        <v>1.5</v>
      </c>
      <c r="D34" s="166"/>
      <c r="E34" s="166">
        <v>0.1</v>
      </c>
      <c r="F34" s="166"/>
      <c r="G34" s="166">
        <v>10</v>
      </c>
      <c r="H34" s="165">
        <v>0.25</v>
      </c>
      <c r="I34" s="165">
        <v>10</v>
      </c>
      <c r="J34" s="165">
        <v>0.15</v>
      </c>
      <c r="K34" s="160"/>
      <c r="L34" s="159"/>
      <c r="M34" s="159"/>
    </row>
    <row r="35" spans="2:13">
      <c r="B35" s="165"/>
      <c r="C35" s="166"/>
      <c r="D35" s="166"/>
      <c r="E35" s="166"/>
      <c r="F35" s="166"/>
      <c r="G35" s="166"/>
      <c r="H35" s="165"/>
      <c r="I35" s="165"/>
      <c r="J35" s="165"/>
      <c r="K35" s="166" t="s">
        <v>160</v>
      </c>
      <c r="L35" s="159"/>
      <c r="M35" s="159"/>
    </row>
    <row r="36" spans="2:13">
      <c r="B36" s="167" t="s">
        <v>161</v>
      </c>
      <c r="C36" s="160">
        <v>1</v>
      </c>
      <c r="D36" s="160">
        <v>0.15</v>
      </c>
      <c r="E36" s="160">
        <v>0.1</v>
      </c>
      <c r="F36" s="160">
        <v>0.05</v>
      </c>
      <c r="G36" s="160">
        <v>10</v>
      </c>
      <c r="H36" s="159">
        <v>0.25</v>
      </c>
      <c r="I36" s="159">
        <v>10</v>
      </c>
      <c r="J36" s="159">
        <v>0.25</v>
      </c>
      <c r="K36" s="160">
        <v>0</v>
      </c>
      <c r="L36" s="159"/>
      <c r="M36" s="159"/>
    </row>
    <row r="37" spans="2:13">
      <c r="B37" s="165" t="s">
        <v>158</v>
      </c>
      <c r="C37" s="166">
        <v>1.5</v>
      </c>
      <c r="D37" s="166"/>
      <c r="E37" s="166">
        <v>0.1</v>
      </c>
      <c r="F37" s="166"/>
      <c r="G37" s="166">
        <v>10</v>
      </c>
      <c r="H37" s="165">
        <v>0.25</v>
      </c>
      <c r="I37" s="165">
        <v>10</v>
      </c>
      <c r="J37" s="165">
        <v>0.15</v>
      </c>
      <c r="K37" s="160"/>
      <c r="L37" s="159"/>
      <c r="M37" s="159"/>
    </row>
    <row r="38" spans="2:13">
      <c r="B38" s="165"/>
      <c r="C38" s="166"/>
      <c r="D38" s="166"/>
      <c r="E38" s="166"/>
      <c r="F38" s="166"/>
      <c r="G38" s="166"/>
      <c r="H38" s="165"/>
      <c r="I38" s="165"/>
      <c r="J38" s="165"/>
      <c r="K38" s="166"/>
      <c r="L38" s="159"/>
      <c r="M38" s="159"/>
    </row>
    <row r="39" spans="2:13">
      <c r="B39" s="169" t="s">
        <v>162</v>
      </c>
      <c r="C39" s="160">
        <v>1</v>
      </c>
      <c r="D39" s="160">
        <v>0.2</v>
      </c>
      <c r="E39" s="160">
        <v>0.1</v>
      </c>
      <c r="F39" s="160">
        <v>0.05</v>
      </c>
      <c r="G39" s="160">
        <v>10</v>
      </c>
      <c r="H39" s="159">
        <v>0.25</v>
      </c>
      <c r="I39" s="159">
        <v>10</v>
      </c>
      <c r="J39" s="159">
        <v>0.25</v>
      </c>
      <c r="K39" s="160">
        <v>0</v>
      </c>
      <c r="L39" s="159"/>
      <c r="M39" s="159"/>
    </row>
    <row r="40" spans="2:13">
      <c r="B40" s="165"/>
      <c r="C40" s="166"/>
      <c r="D40" s="166"/>
      <c r="E40" s="166"/>
      <c r="F40" s="166"/>
      <c r="G40" s="166"/>
      <c r="H40" s="165"/>
      <c r="I40" s="165"/>
      <c r="J40" s="165"/>
      <c r="K40" s="166"/>
      <c r="L40" s="159"/>
      <c r="M40" s="159"/>
    </row>
    <row r="41" spans="2:13">
      <c r="B41" s="169" t="s">
        <v>163</v>
      </c>
      <c r="C41" s="160">
        <v>1</v>
      </c>
      <c r="D41" s="160">
        <v>0.3</v>
      </c>
      <c r="E41" s="160">
        <v>0.1</v>
      </c>
      <c r="F41" s="160">
        <v>0.05</v>
      </c>
      <c r="G41" s="160">
        <v>10</v>
      </c>
      <c r="H41" s="159">
        <v>0.25</v>
      </c>
      <c r="I41" s="159">
        <v>10</v>
      </c>
      <c r="J41" s="159">
        <v>0.25</v>
      </c>
      <c r="K41" s="160">
        <v>0</v>
      </c>
      <c r="L41" s="159"/>
      <c r="M41" s="159"/>
    </row>
    <row r="42" spans="2:13">
      <c r="B42" s="165"/>
      <c r="C42" s="166"/>
      <c r="D42" s="166"/>
      <c r="E42" s="166"/>
      <c r="F42" s="166"/>
      <c r="G42" s="166"/>
      <c r="H42" s="165"/>
      <c r="I42" s="165"/>
      <c r="J42" s="165"/>
      <c r="K42" s="166"/>
      <c r="L42" s="159"/>
      <c r="M42" s="159"/>
    </row>
    <row r="43" spans="2:13">
      <c r="B43" s="170" t="s">
        <v>164</v>
      </c>
      <c r="C43" s="160">
        <v>0.6</v>
      </c>
      <c r="D43" s="160">
        <v>0.6</v>
      </c>
      <c r="E43" s="160">
        <v>0.15</v>
      </c>
      <c r="F43" s="160">
        <v>0.05</v>
      </c>
      <c r="G43" s="160">
        <v>10</v>
      </c>
      <c r="H43" s="159">
        <v>0.25</v>
      </c>
      <c r="I43" s="159">
        <v>10</v>
      </c>
      <c r="J43" s="159">
        <v>0.25</v>
      </c>
      <c r="K43" s="160">
        <v>0</v>
      </c>
      <c r="L43" s="159"/>
      <c r="M43" s="159"/>
    </row>
    <row r="44" spans="2:13">
      <c r="B44" s="165"/>
      <c r="C44" s="166"/>
      <c r="D44" s="166"/>
      <c r="E44" s="166"/>
      <c r="F44" s="166"/>
      <c r="G44" s="166"/>
      <c r="H44" s="165"/>
      <c r="I44" s="165"/>
      <c r="J44" s="165"/>
      <c r="K44" s="166"/>
      <c r="L44" s="159"/>
      <c r="M44" s="159"/>
    </row>
    <row r="45" spans="2:13">
      <c r="B45" s="170" t="s">
        <v>165</v>
      </c>
      <c r="C45" s="160">
        <v>0.8</v>
      </c>
      <c r="D45" s="160">
        <v>0.8</v>
      </c>
      <c r="E45" s="160">
        <v>0.15</v>
      </c>
      <c r="F45" s="160">
        <v>0.05</v>
      </c>
      <c r="G45" s="160">
        <v>10</v>
      </c>
      <c r="H45" s="159">
        <v>0.25</v>
      </c>
      <c r="I45" s="159">
        <v>10</v>
      </c>
      <c r="J45" s="159">
        <v>0.25</v>
      </c>
      <c r="K45" s="160">
        <v>0</v>
      </c>
      <c r="L45" s="159"/>
      <c r="M45" s="159"/>
    </row>
    <row r="46" spans="2:13">
      <c r="B46" s="165"/>
      <c r="C46" s="166"/>
      <c r="D46" s="166"/>
      <c r="E46" s="166"/>
      <c r="F46" s="166"/>
      <c r="G46" s="166"/>
      <c r="H46" s="165"/>
      <c r="I46" s="165"/>
      <c r="J46" s="165"/>
      <c r="K46" s="166"/>
      <c r="L46" s="159"/>
      <c r="M46" s="159"/>
    </row>
    <row r="47" spans="2:13">
      <c r="B47" s="171" t="s">
        <v>166</v>
      </c>
      <c r="C47" s="160">
        <v>1</v>
      </c>
      <c r="D47" s="160">
        <v>0.6</v>
      </c>
      <c r="E47" s="160">
        <v>0.1</v>
      </c>
      <c r="F47" s="160">
        <v>0.05</v>
      </c>
      <c r="G47" s="160">
        <v>10</v>
      </c>
      <c r="H47" s="159">
        <v>0.25</v>
      </c>
      <c r="I47" s="159">
        <v>10</v>
      </c>
      <c r="J47" s="159">
        <v>0.25</v>
      </c>
      <c r="K47" s="160">
        <v>3</v>
      </c>
      <c r="L47" s="159"/>
      <c r="M47" s="159"/>
    </row>
    <row r="48" spans="2:13">
      <c r="B48" s="172"/>
      <c r="C48" s="166"/>
      <c r="D48" s="166"/>
      <c r="E48" s="166"/>
      <c r="F48" s="166"/>
      <c r="G48" s="166"/>
      <c r="H48" s="165"/>
      <c r="I48" s="165"/>
      <c r="J48" s="165"/>
      <c r="K48" s="166"/>
      <c r="L48" s="159"/>
      <c r="M48" s="159"/>
    </row>
    <row r="49" spans="2:13">
      <c r="B49" s="165"/>
      <c r="C49" s="166"/>
      <c r="D49" s="166"/>
      <c r="E49" s="166"/>
      <c r="F49" s="166"/>
      <c r="G49" s="166"/>
      <c r="H49" s="165"/>
      <c r="I49" s="165"/>
      <c r="J49" s="165"/>
      <c r="K49" s="166"/>
      <c r="L49" s="159"/>
      <c r="M49" s="159"/>
    </row>
    <row r="50" spans="2:13">
      <c r="B50" s="171" t="s">
        <v>167</v>
      </c>
      <c r="C50" s="160">
        <v>1</v>
      </c>
      <c r="D50" s="160">
        <v>0.8</v>
      </c>
      <c r="E50" s="160">
        <v>0.125</v>
      </c>
      <c r="F50" s="160">
        <v>0.05</v>
      </c>
      <c r="G50" s="160">
        <v>10</v>
      </c>
      <c r="H50" s="159">
        <v>0.25</v>
      </c>
      <c r="I50" s="159">
        <v>10</v>
      </c>
      <c r="J50" s="159">
        <v>0.25</v>
      </c>
      <c r="K50" s="160">
        <v>3</v>
      </c>
      <c r="L50" s="159"/>
      <c r="M50" s="159"/>
    </row>
    <row r="51" spans="2:13">
      <c r="B51" s="172"/>
      <c r="C51" s="166"/>
      <c r="D51" s="166"/>
      <c r="E51" s="166"/>
      <c r="F51" s="166"/>
      <c r="G51" s="166"/>
      <c r="H51" s="165"/>
      <c r="I51" s="165"/>
      <c r="J51" s="165"/>
      <c r="K51" s="166"/>
      <c r="L51" s="159"/>
      <c r="M51" s="159"/>
    </row>
    <row r="52" spans="2:13">
      <c r="B52" s="165"/>
      <c r="C52" s="166"/>
      <c r="D52" s="166"/>
      <c r="E52" s="166"/>
      <c r="F52" s="166"/>
      <c r="G52" s="166"/>
      <c r="H52" s="165"/>
      <c r="I52" s="165"/>
      <c r="J52" s="165"/>
      <c r="K52" s="166"/>
      <c r="L52" s="159"/>
      <c r="M52" s="159"/>
    </row>
    <row r="53" spans="2:13">
      <c r="B53" s="171" t="s">
        <v>168</v>
      </c>
      <c r="C53" s="160">
        <v>1</v>
      </c>
      <c r="D53" s="160">
        <v>1</v>
      </c>
      <c r="E53" s="160">
        <v>0.125</v>
      </c>
      <c r="F53" s="160">
        <v>0.05</v>
      </c>
      <c r="G53" s="160">
        <v>10</v>
      </c>
      <c r="H53" s="159">
        <v>0.25</v>
      </c>
      <c r="I53" s="159">
        <v>10</v>
      </c>
      <c r="J53" s="159">
        <v>0.25</v>
      </c>
      <c r="K53" s="160">
        <v>3</v>
      </c>
      <c r="L53" s="159"/>
      <c r="M53" s="159"/>
    </row>
    <row r="54" spans="2:13">
      <c r="B54" s="172"/>
      <c r="C54" s="166"/>
      <c r="D54" s="166"/>
      <c r="E54" s="166"/>
      <c r="F54" s="166"/>
      <c r="G54" s="166"/>
      <c r="H54" s="165"/>
      <c r="I54" s="165"/>
      <c r="J54" s="165"/>
      <c r="K54" s="166"/>
      <c r="L54" s="159"/>
      <c r="M54" s="159"/>
    </row>
    <row r="55" spans="2:13">
      <c r="B55" s="165"/>
      <c r="C55" s="166"/>
      <c r="D55" s="166"/>
      <c r="E55" s="166"/>
      <c r="F55" s="166"/>
      <c r="G55" s="166"/>
      <c r="H55" s="165"/>
      <c r="I55" s="165"/>
      <c r="J55" s="165"/>
      <c r="K55" s="166"/>
      <c r="L55" s="159"/>
      <c r="M55" s="159"/>
    </row>
    <row r="56" spans="2:13">
      <c r="B56" s="171" t="s">
        <v>169</v>
      </c>
      <c r="C56" s="160">
        <v>1</v>
      </c>
      <c r="D56" s="160">
        <v>1</v>
      </c>
      <c r="E56" s="160">
        <v>0.125</v>
      </c>
      <c r="F56" s="160">
        <v>0.05</v>
      </c>
      <c r="G56" s="160">
        <v>10</v>
      </c>
      <c r="H56" s="159">
        <v>0.25</v>
      </c>
      <c r="I56" s="159">
        <v>10</v>
      </c>
      <c r="J56" s="159">
        <v>0.25</v>
      </c>
      <c r="K56" s="160">
        <v>3</v>
      </c>
      <c r="L56" s="159"/>
      <c r="M56" s="159"/>
    </row>
    <row r="57" spans="2:13">
      <c r="B57" s="172"/>
      <c r="C57" s="166"/>
      <c r="D57" s="166"/>
      <c r="E57" s="166"/>
      <c r="F57" s="166"/>
      <c r="G57" s="166"/>
      <c r="H57" s="165"/>
      <c r="I57" s="165"/>
      <c r="J57" s="165"/>
      <c r="K57" s="166"/>
      <c r="L57" s="159"/>
      <c r="M57" s="159"/>
    </row>
    <row r="58" spans="2:13">
      <c r="B58" s="172"/>
      <c r="C58" s="166"/>
      <c r="D58" s="166"/>
      <c r="E58" s="166"/>
      <c r="F58" s="166"/>
      <c r="G58" s="166"/>
      <c r="H58" s="165"/>
      <c r="I58" s="165"/>
      <c r="J58" s="165"/>
      <c r="K58" s="166"/>
      <c r="L58" s="159"/>
      <c r="M58" s="159"/>
    </row>
    <row r="59" spans="2:13">
      <c r="B59" s="159" t="s">
        <v>170</v>
      </c>
      <c r="C59" s="160">
        <v>0.45</v>
      </c>
      <c r="D59" s="160">
        <v>0.45</v>
      </c>
      <c r="E59" s="160">
        <v>0.1</v>
      </c>
      <c r="F59" s="160">
        <v>0.05</v>
      </c>
      <c r="G59" s="160">
        <v>10</v>
      </c>
      <c r="H59" s="159">
        <v>0.25</v>
      </c>
      <c r="I59" s="159">
        <v>10</v>
      </c>
      <c r="J59" s="159">
        <v>0.25</v>
      </c>
      <c r="K59" s="160"/>
      <c r="L59" s="159">
        <v>0.27500000000000002</v>
      </c>
      <c r="M59" s="159">
        <v>0.27500000000000002</v>
      </c>
    </row>
    <row r="60" spans="2:13">
      <c r="B60" s="165"/>
      <c r="C60" s="166"/>
      <c r="D60" s="166"/>
      <c r="E60" s="166"/>
      <c r="F60" s="166"/>
      <c r="G60" s="166"/>
      <c r="H60" s="165"/>
      <c r="I60" s="165"/>
      <c r="J60" s="165"/>
      <c r="K60" s="166"/>
      <c r="L60" s="159"/>
      <c r="M60" s="159"/>
    </row>
    <row r="61" spans="2:13">
      <c r="B61" s="165"/>
      <c r="C61" s="166"/>
      <c r="D61" s="166"/>
      <c r="E61" s="166"/>
      <c r="F61" s="166"/>
      <c r="G61" s="166"/>
      <c r="H61" s="165"/>
      <c r="I61" s="165"/>
      <c r="J61" s="165"/>
      <c r="K61" s="166"/>
      <c r="L61" s="159"/>
      <c r="M61" s="159"/>
    </row>
    <row r="62" spans="2:13">
      <c r="B62" s="165"/>
      <c r="C62" s="166"/>
      <c r="D62" s="166"/>
      <c r="E62" s="166"/>
      <c r="F62" s="166"/>
      <c r="G62" s="166"/>
      <c r="H62" s="165"/>
      <c r="I62" s="165"/>
      <c r="J62" s="165"/>
      <c r="K62" s="166"/>
      <c r="L62" s="159"/>
      <c r="M62" s="159"/>
    </row>
    <row r="63" spans="2:13">
      <c r="B63" s="159" t="s">
        <v>171</v>
      </c>
      <c r="C63" s="160">
        <v>0.45</v>
      </c>
      <c r="D63" s="160">
        <v>0.6</v>
      </c>
      <c r="E63" s="160">
        <v>0.1</v>
      </c>
      <c r="F63" s="160">
        <v>0.05</v>
      </c>
      <c r="G63" s="160">
        <v>10</v>
      </c>
      <c r="H63" s="159">
        <v>0.25</v>
      </c>
      <c r="I63" s="159">
        <v>10</v>
      </c>
      <c r="J63" s="159">
        <v>0.25</v>
      </c>
      <c r="K63" s="160"/>
      <c r="L63" s="159">
        <v>0.27500000000000002</v>
      </c>
      <c r="M63" s="159">
        <v>0.27500000000000002</v>
      </c>
    </row>
    <row r="64" spans="2:13">
      <c r="B64" s="165"/>
      <c r="C64" s="166"/>
      <c r="D64" s="166"/>
      <c r="E64" s="166"/>
      <c r="F64" s="166"/>
      <c r="G64" s="166"/>
      <c r="H64" s="165"/>
      <c r="I64" s="165"/>
      <c r="J64" s="165"/>
      <c r="K64" s="166"/>
      <c r="L64" s="159"/>
      <c r="M64" s="159"/>
    </row>
    <row r="65" spans="2:13">
      <c r="B65" s="165"/>
      <c r="C65" s="166"/>
      <c r="D65" s="166"/>
      <c r="E65" s="166"/>
      <c r="F65" s="166"/>
      <c r="G65" s="166"/>
      <c r="H65" s="165"/>
      <c r="I65" s="165"/>
      <c r="J65" s="165"/>
      <c r="K65" s="166"/>
      <c r="L65" s="159"/>
      <c r="M65" s="159"/>
    </row>
    <row r="66" spans="2:13">
      <c r="B66" s="172"/>
      <c r="C66" s="166"/>
      <c r="D66" s="166"/>
      <c r="E66" s="166"/>
      <c r="F66" s="166"/>
      <c r="G66" s="166"/>
      <c r="H66" s="165"/>
      <c r="I66" s="165"/>
      <c r="J66" s="165"/>
      <c r="K66" s="166"/>
      <c r="L66" s="159"/>
      <c r="M66" s="159"/>
    </row>
    <row r="67" spans="2:13">
      <c r="B67" s="159" t="s">
        <v>172</v>
      </c>
      <c r="C67" s="160">
        <v>0.6</v>
      </c>
      <c r="D67" s="160">
        <v>0.6</v>
      </c>
      <c r="E67" s="160">
        <v>0.1</v>
      </c>
      <c r="F67" s="160">
        <v>0.05</v>
      </c>
      <c r="G67" s="160">
        <v>10</v>
      </c>
      <c r="H67" s="159">
        <v>0.25</v>
      </c>
      <c r="I67" s="159">
        <v>10</v>
      </c>
      <c r="J67" s="159">
        <v>0.25</v>
      </c>
      <c r="K67" s="160"/>
      <c r="L67" s="159">
        <v>0.27500000000000002</v>
      </c>
      <c r="M67" s="159">
        <v>0.27500000000000002</v>
      </c>
    </row>
    <row r="68" spans="2:13">
      <c r="B68" s="165"/>
      <c r="C68" s="166"/>
      <c r="D68" s="166"/>
      <c r="E68" s="166"/>
      <c r="F68" s="166"/>
      <c r="G68" s="166"/>
      <c r="H68" s="165"/>
      <c r="I68" s="165"/>
      <c r="J68" s="165"/>
      <c r="K68" s="166"/>
      <c r="L68" s="159"/>
      <c r="M68" s="159"/>
    </row>
    <row r="69" spans="2:13">
      <c r="B69" s="165"/>
      <c r="C69" s="166"/>
      <c r="D69" s="166"/>
      <c r="E69" s="166"/>
      <c r="F69" s="166"/>
      <c r="G69" s="166"/>
      <c r="H69" s="165"/>
      <c r="I69" s="165"/>
      <c r="J69" s="165"/>
      <c r="K69" s="166"/>
      <c r="L69" s="159"/>
      <c r="M69" s="159"/>
    </row>
    <row r="70" spans="2:13">
      <c r="B70" s="165"/>
      <c r="C70" s="166"/>
      <c r="D70" s="166"/>
      <c r="E70" s="166"/>
      <c r="F70" s="166"/>
      <c r="G70" s="166"/>
      <c r="H70" s="165"/>
      <c r="I70" s="165"/>
      <c r="J70" s="165"/>
      <c r="K70" s="166"/>
      <c r="L70" s="159"/>
      <c r="M70" s="159"/>
    </row>
    <row r="71" spans="2:13">
      <c r="B71" s="159" t="s">
        <v>173</v>
      </c>
      <c r="C71" s="160">
        <v>0.8</v>
      </c>
      <c r="D71" s="160">
        <v>0.8</v>
      </c>
      <c r="E71" s="160">
        <v>0.1</v>
      </c>
      <c r="F71" s="160">
        <v>0.05</v>
      </c>
      <c r="G71" s="160">
        <v>10</v>
      </c>
      <c r="H71" s="159">
        <v>0.25</v>
      </c>
      <c r="I71" s="159">
        <v>10</v>
      </c>
      <c r="J71" s="159">
        <v>0.25</v>
      </c>
      <c r="K71" s="160"/>
      <c r="L71" s="159">
        <v>0.27500000000000002</v>
      </c>
      <c r="M71" s="159">
        <v>0.27500000000000002</v>
      </c>
    </row>
    <row r="72" spans="2:13">
      <c r="B72" s="165"/>
      <c r="C72" s="166"/>
      <c r="D72" s="166"/>
      <c r="E72" s="166"/>
      <c r="F72" s="166"/>
      <c r="G72" s="166"/>
      <c r="H72" s="165"/>
      <c r="I72" s="165"/>
      <c r="J72" s="165"/>
      <c r="K72" s="166"/>
      <c r="L72" s="159"/>
      <c r="M72" s="159"/>
    </row>
    <row r="73" spans="2:13">
      <c r="B73" s="165"/>
      <c r="C73" s="166"/>
      <c r="D73" s="166"/>
      <c r="E73" s="166"/>
      <c r="F73" s="166"/>
      <c r="G73" s="166"/>
      <c r="H73" s="165"/>
      <c r="I73" s="165"/>
      <c r="J73" s="165"/>
      <c r="K73" s="166"/>
      <c r="L73" s="159"/>
      <c r="M73" s="159"/>
    </row>
    <row r="74" spans="2:13">
      <c r="B74" s="165"/>
      <c r="C74" s="166"/>
      <c r="D74" s="166"/>
      <c r="E74" s="166"/>
      <c r="F74" s="166"/>
      <c r="G74" s="166"/>
      <c r="H74" s="165"/>
      <c r="I74" s="165"/>
      <c r="J74" s="165"/>
      <c r="K74" s="166"/>
      <c r="L74" s="159"/>
      <c r="M74" s="159"/>
    </row>
    <row r="75" spans="2:13">
      <c r="B75" s="159" t="s">
        <v>174</v>
      </c>
      <c r="C75" s="160">
        <v>1</v>
      </c>
      <c r="D75" s="160">
        <v>1</v>
      </c>
      <c r="E75" s="160">
        <v>0.125</v>
      </c>
      <c r="F75" s="160">
        <v>0.05</v>
      </c>
      <c r="G75" s="160">
        <v>10</v>
      </c>
      <c r="H75" s="159">
        <v>0.25</v>
      </c>
      <c r="I75" s="159">
        <v>10</v>
      </c>
      <c r="J75" s="159">
        <v>0.25</v>
      </c>
      <c r="K75" s="160"/>
      <c r="L75" s="159">
        <v>0.27500000000000002</v>
      </c>
      <c r="M75" s="159">
        <v>0.27500000000000002</v>
      </c>
    </row>
    <row r="76" spans="2:13">
      <c r="B76" s="165"/>
      <c r="C76" s="166"/>
      <c r="D76" s="166"/>
      <c r="E76" s="166"/>
      <c r="F76" s="166"/>
      <c r="G76" s="166"/>
      <c r="H76" s="165"/>
      <c r="I76" s="165"/>
      <c r="J76" s="165"/>
      <c r="K76" s="166"/>
      <c r="L76" s="159"/>
      <c r="M76" s="159"/>
    </row>
    <row r="77" spans="2:13">
      <c r="B77" s="165"/>
      <c r="C77" s="166"/>
      <c r="D77" s="166"/>
      <c r="E77" s="166"/>
      <c r="F77" s="166"/>
      <c r="G77" s="166"/>
      <c r="H77" s="165"/>
      <c r="I77" s="165"/>
      <c r="J77" s="165"/>
      <c r="K77" s="166"/>
      <c r="L77" s="159"/>
      <c r="M77" s="159"/>
    </row>
    <row r="78" spans="2:13">
      <c r="B78" s="165"/>
      <c r="C78" s="166"/>
      <c r="D78" s="166"/>
      <c r="E78" s="166"/>
      <c r="F78" s="166"/>
      <c r="G78" s="166"/>
      <c r="H78" s="165"/>
      <c r="I78" s="165"/>
      <c r="J78" s="165"/>
      <c r="K78" s="166"/>
      <c r="L78" s="159"/>
      <c r="M78" s="159"/>
    </row>
    <row r="79" spans="2:13">
      <c r="B79" s="173" t="s">
        <v>175</v>
      </c>
      <c r="C79" s="160">
        <v>0.45</v>
      </c>
      <c r="D79" s="160">
        <v>0.45</v>
      </c>
      <c r="E79" s="160">
        <v>0.1</v>
      </c>
      <c r="F79" s="160">
        <v>0.05</v>
      </c>
      <c r="G79" s="160">
        <v>10</v>
      </c>
      <c r="H79" s="159">
        <v>0.25</v>
      </c>
      <c r="I79" s="159">
        <v>10</v>
      </c>
      <c r="J79" s="159">
        <v>0.25</v>
      </c>
      <c r="K79" s="160"/>
      <c r="L79" s="159">
        <v>0.9</v>
      </c>
      <c r="M79" s="159">
        <v>0.45</v>
      </c>
    </row>
    <row r="80" spans="2:13">
      <c r="B80" s="174"/>
      <c r="C80" s="166"/>
      <c r="D80" s="166"/>
      <c r="E80" s="166"/>
      <c r="F80" s="166"/>
      <c r="G80" s="166"/>
      <c r="H80" s="165"/>
      <c r="I80" s="165"/>
      <c r="J80" s="165"/>
      <c r="K80" s="166"/>
      <c r="L80" s="159"/>
      <c r="M80" s="159"/>
    </row>
    <row r="81" spans="2:13">
      <c r="B81" s="174"/>
      <c r="C81" s="166"/>
      <c r="D81" s="166"/>
      <c r="E81" s="166"/>
      <c r="F81" s="166"/>
      <c r="G81" s="166"/>
      <c r="H81" s="165"/>
      <c r="I81" s="165"/>
      <c r="J81" s="165"/>
      <c r="K81" s="166"/>
      <c r="L81" s="159"/>
      <c r="M81" s="159"/>
    </row>
    <row r="82" spans="2:13">
      <c r="B82" s="174"/>
      <c r="C82" s="166"/>
      <c r="D82" s="166"/>
      <c r="E82" s="166"/>
      <c r="F82" s="166"/>
      <c r="G82" s="166"/>
      <c r="H82" s="165"/>
      <c r="I82" s="165"/>
      <c r="J82" s="165"/>
      <c r="K82" s="166"/>
      <c r="L82" s="159"/>
      <c r="M82" s="159"/>
    </row>
    <row r="83" spans="2:13">
      <c r="B83" s="173" t="s">
        <v>176</v>
      </c>
      <c r="C83" s="160">
        <v>0.45</v>
      </c>
      <c r="D83" s="160">
        <v>0.6</v>
      </c>
      <c r="E83" s="160">
        <v>0.1</v>
      </c>
      <c r="F83" s="160">
        <v>0.05</v>
      </c>
      <c r="G83" s="160">
        <v>10</v>
      </c>
      <c r="H83" s="159">
        <v>0.25</v>
      </c>
      <c r="I83" s="159">
        <v>10</v>
      </c>
      <c r="J83" s="159">
        <v>0.25</v>
      </c>
      <c r="K83" s="160"/>
      <c r="L83" s="159">
        <v>0.9</v>
      </c>
      <c r="M83" s="159">
        <v>0.45</v>
      </c>
    </row>
    <row r="84" spans="2:13">
      <c r="B84" s="174"/>
      <c r="C84" s="166"/>
      <c r="D84" s="166"/>
      <c r="E84" s="166"/>
      <c r="F84" s="166"/>
      <c r="G84" s="166"/>
      <c r="H84" s="165"/>
      <c r="I84" s="165"/>
      <c r="J84" s="165"/>
      <c r="K84" s="166"/>
      <c r="L84" s="159"/>
      <c r="M84" s="159"/>
    </row>
    <row r="85" spans="2:13">
      <c r="B85" s="174"/>
      <c r="C85" s="166"/>
      <c r="D85" s="166"/>
      <c r="E85" s="166"/>
      <c r="F85" s="166"/>
      <c r="G85" s="166"/>
      <c r="H85" s="165"/>
      <c r="I85" s="165"/>
      <c r="J85" s="165"/>
      <c r="K85" s="166"/>
      <c r="L85" s="159"/>
      <c r="M85" s="159"/>
    </row>
    <row r="86" spans="2:13">
      <c r="B86" s="174"/>
      <c r="C86" s="166"/>
      <c r="D86" s="166"/>
      <c r="E86" s="166"/>
      <c r="F86" s="166"/>
      <c r="G86" s="166"/>
      <c r="H86" s="165"/>
      <c r="I86" s="165"/>
      <c r="J86" s="165"/>
      <c r="K86" s="166"/>
      <c r="L86" s="159"/>
      <c r="M86" s="159"/>
    </row>
    <row r="87" spans="2:13">
      <c r="B87" s="173" t="s">
        <v>177</v>
      </c>
      <c r="C87" s="160">
        <v>0.6</v>
      </c>
      <c r="D87" s="160">
        <v>0.6</v>
      </c>
      <c r="E87" s="160">
        <v>0.1</v>
      </c>
      <c r="F87" s="160">
        <v>0.05</v>
      </c>
      <c r="G87" s="160">
        <v>10</v>
      </c>
      <c r="H87" s="159">
        <v>0.25</v>
      </c>
      <c r="I87" s="159">
        <v>10</v>
      </c>
      <c r="J87" s="159">
        <v>0.25</v>
      </c>
      <c r="K87" s="160"/>
      <c r="L87" s="159">
        <v>0.9</v>
      </c>
      <c r="M87" s="159">
        <v>0.45</v>
      </c>
    </row>
    <row r="88" spans="2:13">
      <c r="B88" s="174"/>
      <c r="C88" s="166"/>
      <c r="D88" s="166"/>
      <c r="E88" s="166"/>
      <c r="F88" s="166"/>
      <c r="G88" s="166"/>
      <c r="H88" s="165"/>
      <c r="I88" s="165"/>
      <c r="J88" s="165"/>
      <c r="K88" s="166"/>
      <c r="L88" s="159"/>
      <c r="M88" s="159"/>
    </row>
    <row r="89" spans="2:13">
      <c r="B89" s="174"/>
      <c r="C89" s="166"/>
      <c r="D89" s="166"/>
      <c r="E89" s="166"/>
      <c r="F89" s="166"/>
      <c r="G89" s="166"/>
      <c r="H89" s="165"/>
      <c r="I89" s="165"/>
      <c r="J89" s="165"/>
      <c r="K89" s="166"/>
      <c r="L89" s="159"/>
      <c r="M89" s="159"/>
    </row>
    <row r="90" spans="2:13">
      <c r="B90" s="174"/>
      <c r="C90" s="166"/>
      <c r="D90" s="166"/>
      <c r="E90" s="166"/>
      <c r="F90" s="166"/>
      <c r="G90" s="166"/>
      <c r="H90" s="165"/>
      <c r="I90" s="165"/>
      <c r="J90" s="165"/>
      <c r="K90" s="166"/>
      <c r="L90" s="159"/>
      <c r="M90" s="159"/>
    </row>
    <row r="91" spans="2:13">
      <c r="B91" s="173" t="s">
        <v>178</v>
      </c>
      <c r="C91" s="160">
        <v>0.8</v>
      </c>
      <c r="D91" s="160">
        <v>0.8</v>
      </c>
      <c r="E91" s="160">
        <v>0.1</v>
      </c>
      <c r="F91" s="160">
        <v>0.05</v>
      </c>
      <c r="G91" s="160">
        <v>10</v>
      </c>
      <c r="H91" s="159">
        <v>0.25</v>
      </c>
      <c r="I91" s="159">
        <v>10</v>
      </c>
      <c r="J91" s="159">
        <v>0.25</v>
      </c>
      <c r="K91" s="160"/>
      <c r="L91" s="159">
        <v>0.9</v>
      </c>
      <c r="M91" s="159">
        <v>0.45</v>
      </c>
    </row>
    <row r="92" spans="2:13">
      <c r="B92" s="174"/>
      <c r="C92" s="166"/>
      <c r="D92" s="166"/>
      <c r="E92" s="166"/>
      <c r="F92" s="166"/>
      <c r="G92" s="166"/>
      <c r="H92" s="165"/>
      <c r="I92" s="165"/>
      <c r="J92" s="165"/>
      <c r="K92" s="166"/>
      <c r="L92" s="159"/>
      <c r="M92" s="159"/>
    </row>
    <row r="93" spans="2:13">
      <c r="B93" s="174"/>
      <c r="C93" s="166"/>
      <c r="D93" s="166"/>
      <c r="E93" s="166"/>
      <c r="F93" s="166"/>
      <c r="G93" s="166"/>
      <c r="H93" s="165"/>
      <c r="I93" s="165"/>
      <c r="J93" s="165"/>
      <c r="K93" s="166"/>
      <c r="L93" s="159"/>
      <c r="M93" s="159"/>
    </row>
    <row r="94" spans="2:13">
      <c r="B94" s="174"/>
      <c r="C94" s="166"/>
      <c r="D94" s="166"/>
      <c r="E94" s="166"/>
      <c r="F94" s="166"/>
      <c r="G94" s="166"/>
      <c r="H94" s="165"/>
      <c r="I94" s="165"/>
      <c r="J94" s="165"/>
      <c r="K94" s="166"/>
      <c r="L94" s="159"/>
      <c r="M94" s="159"/>
    </row>
    <row r="95" spans="2:13">
      <c r="B95" s="173" t="s">
        <v>179</v>
      </c>
      <c r="C95" s="160">
        <v>1</v>
      </c>
      <c r="D95" s="160">
        <v>0.75</v>
      </c>
      <c r="E95" s="160">
        <v>0.125</v>
      </c>
      <c r="F95" s="160">
        <v>0.05</v>
      </c>
      <c r="G95" s="160">
        <v>10</v>
      </c>
      <c r="H95" s="159">
        <v>0.25</v>
      </c>
      <c r="I95" s="159">
        <v>10</v>
      </c>
      <c r="J95" s="159">
        <v>0.25</v>
      </c>
      <c r="K95" s="160"/>
      <c r="L95" s="159">
        <v>0.9</v>
      </c>
      <c r="M95" s="159">
        <v>0.45</v>
      </c>
    </row>
    <row r="96" spans="2:13">
      <c r="B96" s="174"/>
      <c r="C96" s="166"/>
      <c r="D96" s="166"/>
      <c r="E96" s="166"/>
      <c r="F96" s="166"/>
      <c r="G96" s="166"/>
      <c r="H96" s="165"/>
      <c r="I96" s="165"/>
      <c r="J96" s="165"/>
      <c r="K96" s="166"/>
      <c r="L96" s="159"/>
      <c r="M96" s="159"/>
    </row>
    <row r="97" spans="2:21">
      <c r="B97" s="174"/>
      <c r="C97" s="166"/>
      <c r="D97" s="166"/>
      <c r="E97" s="166"/>
      <c r="F97" s="166"/>
      <c r="G97" s="166"/>
      <c r="H97" s="165"/>
      <c r="I97" s="165"/>
      <c r="J97" s="165"/>
      <c r="K97" s="166"/>
      <c r="L97" s="159"/>
      <c r="M97" s="159"/>
    </row>
    <row r="98" spans="2:21">
      <c r="B98" s="174"/>
      <c r="C98" s="166"/>
      <c r="D98" s="166"/>
      <c r="E98" s="166"/>
      <c r="F98" s="166"/>
      <c r="G98" s="166"/>
      <c r="H98" s="165"/>
      <c r="I98" s="165"/>
      <c r="J98" s="165"/>
      <c r="K98" s="166"/>
      <c r="L98" s="159"/>
      <c r="M98" s="159"/>
    </row>
    <row r="99" spans="2:21">
      <c r="B99" s="165"/>
      <c r="C99" s="166"/>
      <c r="D99" s="166"/>
      <c r="E99" s="166"/>
      <c r="F99" s="166"/>
      <c r="G99" s="166"/>
      <c r="H99" s="165"/>
      <c r="I99" s="165"/>
      <c r="J99" s="165"/>
      <c r="K99" s="166"/>
      <c r="L99" s="159"/>
      <c r="M99" s="159"/>
    </row>
    <row r="100" spans="2:21">
      <c r="B100" s="175"/>
      <c r="C100" s="175"/>
      <c r="D100" s="175"/>
      <c r="E100" s="175"/>
      <c r="F100" s="175"/>
      <c r="G100" s="175"/>
      <c r="H100" s="175"/>
      <c r="I100" s="175"/>
      <c r="J100" s="175"/>
      <c r="K100" s="176"/>
      <c r="L100" s="175"/>
      <c r="M100" s="175"/>
    </row>
    <row r="103" spans="2:21">
      <c r="K103" s="177" t="s">
        <v>180</v>
      </c>
      <c r="L103" s="768" t="s">
        <v>181</v>
      </c>
      <c r="M103" s="769"/>
      <c r="N103" s="769"/>
      <c r="O103" s="769"/>
      <c r="P103" s="769"/>
      <c r="Q103" s="769"/>
      <c r="R103" s="769"/>
      <c r="S103" s="770"/>
    </row>
    <row r="104" spans="2:21">
      <c r="B104" s="177" t="s">
        <v>182</v>
      </c>
      <c r="K104" s="178">
        <v>1</v>
      </c>
      <c r="L104" s="763" t="s">
        <v>7</v>
      </c>
      <c r="M104" s="771"/>
      <c r="N104" s="764"/>
      <c r="O104" s="763" t="s">
        <v>6</v>
      </c>
      <c r="P104" s="771"/>
      <c r="Q104" s="764"/>
      <c r="R104" s="763" t="s">
        <v>183</v>
      </c>
      <c r="S104" s="764"/>
    </row>
    <row r="105" spans="2:21">
      <c r="D105" s="179" t="s">
        <v>184</v>
      </c>
      <c r="E105" s="180" t="s">
        <v>1</v>
      </c>
      <c r="G105" s="181" t="s">
        <v>185</v>
      </c>
      <c r="H105" s="181" t="s">
        <v>186</v>
      </c>
      <c r="I105" s="181" t="s">
        <v>187</v>
      </c>
      <c r="J105" s="181" t="s">
        <v>188</v>
      </c>
      <c r="K105" s="181" t="s">
        <v>189</v>
      </c>
      <c r="L105" s="763" t="s">
        <v>190</v>
      </c>
      <c r="M105" s="764"/>
      <c r="N105" s="182" t="s">
        <v>1</v>
      </c>
      <c r="O105" s="763" t="s">
        <v>190</v>
      </c>
      <c r="P105" s="764"/>
      <c r="Q105" s="182" t="s">
        <v>1</v>
      </c>
      <c r="R105" s="182" t="s">
        <v>1</v>
      </c>
      <c r="S105" s="182" t="s">
        <v>117</v>
      </c>
    </row>
    <row r="106" spans="2:21" ht="16.5" hidden="1" customHeight="1">
      <c r="B106" s="153" t="s">
        <v>191</v>
      </c>
      <c r="C106" s="177" t="s">
        <v>192</v>
      </c>
      <c r="E106" s="183">
        <f>62.33+67.78</f>
        <v>130.11000000000001</v>
      </c>
      <c r="G106" s="184">
        <f>+E106*(C6+E6*2+1.5)</f>
        <v>260.22000000000003</v>
      </c>
      <c r="H106" s="184">
        <f>+E106*(C6+E6*2)*(D6+E6+F6)</f>
        <v>29.274750000000004</v>
      </c>
      <c r="I106" s="185">
        <f>+(C6+E6*2)*E106*F6</f>
        <v>3.2527500000000007</v>
      </c>
      <c r="J106" s="185">
        <f>+E106*((C6+E6*2)*E6+(D6*E6*2))</f>
        <v>14.312100000000001</v>
      </c>
      <c r="K106" s="185">
        <f>+(D6+$K$104*(D6+E6))*E106*2</f>
        <v>182.154</v>
      </c>
      <c r="L106" s="186">
        <f>+(E106)/H6+ IF(E106&gt;0,1,0)</f>
        <v>651.55000000000007</v>
      </c>
      <c r="M106" s="187">
        <f>+ROUNDUP(L106,0)</f>
        <v>652</v>
      </c>
      <c r="N106" s="188">
        <f>+(D6+E6-0.08)*2+(C6+E6*2-0.08)</f>
        <v>1.06</v>
      </c>
      <c r="O106" s="186">
        <f>+N106/J6+1</f>
        <v>5.24</v>
      </c>
      <c r="P106" s="187">
        <f>+ROUNDUP(O106,0)</f>
        <v>6</v>
      </c>
      <c r="Q106" s="187">
        <f>+E106+E106/6*50*(G6/1000)</f>
        <v>140.95250000000001</v>
      </c>
      <c r="R106" s="189">
        <f>+N106*M106+P106*Q106</f>
        <v>1536.835</v>
      </c>
      <c r="S106" s="185">
        <f>((I6*I6)/162)*R106</f>
        <v>948.66358024691351</v>
      </c>
      <c r="T106" s="153" t="s">
        <v>193</v>
      </c>
    </row>
    <row r="107" spans="2:21" ht="3" hidden="1" customHeight="1">
      <c r="C107" s="153" t="s">
        <v>138</v>
      </c>
      <c r="D107" s="190">
        <f>ROUNDUP(+E106/K6,0)</f>
        <v>44</v>
      </c>
      <c r="E107" s="183"/>
      <c r="G107" s="191"/>
      <c r="H107" s="191"/>
      <c r="I107" s="190"/>
      <c r="J107" s="190">
        <f>0.5*(0.075+0.05)*0.075*C6*D107</f>
        <v>6.1874999999999999E-2</v>
      </c>
      <c r="K107" s="190">
        <f>+(0.075+0.08)*C6*D107</f>
        <v>2.0459999999999998</v>
      </c>
      <c r="L107" s="192">
        <f>+D107</f>
        <v>44</v>
      </c>
      <c r="M107" s="187">
        <f>+ROUNDUP(L107,0)</f>
        <v>44</v>
      </c>
      <c r="N107" s="193">
        <f>+(C6-0.08)+((0.075+0.05-0.04)*2)</f>
        <v>0.38999999999999996</v>
      </c>
      <c r="O107" s="192"/>
      <c r="P107" s="194"/>
      <c r="Q107" s="194"/>
      <c r="R107" s="189">
        <f>+N107*M107+P107*Q107</f>
        <v>17.159999999999997</v>
      </c>
      <c r="S107" s="185">
        <f>((I6*I6)/162)*R107</f>
        <v>10.59259259259259</v>
      </c>
      <c r="T107" s="153" t="s">
        <v>193</v>
      </c>
      <c r="U107" s="190">
        <f>S106+S107</f>
        <v>959.25617283950612</v>
      </c>
    </row>
    <row r="108" spans="2:21">
      <c r="E108" s="183"/>
    </row>
    <row r="109" spans="2:21">
      <c r="B109" s="306" t="s">
        <v>191</v>
      </c>
      <c r="C109" s="307" t="s">
        <v>194</v>
      </c>
      <c r="E109" s="291">
        <v>74</v>
      </c>
      <c r="G109" s="292">
        <f>+E109*(C9+E9*2+3)</f>
        <v>270.09999999999997</v>
      </c>
      <c r="H109" s="292">
        <f>+E109*(C9+E9*2)*(D9+E9+F9)</f>
        <v>28.860000000000007</v>
      </c>
      <c r="I109" s="185">
        <f>+(C9+E9*2)*E109*F9</f>
        <v>2.4050000000000002</v>
      </c>
      <c r="J109" s="185">
        <f>+E109*((C9+E9*2)*E9+(D9*E9*2))</f>
        <v>11.470000000000002</v>
      </c>
      <c r="K109" s="185">
        <f>+(D9+$K$104*(D9+E9))*E109*2</f>
        <v>148</v>
      </c>
      <c r="L109" s="293">
        <f>+(E109)/H9+ IF(E109&gt;0,1,0)</f>
        <v>371</v>
      </c>
      <c r="M109" s="187">
        <f>+ROUNDUP(L109,0)</f>
        <v>371</v>
      </c>
      <c r="N109" s="188">
        <f>+(D9+E9-0.08)*2+(C9+E9*2-0.08)</f>
        <v>1.5100000000000002</v>
      </c>
      <c r="O109" s="293">
        <f>+N109/J9+1</f>
        <v>7.0400000000000009</v>
      </c>
      <c r="P109" s="187">
        <f>+ROUNDUP(O109,0)</f>
        <v>8</v>
      </c>
      <c r="Q109" s="187">
        <f>+E109+E109/6*50*(G9/1000)</f>
        <v>80.166666666666671</v>
      </c>
      <c r="R109" s="294">
        <f>+N109*M109+P109*Q109</f>
        <v>1201.5433333333335</v>
      </c>
      <c r="S109" s="185">
        <f>((I9*I9)/162)*R109</f>
        <v>741.6934156378602</v>
      </c>
      <c r="T109" s="153" t="s">
        <v>193</v>
      </c>
    </row>
    <row r="110" spans="2:21">
      <c r="C110" s="153" t="s">
        <v>138</v>
      </c>
      <c r="D110" s="190">
        <f>ROUNDUP(+E109/K9,0)</f>
        <v>25</v>
      </c>
      <c r="E110" s="291"/>
      <c r="G110" s="295"/>
      <c r="H110" s="295"/>
      <c r="I110" s="190"/>
      <c r="J110" s="190">
        <f>0.5*(0.075+0.05)*0.075*C9*D110</f>
        <v>5.2734375E-2</v>
      </c>
      <c r="K110" s="190">
        <f>+(0.075+0.08)*C9*D110</f>
        <v>1.7437500000000001</v>
      </c>
      <c r="L110" s="296">
        <f>+D110</f>
        <v>25</v>
      </c>
      <c r="M110" s="187">
        <f>+ROUNDUP(L110,0)</f>
        <v>25</v>
      </c>
      <c r="N110" s="193">
        <f>+(C9-0.08)+((0.075+0.05-0.04)*2)</f>
        <v>0.54</v>
      </c>
      <c r="O110" s="296"/>
      <c r="P110" s="194"/>
      <c r="Q110" s="194"/>
      <c r="R110" s="294">
        <f>+N110*M110+P110*Q110</f>
        <v>13.5</v>
      </c>
      <c r="S110" s="185">
        <f>((I9*I9)/162)*R110</f>
        <v>8.3333333333333321</v>
      </c>
      <c r="T110" s="153" t="s">
        <v>193</v>
      </c>
      <c r="U110" s="190">
        <f>S109+S110</f>
        <v>750.02674897119357</v>
      </c>
    </row>
    <row r="111" spans="2:21">
      <c r="E111" s="291"/>
    </row>
    <row r="112" spans="2:21">
      <c r="B112" s="306" t="s">
        <v>191</v>
      </c>
      <c r="C112" s="307" t="s">
        <v>195</v>
      </c>
      <c r="E112" s="291">
        <v>78.150000000000006</v>
      </c>
      <c r="G112" s="292"/>
      <c r="H112" s="292">
        <f>+E112*(C12+E12*2)*(D12+E12+F12)</f>
        <v>46.890000000000008</v>
      </c>
      <c r="I112" s="185">
        <f>+(C12+E12*2)*E112*F12</f>
        <v>3.1260000000000008</v>
      </c>
      <c r="J112" s="185">
        <f>+E112*((C12+E12*2)*E12+(D12*E12*2))</f>
        <v>15.630000000000003</v>
      </c>
      <c r="K112" s="185">
        <f>+(D12+$K$104*(D12+E12))*E112*2</f>
        <v>203.19</v>
      </c>
      <c r="L112" s="293">
        <f>+(E112)/H12+ IF(E112&gt;0,1,0)</f>
        <v>391.75</v>
      </c>
      <c r="M112" s="187">
        <f>+ROUNDUP(L112,0)</f>
        <v>392</v>
      </c>
      <c r="N112" s="188">
        <f>+(D12+E12-0.08)*2+(C12+E12*2-0.08)</f>
        <v>1.96</v>
      </c>
      <c r="O112" s="293">
        <f>+N112/J12+1</f>
        <v>8.84</v>
      </c>
      <c r="P112" s="187">
        <f>+ROUNDUP(O112,0)</f>
        <v>9</v>
      </c>
      <c r="Q112" s="187">
        <f>+E112+E112/6*50*(G12/1000)</f>
        <v>84.662500000000009</v>
      </c>
      <c r="R112" s="294">
        <f>+N112*M112+P112*Q112</f>
        <v>1530.2825</v>
      </c>
      <c r="S112" s="185">
        <f>((I12*I12)/162)*R112</f>
        <v>944.61882716049377</v>
      </c>
      <c r="T112" s="153" t="s">
        <v>193</v>
      </c>
    </row>
    <row r="113" spans="2:21">
      <c r="C113" s="153" t="s">
        <v>138</v>
      </c>
      <c r="D113" s="190">
        <f>ROUNDUP(+E112/K12,0)</f>
        <v>27</v>
      </c>
      <c r="E113" s="291"/>
      <c r="G113" s="295"/>
      <c r="H113" s="295"/>
      <c r="I113" s="190"/>
      <c r="J113" s="190">
        <f>0.5*(0.075+0.05)*0.075*C12*D113</f>
        <v>7.5937499999999991E-2</v>
      </c>
      <c r="K113" s="190">
        <f>+(0.075+0.08)*C12*D113</f>
        <v>2.5110000000000001</v>
      </c>
      <c r="L113" s="296">
        <f>+D113</f>
        <v>27</v>
      </c>
      <c r="M113" s="187">
        <f>+ROUNDUP(L113,0)</f>
        <v>27</v>
      </c>
      <c r="N113" s="193">
        <f>+(C12-0.08)+((0.075+0.05-0.04)*2)</f>
        <v>0.69</v>
      </c>
      <c r="O113" s="296"/>
      <c r="P113" s="194"/>
      <c r="Q113" s="194"/>
      <c r="R113" s="294">
        <f>+N113*M113+P113*Q113</f>
        <v>18.63</v>
      </c>
      <c r="S113" s="185">
        <f>((I12*I12)/162)*R113</f>
        <v>11.499999999999998</v>
      </c>
      <c r="T113" s="153" t="s">
        <v>193</v>
      </c>
      <c r="U113" s="190">
        <f>S112+S113</f>
        <v>956.11882716049377</v>
      </c>
    </row>
    <row r="114" spans="2:21">
      <c r="E114" s="291"/>
    </row>
    <row r="115" spans="2:21" hidden="1">
      <c r="B115" s="153" t="s">
        <v>191</v>
      </c>
      <c r="C115" s="177" t="s">
        <v>196</v>
      </c>
      <c r="E115" s="291">
        <f>38.37+14.75+46.92</f>
        <v>100.03999999999999</v>
      </c>
      <c r="G115" s="292">
        <f>+E115*(C15+E15*2+1.5)</f>
        <v>250.09999999999997</v>
      </c>
      <c r="H115" s="292">
        <f>+E115*(C15+E15*2)*(D15+E15+F15)</f>
        <v>92.536999999999992</v>
      </c>
      <c r="I115" s="185">
        <f>+(C15+E15*2)*E115*F15</f>
        <v>5.0019999999999998</v>
      </c>
      <c r="J115" s="185">
        <f>+E115*((C15+E15*2)*E15+(D15*E15*2))</f>
        <v>31.262499999999996</v>
      </c>
      <c r="K115" s="185">
        <f>+(D15+$K$104*(D15+E15))*E115*2</f>
        <v>325.13</v>
      </c>
      <c r="L115" s="293">
        <f>+(E115)/H15+ IF(E115&gt;0,1,0)</f>
        <v>501.19999999999993</v>
      </c>
      <c r="M115" s="187">
        <f>+ROUNDUP(L115,0)</f>
        <v>502</v>
      </c>
      <c r="N115" s="188">
        <f>+(D15+E15-0.08)*2+(C15+E15*2-0.08)</f>
        <v>2.5100000000000002</v>
      </c>
      <c r="O115" s="293">
        <f>+N115/J15+1</f>
        <v>11.040000000000001</v>
      </c>
      <c r="P115" s="187">
        <f>+ROUNDUP(O115,0)</f>
        <v>12</v>
      </c>
      <c r="Q115" s="187">
        <f>+E115+E115/6*50*(G15/1000)</f>
        <v>108.37666666666667</v>
      </c>
      <c r="R115" s="294">
        <f>+N115*M115+P115*Q115</f>
        <v>2560.54</v>
      </c>
      <c r="S115" s="185">
        <f>((I15*I15)/162)*R115</f>
        <v>1580.5802469135801</v>
      </c>
      <c r="T115" s="153" t="s">
        <v>193</v>
      </c>
    </row>
    <row r="116" spans="2:21" hidden="1">
      <c r="C116" s="153" t="s">
        <v>138</v>
      </c>
      <c r="D116" s="190">
        <f>ROUNDUP(+E115/K15,0)</f>
        <v>34</v>
      </c>
      <c r="E116" s="291"/>
      <c r="G116" s="295"/>
      <c r="H116" s="295"/>
      <c r="I116" s="190"/>
      <c r="J116" s="190">
        <f>0.5*(0.075+0.05)*0.075*C15*D116</f>
        <v>0.11953124999999999</v>
      </c>
      <c r="K116" s="190">
        <f>+(0.075+0.08)*C15*D116</f>
        <v>3.9524999999999997</v>
      </c>
      <c r="L116" s="296">
        <f>+D116</f>
        <v>34</v>
      </c>
      <c r="M116" s="187">
        <f>+ROUNDUP(L116,0)</f>
        <v>34</v>
      </c>
      <c r="N116" s="193">
        <f>+(C15-0.08)+((0.075+0.05-0.04)*2)</f>
        <v>0.84000000000000008</v>
      </c>
      <c r="O116" s="296"/>
      <c r="P116" s="194"/>
      <c r="Q116" s="194"/>
      <c r="R116" s="294">
        <f>+N116*M116+P116*Q116</f>
        <v>28.560000000000002</v>
      </c>
      <c r="S116" s="185">
        <f>((I15*I15)/162)*R116</f>
        <v>17.62962962962963</v>
      </c>
      <c r="T116" s="153" t="s">
        <v>193</v>
      </c>
      <c r="U116" s="190">
        <f>S115+S116</f>
        <v>1598.2098765432097</v>
      </c>
    </row>
    <row r="117" spans="2:21" hidden="1">
      <c r="B117" s="153" t="s">
        <v>191</v>
      </c>
      <c r="C117" s="177" t="s">
        <v>197</v>
      </c>
      <c r="E117" s="291">
        <v>73.95</v>
      </c>
      <c r="G117" s="292">
        <f>+E117*(C15+E15*2+1.5)</f>
        <v>184.875</v>
      </c>
      <c r="H117" s="292">
        <f>+E117*(C15+E15*2)*(D15+E15+F15)</f>
        <v>68.403750000000002</v>
      </c>
      <c r="I117" s="185">
        <f>+(C15+E15*2)*E117*F15</f>
        <v>3.6975000000000002</v>
      </c>
      <c r="J117" s="185">
        <f>+E117*((C15+E15*2)*E15+(D15*E15*2))</f>
        <v>23.109375</v>
      </c>
      <c r="K117" s="185">
        <f>+(D15+$K$104*(D15+E15))*E117*2</f>
        <v>240.33750000000001</v>
      </c>
      <c r="L117" s="293">
        <f>+(E117)/H15+ IF(E117&gt;0,1,0)</f>
        <v>370.75</v>
      </c>
      <c r="M117" s="187">
        <f>+ROUNDUP(L117,0)</f>
        <v>371</v>
      </c>
      <c r="N117" s="188">
        <f>+(D15+E15-0.08)*2+(C15+E15*2-0.08)</f>
        <v>2.5100000000000002</v>
      </c>
      <c r="O117" s="293">
        <f>+N117/J15+1</f>
        <v>11.040000000000001</v>
      </c>
      <c r="P117" s="187">
        <f>+ROUNDUP(O117,0)</f>
        <v>12</v>
      </c>
      <c r="Q117" s="187">
        <f>+E117+E117/6*50*(G15/1000)</f>
        <v>80.112499999999997</v>
      </c>
      <c r="R117" s="294">
        <f>+N117*M117+P117*Q117</f>
        <v>1892.56</v>
      </c>
      <c r="S117" s="185">
        <f>((I15*I15)/162)*R117</f>
        <v>1168.2469135802469</v>
      </c>
      <c r="T117" s="153" t="s">
        <v>193</v>
      </c>
    </row>
    <row r="118" spans="2:21" hidden="1">
      <c r="C118" s="153" t="s">
        <v>138</v>
      </c>
      <c r="D118" s="190">
        <f>ROUNDUP(+E117/K15,0)</f>
        <v>25</v>
      </c>
      <c r="E118" s="291"/>
      <c r="G118" s="295"/>
      <c r="H118" s="295"/>
      <c r="I118" s="190"/>
      <c r="J118" s="190">
        <f>0.5*(0.075+0.05)*0.075*C15*D118</f>
        <v>8.7890624999999986E-2</v>
      </c>
      <c r="K118" s="190">
        <f>+(0.075+0.08)*C15*D118</f>
        <v>2.90625</v>
      </c>
      <c r="L118" s="296">
        <f>+D118</f>
        <v>25</v>
      </c>
      <c r="M118" s="187">
        <f>+ROUNDUP(L118,0)</f>
        <v>25</v>
      </c>
      <c r="N118" s="193">
        <f>+(C15-0.08)+((0.075+0.05-0.04)*2)</f>
        <v>0.84000000000000008</v>
      </c>
      <c r="O118" s="296"/>
      <c r="P118" s="194"/>
      <c r="Q118" s="194"/>
      <c r="R118" s="294">
        <f>+N118*M118+P118*Q118</f>
        <v>21.000000000000004</v>
      </c>
      <c r="S118" s="185">
        <f>((I15*I15)/162)*R118</f>
        <v>12.962962962962964</v>
      </c>
      <c r="T118" s="153" t="s">
        <v>193</v>
      </c>
    </row>
    <row r="119" spans="2:21" hidden="1">
      <c r="B119" s="201" t="s">
        <v>198</v>
      </c>
      <c r="D119" s="190"/>
      <c r="E119" s="291"/>
      <c r="G119" s="295"/>
      <c r="H119" s="295"/>
      <c r="I119" s="190"/>
      <c r="J119" s="190"/>
      <c r="K119" s="190"/>
      <c r="L119" s="296"/>
      <c r="M119" s="194"/>
      <c r="N119" s="193"/>
      <c r="O119" s="296"/>
      <c r="P119" s="194"/>
      <c r="Q119" s="194"/>
      <c r="R119" s="297"/>
      <c r="S119" s="190"/>
    </row>
    <row r="120" spans="2:21" hidden="1">
      <c r="C120" s="201" t="s">
        <v>199</v>
      </c>
      <c r="D120" s="190"/>
      <c r="E120" s="291">
        <f>E117*1.1</f>
        <v>81.345000000000013</v>
      </c>
      <c r="G120" s="295"/>
      <c r="H120" s="295"/>
      <c r="I120" s="190"/>
      <c r="J120" s="190"/>
      <c r="K120" s="190"/>
      <c r="L120" s="296"/>
      <c r="M120" s="194"/>
      <c r="N120" s="193"/>
      <c r="O120" s="296"/>
      <c r="P120" s="194"/>
      <c r="Q120" s="194"/>
      <c r="R120" s="297"/>
      <c r="S120" s="190"/>
    </row>
    <row r="121" spans="2:21" hidden="1">
      <c r="C121" s="201" t="s">
        <v>200</v>
      </c>
      <c r="D121" s="190"/>
      <c r="E121" s="291">
        <f>((E117*0.6*0.6)*1.1)-(3.142*0.55*0.055*E117)</f>
        <v>22.255585274999998</v>
      </c>
      <c r="G121" s="295"/>
      <c r="H121" s="295"/>
      <c r="I121" s="190"/>
      <c r="J121" s="190"/>
      <c r="K121" s="190"/>
      <c r="L121" s="296"/>
      <c r="M121" s="194"/>
      <c r="N121" s="193"/>
      <c r="O121" s="296"/>
      <c r="P121" s="194"/>
      <c r="Q121" s="194"/>
      <c r="R121" s="297"/>
      <c r="S121" s="190"/>
    </row>
    <row r="122" spans="2:21" hidden="1"/>
    <row r="123" spans="2:21" hidden="1">
      <c r="B123" s="153" t="s">
        <v>191</v>
      </c>
      <c r="C123" s="177" t="s">
        <v>201</v>
      </c>
      <c r="E123" s="291">
        <f>205*1.1</f>
        <v>225.50000000000003</v>
      </c>
      <c r="G123" s="292">
        <f>+E123*(C18+E18*2+1.5)</f>
        <v>608.85000000000014</v>
      </c>
      <c r="H123" s="292">
        <f>+E123*(C18+E18*2)*(D18+E18+F18)</f>
        <v>297.66000000000003</v>
      </c>
      <c r="I123" s="185">
        <f>+(C18+E18*2)*E123*F18</f>
        <v>13.530000000000001</v>
      </c>
      <c r="J123" s="185">
        <f>+E123*((C18+E18*2)*E18+(D18*E18*2))</f>
        <v>101.47500000000001</v>
      </c>
      <c r="K123" s="185">
        <f>+(D18+$K$104*(D18+E18))*E123*2</f>
        <v>879.45000000000016</v>
      </c>
      <c r="L123" s="293">
        <f>+(E123)/H18+ IF(E123&gt;0,1,0)</f>
        <v>1289.5714285714289</v>
      </c>
      <c r="M123" s="187">
        <f>+ROUNDUP(L123,0)</f>
        <v>1290</v>
      </c>
      <c r="N123" s="188">
        <f>+(D18+E18-0.08)*2+(C18+E18*2-0.08)</f>
        <v>3.06</v>
      </c>
      <c r="O123" s="293">
        <f>+N123/J18+1</f>
        <v>13.24</v>
      </c>
      <c r="P123" s="187">
        <f>+ROUNDUP(O123,0)</f>
        <v>14</v>
      </c>
      <c r="Q123" s="187">
        <f>+E123+E123/6*50*(G18/1000)</f>
        <v>244.29166666666669</v>
      </c>
      <c r="R123" s="294">
        <f>+N123*M123+P123*Q123</f>
        <v>7367.4833333333336</v>
      </c>
      <c r="S123" s="185">
        <f>((I18*I18)/162)*R123</f>
        <v>4547.8292181069955</v>
      </c>
      <c r="T123" s="153" t="s">
        <v>193</v>
      </c>
    </row>
    <row r="124" spans="2:21" hidden="1">
      <c r="C124" s="153" t="s">
        <v>138</v>
      </c>
      <c r="D124" s="190">
        <f>ROUNDUP(+E123/K18,0)</f>
        <v>76</v>
      </c>
      <c r="E124" s="291"/>
      <c r="G124" s="295"/>
      <c r="H124" s="295"/>
      <c r="I124" s="190"/>
      <c r="J124" s="190">
        <f>0.5*(0.075+0.05)*0.075*C18*D124</f>
        <v>0.32062500000000005</v>
      </c>
      <c r="K124" s="190">
        <f>+(0.075+0.08)*C18*D124</f>
        <v>10.602</v>
      </c>
      <c r="L124" s="296">
        <f>+D124</f>
        <v>76</v>
      </c>
      <c r="M124" s="187">
        <f>+ROUNDUP(L124,0)</f>
        <v>76</v>
      </c>
      <c r="N124" s="193">
        <f>+(C18-0.08)+((0.075+0.05-0.04)*2)</f>
        <v>0.99</v>
      </c>
      <c r="O124" s="296"/>
      <c r="P124" s="194"/>
      <c r="Q124" s="194"/>
      <c r="R124" s="294">
        <f>+N124*M124+P124*Q124</f>
        <v>75.239999999999995</v>
      </c>
      <c r="S124" s="185">
        <f>((I18*I18)/162)*R124</f>
        <v>46.444444444444436</v>
      </c>
      <c r="T124" s="153" t="s">
        <v>193</v>
      </c>
    </row>
    <row r="125" spans="2:21" hidden="1"/>
    <row r="126" spans="2:21" hidden="1">
      <c r="B126" s="153" t="s">
        <v>191</v>
      </c>
      <c r="C126" s="177" t="s">
        <v>202</v>
      </c>
      <c r="E126" s="291">
        <f>32.19+61.79</f>
        <v>93.97999999999999</v>
      </c>
      <c r="G126" s="292">
        <f>+E126*(C21+E21*2+3)</f>
        <v>404.11399999999992</v>
      </c>
      <c r="H126" s="292">
        <f>+E126*(C21+E21*2)*(D21+E21+F21)</f>
        <v>146.60879999999997</v>
      </c>
      <c r="I126" s="185">
        <f>+(C21+E21*2)*E126*F21</f>
        <v>6.1086999999999998</v>
      </c>
      <c r="J126" s="185">
        <f>+E126*((C21+E21*2)*E21+(D21*E21*2))</f>
        <v>46.520099999999992</v>
      </c>
      <c r="K126" s="185">
        <f>+(D21+$K$104*(D21+E21))*E126*2</f>
        <v>404.11399999999992</v>
      </c>
      <c r="L126" s="293">
        <f>+(E126)/H21+ IF(E126&gt;0,1,0)</f>
        <v>538.02857142857135</v>
      </c>
      <c r="M126" s="187">
        <f>+ROUNDUP(L126,0)</f>
        <v>539</v>
      </c>
      <c r="N126" s="188">
        <f>+(D21+E21-0.08)*2+(C21+E21*2-0.08)</f>
        <v>3.3599999999999994</v>
      </c>
      <c r="O126" s="293">
        <f>+N126/J21+1</f>
        <v>14.439999999999998</v>
      </c>
      <c r="P126" s="187">
        <f>+ROUNDUP(O126,0)</f>
        <v>15</v>
      </c>
      <c r="Q126" s="187">
        <f>+E126+E126/6*50*(G21/1000)</f>
        <v>101.81166666666665</v>
      </c>
      <c r="R126" s="294">
        <f>+N126*M126+P126*Q126</f>
        <v>3338.2149999999992</v>
      </c>
      <c r="S126" s="185">
        <f>((I21*I21)/162)*R126</f>
        <v>2060.6265432098758</v>
      </c>
      <c r="T126" s="153" t="s">
        <v>193</v>
      </c>
    </row>
    <row r="127" spans="2:21" hidden="1">
      <c r="C127" s="153" t="s">
        <v>138</v>
      </c>
      <c r="D127" s="190">
        <f>ROUNDUP(+E126/K21,0)</f>
        <v>32</v>
      </c>
      <c r="E127" s="291"/>
      <c r="G127" s="295"/>
      <c r="H127" s="295"/>
      <c r="I127" s="190"/>
      <c r="J127" s="190">
        <f>0.5*(0.075+0.05)*0.075*C21*D127</f>
        <v>0.15</v>
      </c>
      <c r="K127" s="190">
        <f>+(0.075+0.08)*C21*D127</f>
        <v>4.96</v>
      </c>
      <c r="L127" s="296">
        <f>+D127</f>
        <v>32</v>
      </c>
      <c r="M127" s="187">
        <f>+ROUNDUP(L127,0)</f>
        <v>32</v>
      </c>
      <c r="N127" s="193">
        <f>+(C21-0.08)+((0.075+0.05-0.04)*2)</f>
        <v>1.0900000000000001</v>
      </c>
      <c r="O127" s="296"/>
      <c r="P127" s="194"/>
      <c r="Q127" s="194"/>
      <c r="R127" s="294">
        <f>+N127*M127+P127*Q127</f>
        <v>34.880000000000003</v>
      </c>
      <c r="S127" s="185">
        <f>((I21*I21)/162)*R127</f>
        <v>21.530864197530864</v>
      </c>
      <c r="T127" s="153" t="s">
        <v>193</v>
      </c>
    </row>
    <row r="128" spans="2:21" hidden="1"/>
    <row r="129" spans="2:21" hidden="1">
      <c r="B129" s="153" t="s">
        <v>191</v>
      </c>
      <c r="C129" s="177" t="s">
        <v>203</v>
      </c>
      <c r="E129" s="291">
        <f>205*1.1</f>
        <v>225.50000000000003</v>
      </c>
      <c r="G129" s="292">
        <f>+E129*(C24+E24*2+1.5)</f>
        <v>451.00000000000006</v>
      </c>
      <c r="H129" s="292">
        <f>+E129*(C24+E24*2)*(((D24+E24+F24)*2+0.1)/2)</f>
        <v>56.375000000000007</v>
      </c>
      <c r="I129" s="185">
        <f>+(C24+E24*2)*E129*F24</f>
        <v>5.6375000000000011</v>
      </c>
      <c r="J129" s="185">
        <f>+E129*((C24+E24*2)*E24+(D24*E24)+((D24+0.1)*E24))</f>
        <v>27.060000000000006</v>
      </c>
      <c r="K129" s="185">
        <f>+((D24*2)+$K$104*((D24+E24)+(D24+E24+0.1)))*E129</f>
        <v>338.25000000000006</v>
      </c>
      <c r="L129" s="293">
        <f>+(E129)/H24+ IF(E129&gt;0,1,0)</f>
        <v>1128.5</v>
      </c>
      <c r="M129" s="187">
        <f>+ROUNDUP(L129,0)</f>
        <v>1129</v>
      </c>
      <c r="N129" s="188">
        <f>+(D24+E24-0.08)+(D24+E24+0.1-0.08)+(C24+E24*2-0.08)</f>
        <v>1.1599999999999999</v>
      </c>
      <c r="O129" s="293">
        <f>+N129/J24+1</f>
        <v>5.64</v>
      </c>
      <c r="P129" s="187">
        <f>+ROUNDUP(O129,0)</f>
        <v>6</v>
      </c>
      <c r="Q129" s="187">
        <f>+E129+E129/6*50*(G24/1000)</f>
        <v>244.29166666666669</v>
      </c>
      <c r="R129" s="294">
        <f>+N129*M129+P129*Q129</f>
        <v>2775.39</v>
      </c>
      <c r="S129" s="185">
        <f>((I24*I24)/162)*R129</f>
        <v>1713.2037037037035</v>
      </c>
      <c r="T129" s="153" t="s">
        <v>193</v>
      </c>
    </row>
    <row r="130" spans="2:21" hidden="1">
      <c r="C130" s="153" t="s">
        <v>138</v>
      </c>
      <c r="D130" s="190">
        <f>ROUNDUP(+E129/K24,0)</f>
        <v>76</v>
      </c>
      <c r="E130" s="291"/>
      <c r="G130" s="295"/>
      <c r="H130" s="295"/>
      <c r="I130" s="190"/>
      <c r="J130" s="190">
        <f>0.5*(0.075+0.05)*0.075*C24*D130</f>
        <v>0.106875</v>
      </c>
      <c r="K130" s="190">
        <f>+(0.075+0.08)*C24*D130</f>
        <v>3.5339999999999998</v>
      </c>
      <c r="L130" s="296">
        <f>+D130</f>
        <v>76</v>
      </c>
      <c r="M130" s="187">
        <f>+ROUNDUP(L130,0)</f>
        <v>76</v>
      </c>
      <c r="N130" s="193">
        <f>+(C24-0.08)+((0.075+0.05-0.04)*2)</f>
        <v>0.38999999999999996</v>
      </c>
      <c r="O130" s="296"/>
      <c r="P130" s="194"/>
      <c r="Q130" s="194"/>
      <c r="R130" s="294">
        <f>+N130*M130+P130*Q130</f>
        <v>29.639999999999997</v>
      </c>
      <c r="S130" s="185">
        <f>((I24*I24)/162)*R130</f>
        <v>18.296296296296294</v>
      </c>
      <c r="T130" s="153" t="s">
        <v>193</v>
      </c>
    </row>
    <row r="131" spans="2:21" hidden="1"/>
    <row r="132" spans="2:21" hidden="1">
      <c r="B132" s="153" t="s">
        <v>191</v>
      </c>
      <c r="C132" s="177" t="s">
        <v>204</v>
      </c>
      <c r="E132" s="291">
        <f>41.61*1.1</f>
        <v>45.771000000000001</v>
      </c>
      <c r="G132" s="292">
        <f>+E132*(C27+E27*2+1.5)</f>
        <v>105.27329999999999</v>
      </c>
      <c r="H132" s="292">
        <f>+E132*(C27+E27*2)*(((D27+E27+F27)*2+0.1)/2)</f>
        <v>29.293440000000004</v>
      </c>
      <c r="I132" s="185">
        <f>+(C27+E27*2)*E132*F27</f>
        <v>1.8308400000000002</v>
      </c>
      <c r="J132" s="185">
        <f>+E132*((C27+E27*2)*E27+(D27*E27)+((D27+0.1)*E27))</f>
        <v>9.6119100000000017</v>
      </c>
      <c r="K132" s="185">
        <f>+((D27*2)+$K$104*((D27+E27)+(D27+E27+0.1)))*E132</f>
        <v>123.58170000000001</v>
      </c>
      <c r="L132" s="293">
        <f>+(E132)/H27+ IF(E132&gt;0,1,0)</f>
        <v>229.85499999999999</v>
      </c>
      <c r="M132" s="187">
        <f>+ROUNDUP(L132,0)</f>
        <v>230</v>
      </c>
      <c r="N132" s="188">
        <f>+(D27+E27-0.08)+(D27+E27+0.1-0.08)+(C27+E27*2-0.08)</f>
        <v>2.06</v>
      </c>
      <c r="O132" s="293">
        <f>+N132/J27+1</f>
        <v>9.24</v>
      </c>
      <c r="P132" s="187">
        <f>+ROUNDUP(O132,0)</f>
        <v>10</v>
      </c>
      <c r="Q132" s="187">
        <f>+E132+E132/6*50*(G27/1000)</f>
        <v>49.585250000000002</v>
      </c>
      <c r="R132" s="294">
        <f>+N132*M132+P132*Q132</f>
        <v>969.65250000000003</v>
      </c>
      <c r="S132" s="185">
        <f>((I27*I27)/162)*R132</f>
        <v>598.55092592592587</v>
      </c>
      <c r="T132" s="153" t="s">
        <v>193</v>
      </c>
    </row>
    <row r="133" spans="2:21" hidden="1">
      <c r="C133" s="153" t="s">
        <v>138</v>
      </c>
      <c r="D133" s="190">
        <f>ROUNDUP(+E132/K27,0)</f>
        <v>16</v>
      </c>
      <c r="E133" s="291"/>
      <c r="G133" s="295"/>
      <c r="H133" s="295"/>
      <c r="I133" s="190"/>
      <c r="J133" s="190">
        <f>0.5*(0.075+0.05)*0.075*C27*D133</f>
        <v>4.4999999999999998E-2</v>
      </c>
      <c r="K133" s="190">
        <f>+(0.075+0.08)*C27*D133</f>
        <v>1.488</v>
      </c>
      <c r="L133" s="296">
        <f>+D133</f>
        <v>16</v>
      </c>
      <c r="M133" s="187">
        <f>+ROUNDUP(L133,0)</f>
        <v>16</v>
      </c>
      <c r="N133" s="193">
        <f>+(C27-0.08)+((0.075+0.05-0.04)*2)</f>
        <v>0.69</v>
      </c>
      <c r="O133" s="296"/>
      <c r="P133" s="194"/>
      <c r="Q133" s="194"/>
      <c r="R133" s="294">
        <f>+N133*M133+P133*Q133</f>
        <v>11.04</v>
      </c>
      <c r="S133" s="185">
        <f>((I27*I27)/162)*R133</f>
        <v>6.814814814814814</v>
      </c>
      <c r="T133" s="153" t="s">
        <v>193</v>
      </c>
    </row>
    <row r="134" spans="2:21" hidden="1"/>
    <row r="135" spans="2:21">
      <c r="B135" s="306" t="s">
        <v>191</v>
      </c>
      <c r="C135" s="307" t="s">
        <v>205</v>
      </c>
      <c r="E135" s="291">
        <v>71.45</v>
      </c>
      <c r="G135" s="292"/>
      <c r="H135" s="292">
        <f>+E135*(C30+E30*2)*(((D30+E30+F30)*2+0.1)/2)</f>
        <v>17.862500000000001</v>
      </c>
      <c r="I135" s="185">
        <f>+(C30+E30*2)*E135*F30</f>
        <v>1.7862500000000001</v>
      </c>
      <c r="J135" s="185">
        <f>+E135*((C30+E30*2)*E30+(D30*E30)+((D30+0.1)*E30))</f>
        <v>8.5740000000000016</v>
      </c>
      <c r="K135" s="185">
        <f>+((D30*2)+$K$104*((D30+E30)+(D30+E30+0.1)))*E135</f>
        <v>107.17500000000001</v>
      </c>
      <c r="L135" s="293">
        <f>+(E135)/H30+ IF(E135&gt;0,1,0)</f>
        <v>286.8</v>
      </c>
      <c r="M135" s="187">
        <f>+ROUNDUP(L135,0)</f>
        <v>287</v>
      </c>
      <c r="N135" s="188">
        <f>+(D30+E30-0.08)+(D30+E30+0.1-0.08)+(C30+E30*2-0.08)</f>
        <v>1.1599999999999999</v>
      </c>
      <c r="O135" s="293">
        <f>+N135/J30+1</f>
        <v>5.64</v>
      </c>
      <c r="P135" s="187">
        <f>+ROUNDUP(O135,0)</f>
        <v>6</v>
      </c>
      <c r="Q135" s="187">
        <f>+E135+E135/6*50*(G30/1000)</f>
        <v>77.404166666666669</v>
      </c>
      <c r="R135" s="294">
        <f>+N135*M135+P135*Q135</f>
        <v>797.34500000000003</v>
      </c>
      <c r="S135" s="185">
        <f>((I30*I30)/162)*R135</f>
        <v>492.18827160493828</v>
      </c>
      <c r="T135" s="153" t="s">
        <v>193</v>
      </c>
    </row>
    <row r="136" spans="2:21">
      <c r="C136" s="153" t="s">
        <v>158</v>
      </c>
      <c r="D136" s="190"/>
      <c r="E136" s="291">
        <f>+E135</f>
        <v>71.45</v>
      </c>
      <c r="G136" s="292"/>
      <c r="H136" s="295">
        <f>+E136*C31*E31</f>
        <v>10.717500000000001</v>
      </c>
      <c r="I136" s="190"/>
      <c r="J136" s="190">
        <f>+E136*C31*E31</f>
        <v>10.717500000000001</v>
      </c>
      <c r="K136" s="190">
        <f>+E136*E31</f>
        <v>7.1450000000000005</v>
      </c>
      <c r="L136" s="293">
        <f>+(E136)/H31+ IF(E136&gt;0,1,0)</f>
        <v>286.8</v>
      </c>
      <c r="M136" s="187">
        <f>+ROUNDUP(L136,0)</f>
        <v>287</v>
      </c>
      <c r="N136" s="188">
        <f>+C31-0.04</f>
        <v>1.46</v>
      </c>
      <c r="O136" s="293">
        <f>+N136/J31+1</f>
        <v>10.733333333333334</v>
      </c>
      <c r="P136" s="187">
        <f>+ROUNDUP(O136,0)</f>
        <v>11</v>
      </c>
      <c r="Q136" s="187">
        <f>+E136+E136/6*50*(G31/1000)</f>
        <v>77.404166666666669</v>
      </c>
      <c r="R136" s="294">
        <f>+N136*M136+P136*Q136</f>
        <v>1270.4658333333332</v>
      </c>
      <c r="S136" s="185">
        <f>((I31*I31)/162)*R136</f>
        <v>784.23816872427972</v>
      </c>
      <c r="T136" s="153" t="s">
        <v>193</v>
      </c>
      <c r="U136" s="190">
        <f>S135+S136</f>
        <v>1276.4264403292179</v>
      </c>
    </row>
    <row r="137" spans="2:21" hidden="1">
      <c r="N137" s="188"/>
    </row>
    <row r="138" spans="2:21" hidden="1">
      <c r="B138" s="153" t="s">
        <v>191</v>
      </c>
      <c r="C138" s="177" t="s">
        <v>206</v>
      </c>
      <c r="E138" s="291">
        <f>205*1.1</f>
        <v>225.50000000000003</v>
      </c>
      <c r="G138" s="292">
        <f>+E138*(C33+E33*2+0.5)</f>
        <v>259.32499999999999</v>
      </c>
      <c r="H138" s="292">
        <f>+E138*(C33+E33*2)*(((D33+E33+F33)*2+0.1)/2)</f>
        <v>95.273750000000035</v>
      </c>
      <c r="I138" s="185">
        <f>+(C33+E33*2)*E138*F33</f>
        <v>7.3287500000000012</v>
      </c>
      <c r="J138" s="185">
        <f>+E138*((C33+E33*2)*E33+(D33*E33)+((D33+0.1)*E33))</f>
        <v>37.20750000000001</v>
      </c>
      <c r="K138" s="185">
        <f>+((D33*2)+$K$104*((D33+E33)+(D33+E33+0.1)))*E138</f>
        <v>473.55000000000007</v>
      </c>
      <c r="L138" s="293">
        <f>+(E138)/H33+ IF(E138&gt;0,1,0)</f>
        <v>903.00000000000011</v>
      </c>
      <c r="M138" s="187">
        <f>+ROUNDUP(L138,0)</f>
        <v>903</v>
      </c>
      <c r="N138" s="188">
        <f>+(D33+E33-0.08)+(D33+E33+0.1-0.08)+(C33+E33*2-0.08)</f>
        <v>1.61</v>
      </c>
      <c r="O138" s="293">
        <f>+N138/J33+1</f>
        <v>7.44</v>
      </c>
      <c r="P138" s="187">
        <f>+ROUNDUP(O138,0)</f>
        <v>8</v>
      </c>
      <c r="Q138" s="187">
        <f>+E138+E138/6*50*(G33/1000)</f>
        <v>244.29166666666669</v>
      </c>
      <c r="R138" s="294">
        <f>+N138*M138+P138*Q138</f>
        <v>3408.1633333333339</v>
      </c>
      <c r="S138" s="185">
        <f>((I33*I33)/162)*R138</f>
        <v>2103.8045267489715</v>
      </c>
      <c r="T138" s="153" t="s">
        <v>193</v>
      </c>
    </row>
    <row r="139" spans="2:21" hidden="1">
      <c r="C139" s="153" t="s">
        <v>158</v>
      </c>
      <c r="D139" s="190"/>
      <c r="E139" s="291">
        <f>+E138</f>
        <v>225.50000000000003</v>
      </c>
      <c r="G139" s="292">
        <f>+E139*(C34+0.5)</f>
        <v>451.00000000000006</v>
      </c>
      <c r="H139" s="295">
        <f>+E139*C34*E34</f>
        <v>33.82500000000001</v>
      </c>
      <c r="I139" s="190"/>
      <c r="J139" s="190">
        <f>+E139*C34*E34</f>
        <v>33.82500000000001</v>
      </c>
      <c r="K139" s="190">
        <f>+E139*E34</f>
        <v>22.550000000000004</v>
      </c>
      <c r="L139" s="293">
        <f>+(E139)/H34+ IF(E139&gt;0,1,0)</f>
        <v>903.00000000000011</v>
      </c>
      <c r="M139" s="187">
        <f>+ROUNDUP(L139,0)</f>
        <v>903</v>
      </c>
      <c r="N139" s="188">
        <f>+C34-0.04</f>
        <v>1.46</v>
      </c>
      <c r="O139" s="293">
        <f>+N139/J34+1</f>
        <v>10.733333333333334</v>
      </c>
      <c r="P139" s="187">
        <f>+ROUNDUP(O139,0)</f>
        <v>11</v>
      </c>
      <c r="Q139" s="187">
        <f>+E139+E139/6*50*(G34/1000)</f>
        <v>244.29166666666669</v>
      </c>
      <c r="R139" s="294">
        <f>+N139*M139+P139*Q139</f>
        <v>4005.5883333333331</v>
      </c>
      <c r="S139" s="185">
        <f>((I34*I34)/162)*R139</f>
        <v>2472.5853909465018</v>
      </c>
      <c r="T139" s="153" t="s">
        <v>193</v>
      </c>
    </row>
    <row r="140" spans="2:21" hidden="1">
      <c r="N140" s="188"/>
    </row>
    <row r="141" spans="2:21" hidden="1">
      <c r="B141" s="153" t="s">
        <v>191</v>
      </c>
      <c r="C141" s="177" t="s">
        <v>207</v>
      </c>
      <c r="E141" s="291">
        <f>205*1.1</f>
        <v>225.50000000000003</v>
      </c>
      <c r="G141" s="292">
        <f>+E141*(C36+E36*2+0.5)</f>
        <v>383.35</v>
      </c>
      <c r="H141" s="292">
        <f>+E141*(C36+E36*2)*(((D36+E36+F36)*2+0.1)/2)</f>
        <v>94.710000000000008</v>
      </c>
      <c r="I141" s="185">
        <f>+(C36+E36*2)*E141*F36</f>
        <v>13.530000000000001</v>
      </c>
      <c r="J141" s="185">
        <f>+E141*((C36+E36*2)*E36+(D36*E36)+((D36+0.1)*E36))</f>
        <v>36.080000000000005</v>
      </c>
      <c r="K141" s="185">
        <f>+((D36*2)+$K$104*((D36+E36)+(D36+E36+0.1)))*E141</f>
        <v>202.95000000000002</v>
      </c>
      <c r="L141" s="293">
        <f>+(E141)/H36+ IF(E141&gt;0,1,0)</f>
        <v>903.00000000000011</v>
      </c>
      <c r="M141" s="187">
        <f>+ROUNDUP(L141,0)</f>
        <v>903</v>
      </c>
      <c r="N141" s="188">
        <f>+(D36+E36-0.08)+(D36+E36+0.1-0.08)+(C36+E36*2-0.08)</f>
        <v>1.5599999999999998</v>
      </c>
      <c r="O141" s="293">
        <f>+N141/J36+1</f>
        <v>7.2399999999999993</v>
      </c>
      <c r="P141" s="187">
        <f>+ROUNDUP(O141,0)</f>
        <v>8</v>
      </c>
      <c r="Q141" s="187">
        <f>+E141+E141/6*50*(G36/1000)</f>
        <v>244.29166666666669</v>
      </c>
      <c r="R141" s="294">
        <f>+N141*M141+P141*Q141</f>
        <v>3363.0133333333333</v>
      </c>
      <c r="S141" s="185">
        <f>((I36*I36)/162)*R141</f>
        <v>2075.9341563786006</v>
      </c>
      <c r="T141" s="153" t="s">
        <v>193</v>
      </c>
    </row>
    <row r="142" spans="2:21" hidden="1">
      <c r="C142" s="153" t="s">
        <v>158</v>
      </c>
      <c r="D142" s="190"/>
      <c r="E142" s="291">
        <f>+E141</f>
        <v>225.50000000000003</v>
      </c>
      <c r="G142" s="292">
        <f>+E142*(C37+0.5)</f>
        <v>451.00000000000006</v>
      </c>
      <c r="H142" s="295">
        <f>+E142*C37*E37</f>
        <v>33.82500000000001</v>
      </c>
      <c r="I142" s="190"/>
      <c r="J142" s="190">
        <f>+E142*C37*E37</f>
        <v>33.82500000000001</v>
      </c>
      <c r="K142" s="190">
        <f>+E142*E37</f>
        <v>22.550000000000004</v>
      </c>
      <c r="L142" s="293">
        <f>+(E142)/H37+ IF(E142&gt;0,1,0)</f>
        <v>903.00000000000011</v>
      </c>
      <c r="M142" s="187">
        <f>+ROUNDUP(L142,0)</f>
        <v>903</v>
      </c>
      <c r="N142" s="188">
        <f>+C37-0.04</f>
        <v>1.46</v>
      </c>
      <c r="O142" s="293">
        <f>+N142/J37+1</f>
        <v>10.733333333333334</v>
      </c>
      <c r="P142" s="187">
        <f>+ROUNDUP(O142,0)</f>
        <v>11</v>
      </c>
      <c r="Q142" s="187">
        <f>+E142+E142/6*50*(G37/1000)</f>
        <v>244.29166666666669</v>
      </c>
      <c r="R142" s="294">
        <f>+N142*M142+P142*Q142</f>
        <v>4005.5883333333331</v>
      </c>
      <c r="S142" s="185">
        <f>((I37*I37)/162)*R142</f>
        <v>2472.5853909465018</v>
      </c>
      <c r="T142" s="153" t="s">
        <v>193</v>
      </c>
    </row>
    <row r="143" spans="2:21" hidden="1">
      <c r="N143" s="188"/>
    </row>
    <row r="144" spans="2:21" hidden="1">
      <c r="B144" s="298" t="s">
        <v>191</v>
      </c>
      <c r="C144" s="299" t="s">
        <v>208</v>
      </c>
      <c r="E144" s="291">
        <v>312.66000000000003</v>
      </c>
      <c r="G144" s="292">
        <f>+E144*(C39+E39)</f>
        <v>343.92600000000004</v>
      </c>
      <c r="H144" s="292">
        <f>+E144*(C39+E39)*E39</f>
        <v>34.392600000000009</v>
      </c>
      <c r="I144" s="185">
        <f>+E144*(C39+E39)*F39</f>
        <v>17.196300000000004</v>
      </c>
      <c r="J144" s="185">
        <f>+E144*((C39+E39)*E39+(E39*D39))</f>
        <v>40.645800000000001</v>
      </c>
      <c r="K144" s="185">
        <f>+E144*(E39*2+D39*2)</f>
        <v>187.59600000000003</v>
      </c>
      <c r="L144" s="293">
        <f>+(E144)/H39+ IF(E144&gt;0,1,0)</f>
        <v>1251.6400000000001</v>
      </c>
      <c r="M144" s="187">
        <f>+ROUNDUP(L144,0)</f>
        <v>1252</v>
      </c>
      <c r="N144" s="188">
        <f>+(C39+E39-0.08)+(D39+E39-0.08)</f>
        <v>1.24</v>
      </c>
      <c r="O144" s="293">
        <f>+N144/J39+1</f>
        <v>5.96</v>
      </c>
      <c r="P144" s="187">
        <f>+ROUNDUP(O144,0)</f>
        <v>6</v>
      </c>
      <c r="Q144" s="187">
        <f>+E144+E144/6*50*(G39/1000)</f>
        <v>338.71500000000003</v>
      </c>
      <c r="R144" s="294">
        <f>+N144*M144+P144*Q144</f>
        <v>3584.7700000000004</v>
      </c>
      <c r="S144" s="185">
        <f>((I39*I39)/162)*R144</f>
        <v>2212.820987654321</v>
      </c>
      <c r="T144" s="153" t="s">
        <v>193</v>
      </c>
    </row>
    <row r="145" spans="2:20" hidden="1">
      <c r="N145" s="188"/>
    </row>
    <row r="146" spans="2:20" hidden="1">
      <c r="B146" s="153" t="s">
        <v>191</v>
      </c>
      <c r="C146" s="177" t="s">
        <v>209</v>
      </c>
      <c r="E146" s="291">
        <f>205*1.1</f>
        <v>225.50000000000003</v>
      </c>
      <c r="G146" s="292">
        <f>+E146*(C41+E41)</f>
        <v>248.05000000000004</v>
      </c>
      <c r="H146" s="292">
        <f>+E146*(C41+E41)*E41</f>
        <v>24.805000000000007</v>
      </c>
      <c r="I146" s="185">
        <f>+E146*(C41+E41)*F41</f>
        <v>12.402500000000003</v>
      </c>
      <c r="J146" s="185">
        <f>+E146*((C41+E41)*E41+(E41*D41))</f>
        <v>31.570000000000007</v>
      </c>
      <c r="K146" s="185">
        <f>+E146*(E41*2+D41*2)</f>
        <v>180.40000000000003</v>
      </c>
      <c r="L146" s="293">
        <f>+(E146)/H41+ IF(E146&gt;0,1,0)</f>
        <v>903.00000000000011</v>
      </c>
      <c r="M146" s="187">
        <f>+ROUNDUP(L146,0)</f>
        <v>903</v>
      </c>
      <c r="N146" s="188">
        <f>+(C41+E41-0.08)+(D41+E41-0.08)</f>
        <v>1.34</v>
      </c>
      <c r="O146" s="293">
        <f>+N146/J41+1</f>
        <v>6.36</v>
      </c>
      <c r="P146" s="187">
        <f>+ROUNDUP(O146,0)</f>
        <v>7</v>
      </c>
      <c r="Q146" s="187">
        <f>+E146+E146/6*50*(G41/1000)</f>
        <v>244.29166666666669</v>
      </c>
      <c r="R146" s="294">
        <f>+N146*M146+P146*Q146</f>
        <v>2920.0616666666665</v>
      </c>
      <c r="S146" s="185">
        <f>((I41*I41)/162)*R146</f>
        <v>1802.5072016460904</v>
      </c>
      <c r="T146" s="153" t="s">
        <v>193</v>
      </c>
    </row>
    <row r="147" spans="2:20" hidden="1">
      <c r="N147" s="188"/>
    </row>
    <row r="148" spans="2:20" hidden="1">
      <c r="B148" s="153" t="s">
        <v>191</v>
      </c>
      <c r="C148" s="177" t="s">
        <v>210</v>
      </c>
      <c r="E148" s="291">
        <v>81.819999999999993</v>
      </c>
      <c r="G148" s="292">
        <f>+E148*(C43+E43*2+1.5)</f>
        <v>196.36799999999997</v>
      </c>
      <c r="H148" s="292">
        <f>+E148*(C43+E43*2)*(((D43+E43+F43)*2+0.6)/2)</f>
        <v>81.001800000000003</v>
      </c>
      <c r="I148" s="185">
        <f>+(C43+E43*2)*E148*F43</f>
        <v>3.6818999999999997</v>
      </c>
      <c r="J148" s="185">
        <f>+E148*((C43+E43*2)*E43+(D43*E43)+((D43+0.6)*E43))</f>
        <v>33.137099999999997</v>
      </c>
      <c r="K148" s="185">
        <f>+((D43*2)+$K$104*((D43+E43)+(D43+E43+0.6)))*E148</f>
        <v>270.00599999999997</v>
      </c>
      <c r="L148" s="293">
        <f>+(E148)/H43+ IF(E148&gt;0,1,0)</f>
        <v>328.28</v>
      </c>
      <c r="M148" s="187">
        <f>+ROUNDUP(L148,0)</f>
        <v>329</v>
      </c>
      <c r="N148" s="188">
        <f>+(E43+D43+E43+C43+2*E43+E43+D43+0.6+E43-9*0.04)+(E43+D43+2*E43-5*0.04)+(E43+0.6+D43+2*E43-5*0.04)+(C43+4*E43-6*0.04)</f>
        <v>6.2</v>
      </c>
      <c r="O148" s="293">
        <f>2*(D43/J43+1)+2*((D43+0.6)/J43+1)+((C43+2*E43)/J43+1)</f>
        <v>23</v>
      </c>
      <c r="P148" s="187">
        <f>+ROUNDUP(O148,0)</f>
        <v>23</v>
      </c>
      <c r="Q148" s="187">
        <f>+E148+E148/6*50*(G43/1000)</f>
        <v>88.638333333333321</v>
      </c>
      <c r="R148" s="294">
        <f>+N148*M148+P148*Q148</f>
        <v>4078.4816666666666</v>
      </c>
      <c r="S148" s="185">
        <f>((I43*I43)/162)*R148</f>
        <v>2517.5812757201643</v>
      </c>
      <c r="T148" s="153" t="s">
        <v>193</v>
      </c>
    </row>
    <row r="149" spans="2:20" hidden="1"/>
    <row r="150" spans="2:20" hidden="1">
      <c r="B150" s="153" t="s">
        <v>191</v>
      </c>
      <c r="C150" s="177" t="s">
        <v>211</v>
      </c>
      <c r="E150" s="291">
        <f>205*1.1</f>
        <v>225.50000000000003</v>
      </c>
      <c r="G150" s="292">
        <f>+E150*(C45+E45*2+1.5)</f>
        <v>586.30000000000007</v>
      </c>
      <c r="H150" s="292">
        <f>+E150*(C45+E45*2)*(((D45+E45+F45)*2+0.6)/2)</f>
        <v>322.46500000000009</v>
      </c>
      <c r="I150" s="185">
        <f>+(C45+E45*2)*E150*F45</f>
        <v>12.402500000000003</v>
      </c>
      <c r="J150" s="185">
        <f>+E150*((C45+E45*2)*E45+(D45*E45)+((D45+0.6)*E45))</f>
        <v>111.62250000000002</v>
      </c>
      <c r="K150" s="185">
        <f>+((D45*2)+$K$104*((D45+E45)+(D45+E45+0.6)))*E150</f>
        <v>924.55000000000007</v>
      </c>
      <c r="L150" s="293">
        <f>+(E150)/H45+ IF(E150&gt;0,1,0)</f>
        <v>903.00000000000011</v>
      </c>
      <c r="M150" s="187">
        <f>+ROUNDUP(L150,0)</f>
        <v>903</v>
      </c>
      <c r="N150" s="188">
        <f>+(E45+D45+E45+C45+2*E45+E45+D45+0.6+E45-9*0.04)+(E45+D45+2*E45-5*0.04)+(E45+0.6+D45+2*E45-5*0.04)+(C45+4*E45-6*0.04)</f>
        <v>7.4000000000000012</v>
      </c>
      <c r="O150" s="293">
        <f>2*(D45/J45+1)+2*((D45+0.6)/J45+1)+((C45+2*E45)/J45+1)</f>
        <v>27</v>
      </c>
      <c r="P150" s="187">
        <f>+ROUNDUP(O150,0)</f>
        <v>27</v>
      </c>
      <c r="Q150" s="187">
        <f>+E150+E150/6*50*(G45/1000)</f>
        <v>244.29166666666669</v>
      </c>
      <c r="R150" s="294">
        <f>+N150*M150+P150*Q150</f>
        <v>13278.075000000001</v>
      </c>
      <c r="S150" s="185">
        <f>((I45*I45)/162)*R150</f>
        <v>8196.3425925925931</v>
      </c>
      <c r="T150" s="153" t="s">
        <v>193</v>
      </c>
    </row>
    <row r="151" spans="2:20" hidden="1"/>
    <row r="152" spans="2:20" hidden="1">
      <c r="B152" s="153" t="s">
        <v>191</v>
      </c>
      <c r="C152" s="177" t="s">
        <v>212</v>
      </c>
      <c r="E152" s="291">
        <v>100</v>
      </c>
      <c r="G152" s="292">
        <f>+E152*(C47+E47*2+1.5)</f>
        <v>270</v>
      </c>
      <c r="H152" s="292">
        <f>+E152*(C47+E47*2)*(D47+F47+F47)</f>
        <v>84.000000000000014</v>
      </c>
      <c r="I152" s="185">
        <f>+(C47+E47*2)*E152*F47</f>
        <v>6</v>
      </c>
      <c r="J152" s="185">
        <f>+E152*((C47+E47*2)*E47+(D47*E47*2))</f>
        <v>24</v>
      </c>
      <c r="K152" s="185">
        <f>+(D47+$K$104*(D47+E47))*E152*2</f>
        <v>259.99999999999994</v>
      </c>
      <c r="L152" s="293">
        <f>+(E152)/H47+ IF(E152&gt;0,1,0)</f>
        <v>401</v>
      </c>
      <c r="M152" s="187">
        <f>+ROUNDUP(L152,0)</f>
        <v>401</v>
      </c>
      <c r="N152" s="188">
        <f>+(D47+E47-0.08)*2+(C47+E47*2-0.08)</f>
        <v>2.36</v>
      </c>
      <c r="O152" s="293">
        <f>+N152/J47+1</f>
        <v>10.44</v>
      </c>
      <c r="P152" s="187">
        <f>+ROUNDUP(O152,0)</f>
        <v>11</v>
      </c>
      <c r="Q152" s="187">
        <f>+E152+E152/6*50*(G47/1000)</f>
        <v>108.33333333333333</v>
      </c>
      <c r="R152" s="294">
        <f>+N152*M152+P152*Q152</f>
        <v>2138.0266666666666</v>
      </c>
      <c r="S152" s="185">
        <f>((I47*I47)/162)*R152</f>
        <v>1319.7695473251028</v>
      </c>
      <c r="T152" s="153" t="s">
        <v>193</v>
      </c>
    </row>
    <row r="153" spans="2:20" hidden="1">
      <c r="C153" s="153" t="s">
        <v>138</v>
      </c>
      <c r="D153" s="190">
        <f>ROUNDUP(+E152/K47,0)</f>
        <v>34</v>
      </c>
      <c r="E153" s="291"/>
      <c r="G153" s="295"/>
      <c r="H153" s="295"/>
      <c r="I153" s="190"/>
      <c r="J153" s="190">
        <f>0.5*(0.075+0.05)*0.075*C47*D153</f>
        <v>0.15937499999999999</v>
      </c>
      <c r="K153" s="190">
        <f>+(0.075+0.08)*C47*D153</f>
        <v>5.27</v>
      </c>
      <c r="L153" s="296">
        <f>+D153</f>
        <v>34</v>
      </c>
      <c r="M153" s="187">
        <f>+ROUNDUP(L153,0)</f>
        <v>34</v>
      </c>
      <c r="N153" s="193">
        <f>+(C47-0.08)+((0.075+0.05-2*0.04)*2)</f>
        <v>1.01</v>
      </c>
      <c r="O153" s="296"/>
      <c r="P153" s="194"/>
      <c r="Q153" s="194"/>
      <c r="R153" s="294">
        <f>+N153*M153+P153*Q153</f>
        <v>34.340000000000003</v>
      </c>
      <c r="S153" s="185">
        <f>((I47*I47)/162)*R153</f>
        <v>21.197530864197532</v>
      </c>
      <c r="T153" s="153" t="s">
        <v>193</v>
      </c>
    </row>
    <row r="154" spans="2:20" hidden="1">
      <c r="E154" s="291"/>
    </row>
    <row r="155" spans="2:20" hidden="1">
      <c r="B155" s="153" t="s">
        <v>191</v>
      </c>
      <c r="C155" s="177" t="s">
        <v>213</v>
      </c>
      <c r="E155" s="291">
        <f>70.25*1.06418</f>
        <v>74.758644999999987</v>
      </c>
      <c r="G155" s="292">
        <f>+E155*(C50+E50*2+1.5)</f>
        <v>205.58627374999998</v>
      </c>
      <c r="H155" s="292">
        <f>+E155*(C50+E50*2)*(D50+F50+F50)</f>
        <v>84.103475625000002</v>
      </c>
      <c r="I155" s="185">
        <f>+(C50+E50*2)*E155*F50</f>
        <v>4.6724153124999992</v>
      </c>
      <c r="J155" s="185">
        <f>+E155*((C50+E50*2)*E50+(D50*E50*2))</f>
        <v>26.632767281249997</v>
      </c>
      <c r="K155" s="185">
        <f>+(D50+$K$104*(D50+E50))*E155*2</f>
        <v>257.91732524999998</v>
      </c>
      <c r="L155" s="293">
        <f>+(E155)/H50+ IF(E155&gt;0,1,0)</f>
        <v>300.03457999999995</v>
      </c>
      <c r="M155" s="187">
        <f>+ROUNDUP(L155,0)</f>
        <v>301</v>
      </c>
      <c r="N155" s="188">
        <f>+(D50+E50-0.08)*2+(C50+E50*2-0.08)</f>
        <v>2.8600000000000003</v>
      </c>
      <c r="O155" s="293">
        <f>+N155/J50+1</f>
        <v>12.440000000000001</v>
      </c>
      <c r="P155" s="187">
        <f>+ROUNDUP(O155,0)</f>
        <v>13</v>
      </c>
      <c r="Q155" s="187">
        <f>+E155+E155/6*50*(G50/1000)</f>
        <v>80.988532083333325</v>
      </c>
      <c r="R155" s="294">
        <f>+N155*M155+P155*Q155</f>
        <v>1913.7109170833332</v>
      </c>
      <c r="S155" s="185">
        <f>((I50*I50)/162)*R155</f>
        <v>1181.3030352366254</v>
      </c>
      <c r="T155" s="153" t="s">
        <v>193</v>
      </c>
    </row>
    <row r="156" spans="2:20" hidden="1">
      <c r="C156" s="153" t="s">
        <v>138</v>
      </c>
      <c r="D156" s="190">
        <f>ROUNDUP(+E155/K50,0)</f>
        <v>25</v>
      </c>
      <c r="E156" s="291"/>
      <c r="G156" s="295"/>
      <c r="H156" s="295"/>
      <c r="I156" s="190"/>
      <c r="J156" s="190">
        <f>0.5*(0.075+0.05)*0.075*C50*D156</f>
        <v>0.1171875</v>
      </c>
      <c r="K156" s="190">
        <f>+(0.075+0.08)*C50*D156</f>
        <v>3.875</v>
      </c>
      <c r="L156" s="296">
        <f>+D156</f>
        <v>25</v>
      </c>
      <c r="M156" s="187">
        <f>+ROUNDUP(L156,0)</f>
        <v>25</v>
      </c>
      <c r="N156" s="193">
        <f>+(C50-0.08)+((0.075+0.05-2*0.04)*2)</f>
        <v>1.01</v>
      </c>
      <c r="O156" s="296"/>
      <c r="P156" s="194"/>
      <c r="Q156" s="194"/>
      <c r="R156" s="294">
        <f>+N156*M156+P156*Q156</f>
        <v>25.25</v>
      </c>
      <c r="S156" s="185">
        <f>((I50*I50)/162)*R156</f>
        <v>15.586419753086419</v>
      </c>
      <c r="T156" s="153" t="s">
        <v>193</v>
      </c>
    </row>
    <row r="157" spans="2:20" hidden="1"/>
    <row r="158" spans="2:20" hidden="1">
      <c r="B158" s="153" t="s">
        <v>191</v>
      </c>
      <c r="C158" s="177" t="s">
        <v>214</v>
      </c>
      <c r="E158" s="291">
        <v>100</v>
      </c>
      <c r="G158" s="292">
        <f>+E158*(C53+E53*2+1.5)</f>
        <v>275</v>
      </c>
      <c r="H158" s="292">
        <f>+E158*(C53+E53*2)*(D53+F53+F53)</f>
        <v>137.5</v>
      </c>
      <c r="I158" s="185">
        <f>+(C53+E53*2)*E158*F53</f>
        <v>6.25</v>
      </c>
      <c r="J158" s="185">
        <f>+E158*((C53+E53*2)*E53+(D53*E53*2))</f>
        <v>40.625</v>
      </c>
      <c r="K158" s="185">
        <f>+(D53+$K$104*(D53+E53))*E158*2</f>
        <v>425</v>
      </c>
      <c r="L158" s="293">
        <f>+(E158)/H53+ IF(E158&gt;0,1,0)</f>
        <v>401</v>
      </c>
      <c r="M158" s="187">
        <f>+ROUNDUP(L158,0)</f>
        <v>401</v>
      </c>
      <c r="N158" s="188">
        <f>+(E53+D53+E53+C53+2*E53+D53+2*E53-0.04*10)+(E53+D53+2*E53-5*0.04)*2+(C53+4*E53-6*0.04)</f>
        <v>6.96</v>
      </c>
      <c r="O158" s="293">
        <f>(2*(D53+E53)+(C53+2*E53)-6*0.04)/J53*2</f>
        <v>26.08</v>
      </c>
      <c r="P158" s="187">
        <f>+ROUNDUP(O158,0)</f>
        <v>27</v>
      </c>
      <c r="Q158" s="187">
        <f>+E158+E158/6*50*(G53/1000)</f>
        <v>108.33333333333333</v>
      </c>
      <c r="R158" s="294">
        <f>+N158*M158+P158*Q158</f>
        <v>5715.96</v>
      </c>
      <c r="S158" s="185">
        <f>((I53*I53)/162)*R158</f>
        <v>3528.37037037037</v>
      </c>
      <c r="T158" s="153" t="s">
        <v>193</v>
      </c>
    </row>
    <row r="159" spans="2:20" hidden="1">
      <c r="C159" s="153" t="s">
        <v>138</v>
      </c>
      <c r="D159" s="190">
        <f>ROUNDUP(+E158/K53,0)</f>
        <v>34</v>
      </c>
      <c r="E159" s="291"/>
      <c r="G159" s="295"/>
      <c r="H159" s="295"/>
      <c r="I159" s="190"/>
      <c r="J159" s="190">
        <f>0.5*(0.075+0.05)*0.075*C53*D159</f>
        <v>0.15937499999999999</v>
      </c>
      <c r="K159" s="190">
        <f>+(0.075+0.08)*C53*D159</f>
        <v>5.27</v>
      </c>
      <c r="L159" s="296">
        <f>+D159</f>
        <v>34</v>
      </c>
      <c r="M159" s="187">
        <f>+ROUNDUP(L159,0)</f>
        <v>34</v>
      </c>
      <c r="N159" s="193">
        <f>+(C53-0.08)+((0.075+0.05-2*0.04)*2)</f>
        <v>1.01</v>
      </c>
      <c r="O159" s="296"/>
      <c r="P159" s="194"/>
      <c r="Q159" s="194"/>
      <c r="R159" s="294">
        <f>+N159*M159+P159*Q159</f>
        <v>34.340000000000003</v>
      </c>
      <c r="S159" s="185">
        <f>((I53*I53)/162)*R159</f>
        <v>21.197530864197532</v>
      </c>
      <c r="T159" s="153" t="s">
        <v>193</v>
      </c>
    </row>
    <row r="160" spans="2:20" hidden="1"/>
    <row r="161" spans="2:21" hidden="1">
      <c r="B161" s="153" t="s">
        <v>191</v>
      </c>
      <c r="C161" s="177" t="s">
        <v>215</v>
      </c>
      <c r="E161" s="291">
        <v>100</v>
      </c>
      <c r="G161" s="292">
        <f>+E161*(C56+E56*2+1.5)</f>
        <v>275</v>
      </c>
      <c r="H161" s="292">
        <f>+E161*(C56+E56*2)*(D56+F56+F56)</f>
        <v>137.5</v>
      </c>
      <c r="I161" s="185">
        <f>+(C56+E56*2)*E161*F56</f>
        <v>6.25</v>
      </c>
      <c r="J161" s="185">
        <f>+E161*((C56+E56*2)*E56+(D56*E56*2))</f>
        <v>40.625</v>
      </c>
      <c r="K161" s="185">
        <f>+(D56+$K$104*(D56+E56))*E161*2</f>
        <v>425</v>
      </c>
      <c r="L161" s="293">
        <f>+(E161)/H56+ IF(E161&gt;0,1,0)</f>
        <v>401</v>
      </c>
      <c r="M161" s="187">
        <f>+ROUNDUP(L161,0)</f>
        <v>401</v>
      </c>
      <c r="N161" s="188">
        <f>+(E56+D56+E56+C56+2*E56+D56+2*E56-0.04*10)+(E56+D56+2*E56-5*0.04)*2+(C56+4*E56-6*0.04)</f>
        <v>6.96</v>
      </c>
      <c r="O161" s="293">
        <f>(2*(D56+E56)+(C56+2*E56)-6*0.04)/J56*2</f>
        <v>26.08</v>
      </c>
      <c r="P161" s="187">
        <f>+ROUNDUP(O161,0)</f>
        <v>27</v>
      </c>
      <c r="Q161" s="187">
        <f>+E161+E161/6*50*(G56/1000)</f>
        <v>108.33333333333333</v>
      </c>
      <c r="R161" s="294">
        <f>+N161*M161+P161*Q161</f>
        <v>5715.96</v>
      </c>
      <c r="S161" s="185">
        <f>((I56*I56)/162)*R161</f>
        <v>3528.37037037037</v>
      </c>
      <c r="T161" s="153" t="s">
        <v>193</v>
      </c>
    </row>
    <row r="162" spans="2:21" hidden="1">
      <c r="C162" s="153" t="s">
        <v>138</v>
      </c>
      <c r="D162" s="190">
        <f>ROUNDUP(+E161/K56,0)</f>
        <v>34</v>
      </c>
      <c r="E162" s="291"/>
      <c r="G162" s="295"/>
      <c r="H162" s="295"/>
      <c r="I162" s="190"/>
      <c r="J162" s="190">
        <f>0.5*(0.075+0.05)*0.075*C56*D162</f>
        <v>0.15937499999999999</v>
      </c>
      <c r="K162" s="190">
        <f>+(0.075+0.08)*C56*D162</f>
        <v>5.27</v>
      </c>
      <c r="L162" s="296">
        <f>+D162</f>
        <v>34</v>
      </c>
      <c r="M162" s="187">
        <f>+ROUNDUP(L162,0)</f>
        <v>34</v>
      </c>
      <c r="N162" s="193">
        <f>+(C56-0.08)+((0.075+0.05-2*0.04)*2)</f>
        <v>1.01</v>
      </c>
      <c r="O162" s="296"/>
      <c r="P162" s="194"/>
      <c r="Q162" s="194"/>
      <c r="R162" s="294">
        <f>+N162*M162+P162*Q162</f>
        <v>34.340000000000003</v>
      </c>
      <c r="S162" s="185">
        <f>((I56*I56)/162)*R162</f>
        <v>21.197530864197532</v>
      </c>
      <c r="T162" s="153" t="s">
        <v>193</v>
      </c>
    </row>
    <row r="163" spans="2:21" hidden="1"/>
    <row r="164" spans="2:21" hidden="1">
      <c r="B164" s="204" t="s">
        <v>216</v>
      </c>
      <c r="C164" s="177" t="s">
        <v>217</v>
      </c>
      <c r="E164" s="291">
        <v>44.65</v>
      </c>
      <c r="G164" s="292">
        <f>+E164*(C59+E59*2+1)</f>
        <v>73.672499999999999</v>
      </c>
      <c r="H164" s="292">
        <f>(+E164*(C59+E59*2)*(D59+F59+F59))*50%</f>
        <v>7.9811875000000008</v>
      </c>
      <c r="I164" s="185">
        <f>+(C59+E59*2)*E164*F59</f>
        <v>1.4511250000000002</v>
      </c>
      <c r="J164" s="185">
        <f>+E164*((C59+E59*2+0.06)*E59+(D59*E59*2))</f>
        <v>7.18865</v>
      </c>
      <c r="K164" s="185">
        <f>+(D59+(D59+E59))*E164*2</f>
        <v>89.3</v>
      </c>
      <c r="L164" s="293">
        <f>+(E164)/H59+ IF(E164&gt;0,1,0)</f>
        <v>179.6</v>
      </c>
      <c r="M164" s="187">
        <f>+ROUNDUP(L164,0)</f>
        <v>180</v>
      </c>
      <c r="N164" s="188">
        <f>+(D59+E59-0.08)*2+(C59+E59*2-0.08)</f>
        <v>1.5100000000000002</v>
      </c>
      <c r="O164" s="293">
        <f>+N164/J59+1</f>
        <v>7.0400000000000009</v>
      </c>
      <c r="P164" s="187">
        <f>+ROUNDUP(O164,0)</f>
        <v>8</v>
      </c>
      <c r="Q164" s="187">
        <f>+E164+E164/6*50*(G59/1000)</f>
        <v>48.37083333333333</v>
      </c>
      <c r="R164" s="294">
        <f>+N164*M164+P164*Q164</f>
        <v>658.76666666666665</v>
      </c>
      <c r="S164" s="185">
        <f>((I59*I59)/162)*R164</f>
        <v>406.64609053497941</v>
      </c>
      <c r="T164" s="153" t="s">
        <v>193</v>
      </c>
    </row>
    <row r="165" spans="2:21" hidden="1">
      <c r="C165" s="153" t="s">
        <v>218</v>
      </c>
      <c r="D165" s="190">
        <f>ROUNDUP(+(E164/SQRT(L59^2+M59^2)),0)</f>
        <v>115</v>
      </c>
      <c r="E165" s="291"/>
      <c r="G165" s="295"/>
      <c r="H165" s="295"/>
      <c r="I165" s="190"/>
      <c r="J165" s="190">
        <f>0.5*(0.075+0.05)*0.075*C59*D165</f>
        <v>0.24257812500000001</v>
      </c>
      <c r="K165" s="190">
        <f>+M59*C59*D165</f>
        <v>14.231250000000001</v>
      </c>
      <c r="L165" s="296"/>
      <c r="M165" s="187">
        <f>+ROUNDUP(L165,0)</f>
        <v>0</v>
      </c>
      <c r="N165" s="193"/>
      <c r="O165" s="296"/>
      <c r="P165" s="194"/>
      <c r="Q165" s="194"/>
      <c r="R165" s="294">
        <f>+N165*M165+P165*Q165</f>
        <v>0</v>
      </c>
      <c r="S165" s="185">
        <f>((I59*I59)/162)*R165</f>
        <v>0</v>
      </c>
    </row>
    <row r="166" spans="2:21" hidden="1">
      <c r="C166" s="153" t="s">
        <v>219</v>
      </c>
      <c r="D166" s="153">
        <f>ROUNDUP(+E164/1,0)</f>
        <v>45</v>
      </c>
    </row>
    <row r="168" spans="2:21">
      <c r="B168" s="308" t="s">
        <v>216</v>
      </c>
      <c r="C168" s="307" t="s">
        <v>220</v>
      </c>
      <c r="E168" s="291">
        <v>39</v>
      </c>
      <c r="G168" s="292">
        <f>+E168*(C63+E63*2+1)</f>
        <v>64.349999999999994</v>
      </c>
      <c r="H168" s="292">
        <f>(+E168*(C63+E63*2)*(D63+F63+F63))*50%</f>
        <v>8.8725000000000005</v>
      </c>
      <c r="I168" s="185">
        <f>+(C63+E63*2)*E168*F63</f>
        <v>1.2675000000000001</v>
      </c>
      <c r="J168" s="185">
        <f>+E168*((C63+E63*2+0.06)*E63+(D63*E63*2))</f>
        <v>7.4489999999999998</v>
      </c>
      <c r="K168" s="185">
        <f>+(D63+(D63+E63))*E168*2</f>
        <v>101.39999999999999</v>
      </c>
      <c r="L168" s="293">
        <f>+(E168)/H63+ IF(E168&gt;0,1,0)</f>
        <v>157</v>
      </c>
      <c r="M168" s="187">
        <f>+ROUNDUP(L168,0)</f>
        <v>157</v>
      </c>
      <c r="N168" s="188">
        <f>+(D63+E63-0.08)*2+(C63+E63*2-0.08)</f>
        <v>1.81</v>
      </c>
      <c r="O168" s="293">
        <f>+N168/J63+1</f>
        <v>8.24</v>
      </c>
      <c r="P168" s="187">
        <f>+ROUNDUP(O168,0)</f>
        <v>9</v>
      </c>
      <c r="Q168" s="187">
        <f>+E168+E168/6*50*(G63/1000)</f>
        <v>42.25</v>
      </c>
      <c r="R168" s="294">
        <f>+N168*M168+P168*Q168</f>
        <v>664.42000000000007</v>
      </c>
      <c r="S168" s="185">
        <f>((I63*I63)/162)*R168</f>
        <v>410.1358024691358</v>
      </c>
      <c r="T168" s="153" t="s">
        <v>193</v>
      </c>
    </row>
    <row r="169" spans="2:21">
      <c r="C169" s="153" t="s">
        <v>218</v>
      </c>
      <c r="D169" s="190">
        <f>ROUNDUP(+(E168/SQRT(L63^2+M63^2)),0)</f>
        <v>101</v>
      </c>
      <c r="E169" s="291"/>
      <c r="G169" s="295"/>
      <c r="H169" s="295"/>
      <c r="I169" s="190"/>
      <c r="J169" s="190">
        <f>0.5*(0.075+0.05)*0.075*C63*D169</f>
        <v>0.21304687500000002</v>
      </c>
      <c r="K169" s="190">
        <f>+M63*C63*D169</f>
        <v>12.498750000000001</v>
      </c>
      <c r="L169" s="296"/>
      <c r="M169" s="187">
        <f>+ROUNDUP(L169,0)</f>
        <v>0</v>
      </c>
      <c r="N169" s="193"/>
      <c r="O169" s="296"/>
      <c r="P169" s="194"/>
      <c r="Q169" s="194"/>
      <c r="R169" s="294">
        <f>+N169*M169+P169*Q169</f>
        <v>0</v>
      </c>
      <c r="S169" s="185">
        <f>((I63*I63)/162)*R169</f>
        <v>0</v>
      </c>
      <c r="U169" s="190">
        <f>S168+S169</f>
        <v>410.1358024691358</v>
      </c>
    </row>
    <row r="170" spans="2:21">
      <c r="C170" s="153" t="s">
        <v>219</v>
      </c>
      <c r="D170" s="153">
        <f>ROUNDUP(+E168/1,0)</f>
        <v>39</v>
      </c>
    </row>
    <row r="171" spans="2:21">
      <c r="K171" s="185"/>
    </row>
    <row r="172" spans="2:21" hidden="1">
      <c r="B172" s="204" t="s">
        <v>216</v>
      </c>
      <c r="C172" s="177" t="s">
        <v>221</v>
      </c>
      <c r="E172" s="291">
        <v>73.25</v>
      </c>
      <c r="G172" s="292">
        <f>+E172*(C67+E67*2+1)</f>
        <v>131.85</v>
      </c>
      <c r="H172" s="292">
        <f>(+E172*(C67+E67*2)*(D67+F67+F67))*50%</f>
        <v>20.51</v>
      </c>
      <c r="I172" s="185">
        <f>+(C67+E67*2)*E172*F67</f>
        <v>2.93</v>
      </c>
      <c r="J172" s="185">
        <f>+E172*((C67+E67*2+0.06)*E67+(D67*E67*2))</f>
        <v>15.089500000000001</v>
      </c>
      <c r="K172" s="185">
        <f>+(D67+(D67+E67))*E172*2</f>
        <v>190.44999999999996</v>
      </c>
      <c r="L172" s="293">
        <f>+(E172)/H67+ IF(E172&gt;0,1,0)</f>
        <v>294</v>
      </c>
      <c r="M172" s="187">
        <f>+ROUNDUP(L172,0)</f>
        <v>294</v>
      </c>
      <c r="N172" s="188">
        <f>+(D67+E67-0.08)*2+(C67+E67*2-0.08)</f>
        <v>1.96</v>
      </c>
      <c r="O172" s="293">
        <f>+N172/J67+1</f>
        <v>8.84</v>
      </c>
      <c r="P172" s="187">
        <f>+ROUNDUP(O172,0)</f>
        <v>9</v>
      </c>
      <c r="Q172" s="187">
        <f>+E172+E172/6*50*(G67/1000)</f>
        <v>79.354166666666671</v>
      </c>
      <c r="R172" s="294">
        <f>+N172*M172+P172*Q172</f>
        <v>1290.4275</v>
      </c>
      <c r="S172" s="185">
        <f>((I67*I67)/162)*R172</f>
        <v>796.56018518518511</v>
      </c>
      <c r="T172" s="153" t="s">
        <v>193</v>
      </c>
    </row>
    <row r="173" spans="2:21" hidden="1">
      <c r="C173" s="153" t="s">
        <v>218</v>
      </c>
      <c r="D173" s="190">
        <f>ROUNDUP(+(E172/SQRT(L67^2+M67^2)),0)</f>
        <v>189</v>
      </c>
      <c r="E173" s="291"/>
      <c r="G173" s="295"/>
      <c r="H173" s="295"/>
      <c r="I173" s="190"/>
      <c r="J173" s="190">
        <f>0.5*(0.075+0.05)*0.075*C67*D173</f>
        <v>0.53156249999999994</v>
      </c>
      <c r="K173" s="190">
        <f>+M67*C67*D173</f>
        <v>31.185000000000002</v>
      </c>
      <c r="L173" s="296"/>
      <c r="M173" s="187">
        <f>+ROUNDUP(L173,0)</f>
        <v>0</v>
      </c>
      <c r="N173" s="193"/>
      <c r="O173" s="296"/>
      <c r="P173" s="194"/>
      <c r="Q173" s="194"/>
      <c r="R173" s="294">
        <f>+N173*M173+P173*Q173</f>
        <v>0</v>
      </c>
      <c r="S173" s="185">
        <f>((I67*I67)/162)*R173</f>
        <v>0</v>
      </c>
    </row>
    <row r="174" spans="2:21" hidden="1">
      <c r="C174" s="153" t="s">
        <v>219</v>
      </c>
      <c r="D174" s="153">
        <f>ROUNDUP(+E172/1,0)</f>
        <v>74</v>
      </c>
    </row>
    <row r="175" spans="2:21" hidden="1"/>
    <row r="176" spans="2:21" hidden="1">
      <c r="B176" s="204" t="s">
        <v>216</v>
      </c>
      <c r="C176" s="177" t="s">
        <v>222</v>
      </c>
      <c r="E176" s="291">
        <v>8.6</v>
      </c>
      <c r="G176" s="292">
        <f>+E176*(C71+E71*2+1)</f>
        <v>17.2</v>
      </c>
      <c r="H176" s="292">
        <f>(+E176*(C71+E71*2)*(D71+F71+F71))*50%</f>
        <v>3.8700000000000006</v>
      </c>
      <c r="I176" s="185">
        <f>+(C71+E71*2)*E176*F71</f>
        <v>0.43</v>
      </c>
      <c r="J176" s="185">
        <f>+E176*((C71+E71*2+0.06)*E71+(D71*E71*2))</f>
        <v>2.2875999999999999</v>
      </c>
      <c r="K176" s="185">
        <f>+(D71+(D71+E71))*E176*2</f>
        <v>29.240000000000002</v>
      </c>
      <c r="L176" s="293">
        <f>+(E176)/H71+ IF(E176&gt;0,1,0)</f>
        <v>35.4</v>
      </c>
      <c r="M176" s="187">
        <f>+ROUNDUP(L176,0)</f>
        <v>36</v>
      </c>
      <c r="N176" s="188">
        <f>+(D71+E71-0.08)*2+(C71+E71*2-0.08)</f>
        <v>2.56</v>
      </c>
      <c r="O176" s="293">
        <f>+N176/J71+1</f>
        <v>11.24</v>
      </c>
      <c r="P176" s="187">
        <f>+ROUNDUP(O176,0)</f>
        <v>12</v>
      </c>
      <c r="Q176" s="187">
        <f>+E176+E176/6*50*(G71/1000)</f>
        <v>9.3166666666666664</v>
      </c>
      <c r="R176" s="294">
        <f>+N176*M176+P176*Q176</f>
        <v>203.95999999999998</v>
      </c>
      <c r="S176" s="185">
        <f>((I71*I71)/162)*R176</f>
        <v>125.90123456790121</v>
      </c>
      <c r="T176" s="153" t="s">
        <v>193</v>
      </c>
    </row>
    <row r="177" spans="2:20" hidden="1">
      <c r="C177" s="153" t="s">
        <v>218</v>
      </c>
      <c r="D177" s="190">
        <f>ROUNDUP(+(E176/SQRT(L71^2+M71^2)),0)</f>
        <v>23</v>
      </c>
      <c r="E177" s="291"/>
      <c r="G177" s="295"/>
      <c r="H177" s="295"/>
      <c r="I177" s="190"/>
      <c r="J177" s="190">
        <f>0.5*(0.075+0.05)*0.075*C71*D177</f>
        <v>8.6249999999999993E-2</v>
      </c>
      <c r="K177" s="190">
        <f>+M71*C71*D177</f>
        <v>5.0600000000000005</v>
      </c>
      <c r="L177" s="296"/>
      <c r="M177" s="187">
        <f>+ROUNDUP(L177,0)</f>
        <v>0</v>
      </c>
      <c r="N177" s="193"/>
      <c r="O177" s="296"/>
      <c r="P177" s="194"/>
      <c r="Q177" s="194"/>
      <c r="R177" s="294">
        <f>+N177*M177+P177*Q177</f>
        <v>0</v>
      </c>
      <c r="S177" s="185">
        <f>((I71*I71)/162)*R177</f>
        <v>0</v>
      </c>
    </row>
    <row r="178" spans="2:20" hidden="1">
      <c r="C178" s="153" t="s">
        <v>219</v>
      </c>
      <c r="D178" s="153">
        <f>ROUNDUP(+E176/1,0)</f>
        <v>9</v>
      </c>
      <c r="H178" s="190"/>
    </row>
    <row r="179" spans="2:20" hidden="1"/>
    <row r="180" spans="2:20" hidden="1">
      <c r="B180" s="206" t="s">
        <v>216</v>
      </c>
      <c r="C180" s="177" t="s">
        <v>223</v>
      </c>
      <c r="E180" s="291">
        <v>13.83</v>
      </c>
      <c r="G180" s="292">
        <f>+E180*(C75+E75*2+1)</f>
        <v>31.1175</v>
      </c>
      <c r="H180" s="292">
        <f>(+E180*(C75+E75*2)*(D75+F75+F75))*50%</f>
        <v>9.5081250000000015</v>
      </c>
      <c r="I180" s="185">
        <f>+(C75+E75*2)*E180*F75</f>
        <v>0.86437500000000012</v>
      </c>
      <c r="J180" s="185">
        <f>+E180*((C75+E75*2+0.06)*E75+(D75*E75*2))</f>
        <v>5.7221625000000005</v>
      </c>
      <c r="K180" s="185">
        <f>+(D75+(D75+E75))*E180*2</f>
        <v>58.777500000000003</v>
      </c>
      <c r="L180" s="293">
        <f>+(E180)/H75+ IF(E180&gt;0,1,0)</f>
        <v>56.32</v>
      </c>
      <c r="M180" s="187">
        <f>+ROUNDUP(L180,0)</f>
        <v>57</v>
      </c>
      <c r="N180" s="188">
        <f>+(D75+E75-0.08)*2+(C75+E75*2-0.08)</f>
        <v>3.26</v>
      </c>
      <c r="O180" s="293">
        <f>+N180/J75+1</f>
        <v>14.04</v>
      </c>
      <c r="P180" s="187">
        <f>+ROUNDUP(O180,0)</f>
        <v>15</v>
      </c>
      <c r="Q180" s="187">
        <f>+E180+E180/6*50*(G75/1000)</f>
        <v>14.9825</v>
      </c>
      <c r="R180" s="294">
        <f>+N180*M180+P180*Q180</f>
        <v>410.5575</v>
      </c>
      <c r="S180" s="185">
        <f>((I75*I75)/162)*R180</f>
        <v>253.43055555555554</v>
      </c>
      <c r="T180" s="153" t="s">
        <v>193</v>
      </c>
    </row>
    <row r="181" spans="2:20" hidden="1">
      <c r="C181" s="153" t="s">
        <v>218</v>
      </c>
      <c r="D181" s="190">
        <f>ROUNDUP(+(E180/SQRT(L75^2+M75^2)),0)</f>
        <v>36</v>
      </c>
      <c r="E181" s="291"/>
      <c r="G181" s="295"/>
      <c r="H181" s="295"/>
      <c r="I181" s="190"/>
      <c r="J181" s="190">
        <f>0.5*(0.075+0.05)*0.075*C75*D181</f>
        <v>0.16874999999999998</v>
      </c>
      <c r="K181" s="190">
        <f>+M75*C75*D181</f>
        <v>9.9</v>
      </c>
      <c r="L181" s="296"/>
      <c r="M181" s="187">
        <f>+ROUNDUP(L181,0)</f>
        <v>0</v>
      </c>
      <c r="N181" s="193"/>
      <c r="O181" s="296"/>
      <c r="P181" s="194"/>
      <c r="Q181" s="194"/>
      <c r="R181" s="294">
        <f>+N181*M181+P181*Q181</f>
        <v>0</v>
      </c>
      <c r="S181" s="185">
        <f>((I75*I75)/162)*R181</f>
        <v>0</v>
      </c>
    </row>
    <row r="182" spans="2:20" hidden="1">
      <c r="C182" s="153" t="s">
        <v>219</v>
      </c>
      <c r="D182" s="153">
        <f>ROUNDUP(+E180/1,0)</f>
        <v>14</v>
      </c>
    </row>
    <row r="183" spans="2:20" hidden="1"/>
    <row r="184" spans="2:20" hidden="1">
      <c r="B184" s="204" t="s">
        <v>224</v>
      </c>
      <c r="C184" s="177" t="s">
        <v>217</v>
      </c>
      <c r="E184" s="291">
        <v>100</v>
      </c>
      <c r="G184" s="292">
        <f>+E184*(C79+E79*2+1)</f>
        <v>165</v>
      </c>
      <c r="H184" s="292">
        <f>0.5*L79*M79*D185</f>
        <v>20.25</v>
      </c>
      <c r="I184" s="185">
        <f>+(L79*(C79+2*E79)*D185*E79)</f>
        <v>5.8500000000000014</v>
      </c>
      <c r="J184" s="185">
        <f>+D185*(L79+M79)*E79*(C79+2*E79)+D185*((L79+M79)*E79*D79)*2</f>
        <v>20.925000000000001</v>
      </c>
      <c r="K184" s="185">
        <f>+(D79+(D79+E79))*E184*2</f>
        <v>200</v>
      </c>
      <c r="L184" s="293">
        <f>+(D185*(L79+M79))/H79+ IF(E184&gt;0,1,0)</f>
        <v>541</v>
      </c>
      <c r="M184" s="187">
        <f>+ROUNDUP(L184,0)</f>
        <v>541</v>
      </c>
      <c r="N184" s="188">
        <f>+(D79+E79-0.08)*2+(C79+E79*2-0.08)</f>
        <v>1.5100000000000002</v>
      </c>
      <c r="O184" s="293">
        <f>+N184/J79+1</f>
        <v>7.0400000000000009</v>
      </c>
      <c r="P184" s="187">
        <f>+ROUNDUP(O184,0)</f>
        <v>8</v>
      </c>
      <c r="Q184" s="187">
        <f>+(L79+M79-2*0.04)*D185+(((L79+M79-2*0.04)*D185)/6*50*(I79/1000))</f>
        <v>137.58333333333334</v>
      </c>
      <c r="R184" s="294">
        <f>+N184*M184+P184*Q184</f>
        <v>1917.5766666666668</v>
      </c>
      <c r="S184" s="185">
        <f>((I79*I79)/162)*R184</f>
        <v>1183.6893004115227</v>
      </c>
      <c r="T184" s="153" t="s">
        <v>193</v>
      </c>
    </row>
    <row r="185" spans="2:20" hidden="1">
      <c r="C185" s="153" t="s">
        <v>218</v>
      </c>
      <c r="D185" s="190">
        <f>ROUNDUP(+(E184/SQRT(L79^2+M79^2)),0)</f>
        <v>100</v>
      </c>
      <c r="E185" s="291"/>
      <c r="G185" s="295"/>
      <c r="H185" s="295"/>
      <c r="I185" s="190"/>
      <c r="J185" s="190"/>
      <c r="K185" s="190"/>
      <c r="L185" s="296"/>
      <c r="M185" s="187"/>
      <c r="N185" s="193"/>
      <c r="O185" s="296"/>
      <c r="P185" s="194"/>
      <c r="Q185" s="194"/>
      <c r="R185" s="294"/>
      <c r="S185" s="185"/>
    </row>
    <row r="186" spans="2:20" hidden="1">
      <c r="C186" s="153" t="s">
        <v>219</v>
      </c>
      <c r="D186" s="153">
        <f>ROUNDUP(+E184/1,0)</f>
        <v>100</v>
      </c>
    </row>
    <row r="187" spans="2:20" hidden="1"/>
    <row r="188" spans="2:20" hidden="1">
      <c r="B188" s="204" t="s">
        <v>224</v>
      </c>
      <c r="C188" s="177" t="s">
        <v>220</v>
      </c>
      <c r="E188" s="291">
        <v>28.19</v>
      </c>
      <c r="G188" s="292">
        <f>+E188*(C83+E83*2+1)</f>
        <v>46.513500000000001</v>
      </c>
      <c r="H188" s="292">
        <f>0.5*L83*M83*D189</f>
        <v>5.8725000000000005</v>
      </c>
      <c r="I188" s="185">
        <f>+(L83*(C83+2*E83)*D189*E83)</f>
        <v>1.6965000000000003</v>
      </c>
      <c r="J188" s="185">
        <f>+D189*(L83+M83)*E83*(C83+2*E83)+D189*((L83+M83)*E83*D83)*2</f>
        <v>7.2427500000000009</v>
      </c>
      <c r="K188" s="185">
        <f>+(D83+(D83+E83))*E188*2</f>
        <v>73.293999999999997</v>
      </c>
      <c r="L188" s="293">
        <f>+(D189*(L83+M83))/H83+ IF(E188&gt;0,1,0)</f>
        <v>157.60000000000002</v>
      </c>
      <c r="M188" s="187">
        <f>+ROUNDUP(L188,0)</f>
        <v>158</v>
      </c>
      <c r="N188" s="188">
        <f>+(D83+E83-0.08)*2+(C83+E83*2-0.08)</f>
        <v>1.81</v>
      </c>
      <c r="O188" s="293">
        <f>+N188/J83+1</f>
        <v>8.24</v>
      </c>
      <c r="P188" s="187">
        <f>+ROUNDUP(O188,0)</f>
        <v>9</v>
      </c>
      <c r="Q188" s="187">
        <f>+(L83+M83-2*0.04)*D189+(((L83+M83-2*0.04)*D189)/6*50*(I83/1000))</f>
        <v>39.899166666666666</v>
      </c>
      <c r="R188" s="294">
        <f>+N188*M188+P188*Q188</f>
        <v>645.07249999999999</v>
      </c>
      <c r="S188" s="185">
        <f>((I83*I83)/162)*R188</f>
        <v>398.1929012345679</v>
      </c>
      <c r="T188" s="153" t="s">
        <v>193</v>
      </c>
    </row>
    <row r="189" spans="2:20" hidden="1">
      <c r="C189" s="153" t="s">
        <v>218</v>
      </c>
      <c r="D189" s="190">
        <f>ROUNDUP(+(E188/SQRT(L83^2+M83^2)),0)</f>
        <v>29</v>
      </c>
      <c r="E189" s="291"/>
      <c r="G189" s="295"/>
      <c r="H189" s="295"/>
      <c r="I189" s="190"/>
      <c r="J189" s="190"/>
      <c r="K189" s="190"/>
      <c r="L189" s="296"/>
      <c r="M189" s="187"/>
      <c r="N189" s="193"/>
      <c r="O189" s="296"/>
      <c r="P189" s="194"/>
      <c r="Q189" s="194"/>
      <c r="R189" s="294"/>
      <c r="S189" s="185"/>
    </row>
    <row r="190" spans="2:20" hidden="1">
      <c r="C190" s="153" t="s">
        <v>219</v>
      </c>
      <c r="D190" s="153">
        <f>ROUNDUP(+E188/1,0)</f>
        <v>29</v>
      </c>
    </row>
    <row r="191" spans="2:20" hidden="1"/>
    <row r="192" spans="2:20" hidden="1">
      <c r="B192" s="204" t="s">
        <v>224</v>
      </c>
      <c r="C192" s="177" t="s">
        <v>221</v>
      </c>
      <c r="E192" s="291">
        <v>100</v>
      </c>
      <c r="G192" s="292">
        <f>+E192*(C87+E87*2+1)</f>
        <v>180</v>
      </c>
      <c r="H192" s="292">
        <f>0.5*L87*M87*D193</f>
        <v>20.25</v>
      </c>
      <c r="I192" s="185">
        <f>+(L87*(C87+2*E87)*D193*E87)</f>
        <v>7.200000000000002</v>
      </c>
      <c r="J192" s="185">
        <f>+D193*(L87+M87)*E87*(C87+2*E87)+D193*((L87+M87)*E87*D87)*2</f>
        <v>27</v>
      </c>
      <c r="K192" s="185">
        <f>+(D87+(D87+E87))*E192*2</f>
        <v>259.99999999999994</v>
      </c>
      <c r="L192" s="293">
        <f>+(D193*(L87+M87))/H87+ IF(E192&gt;0,1,0)</f>
        <v>541</v>
      </c>
      <c r="M192" s="187">
        <f>+ROUNDUP(L192,0)</f>
        <v>541</v>
      </c>
      <c r="N192" s="188">
        <f>+(D87+E87-0.08)*2+(C87+E87*2-0.08)</f>
        <v>1.96</v>
      </c>
      <c r="O192" s="293">
        <f>+N192/J87+1</f>
        <v>8.84</v>
      </c>
      <c r="P192" s="187">
        <f>+ROUNDUP(O192,0)</f>
        <v>9</v>
      </c>
      <c r="Q192" s="187">
        <f>+(L87+M87-2*0.04)*D193+(((L87+M87-2*0.04)*D193)/6*50*(I87/1000))</f>
        <v>137.58333333333334</v>
      </c>
      <c r="R192" s="294">
        <f>+N192*M192+P192*Q192</f>
        <v>2298.6099999999997</v>
      </c>
      <c r="S192" s="185">
        <f>((I87*I87)/162)*R192</f>
        <v>1418.8950617283947</v>
      </c>
      <c r="T192" s="153" t="s">
        <v>193</v>
      </c>
    </row>
    <row r="193" spans="2:20" hidden="1">
      <c r="C193" s="153" t="s">
        <v>218</v>
      </c>
      <c r="D193" s="190">
        <f>ROUNDUP(+(E192/SQRT(L87^2+M87^2)),0)</f>
        <v>100</v>
      </c>
      <c r="E193" s="291"/>
      <c r="G193" s="295"/>
      <c r="H193" s="295"/>
      <c r="I193" s="190"/>
      <c r="J193" s="190"/>
      <c r="K193" s="190"/>
      <c r="L193" s="296"/>
      <c r="M193" s="187"/>
      <c r="N193" s="193"/>
      <c r="O193" s="296"/>
      <c r="P193" s="194"/>
      <c r="Q193" s="194"/>
      <c r="R193" s="294"/>
      <c r="S193" s="185"/>
    </row>
    <row r="194" spans="2:20" hidden="1">
      <c r="C194" s="153" t="s">
        <v>219</v>
      </c>
      <c r="D194" s="153">
        <f>ROUNDUP(+E192/1,0)</f>
        <v>100</v>
      </c>
    </row>
    <row r="195" spans="2:20" hidden="1"/>
    <row r="196" spans="2:20" hidden="1">
      <c r="B196" s="204" t="s">
        <v>224</v>
      </c>
      <c r="C196" s="177" t="s">
        <v>222</v>
      </c>
      <c r="E196" s="291">
        <v>100</v>
      </c>
      <c r="G196" s="292">
        <f>+E196*(C91+E91*2+1)</f>
        <v>200</v>
      </c>
      <c r="H196" s="292">
        <f>0.5*L91*M91*D197</f>
        <v>20.25</v>
      </c>
      <c r="I196" s="185">
        <f>+(L91*(C91+2*E91)*D197*E91)</f>
        <v>9</v>
      </c>
      <c r="J196" s="185">
        <f>+D197*(L91+M91)*E91*(C91+2*E91)+D197*((L91+M91)*E91*D91)*2</f>
        <v>35.1</v>
      </c>
      <c r="K196" s="185">
        <f>+(D91+(D91+E91))*E196*2</f>
        <v>340.00000000000006</v>
      </c>
      <c r="L196" s="293">
        <f>+(D197*(L91+M91))/H91+ IF(E196&gt;0,1,0)</f>
        <v>541</v>
      </c>
      <c r="M196" s="187">
        <f>+ROUNDUP(L196,0)</f>
        <v>541</v>
      </c>
      <c r="N196" s="188">
        <f>+(D91+E91-0.08)*2+(C91+E91*2-0.08)</f>
        <v>2.56</v>
      </c>
      <c r="O196" s="293">
        <f>+N196/J91+1</f>
        <v>11.24</v>
      </c>
      <c r="P196" s="187">
        <f>+ROUNDUP(O196,0)</f>
        <v>12</v>
      </c>
      <c r="Q196" s="187">
        <f>+(L91+M91-2*0.04)*D197+(((L91+M91-2*0.04)*D197)/6*50*(I91/1000))</f>
        <v>137.58333333333334</v>
      </c>
      <c r="R196" s="294">
        <f>+N196*M196+P196*Q196</f>
        <v>3035.96</v>
      </c>
      <c r="S196" s="185">
        <f>((I91*I91)/162)*R196</f>
        <v>1874.0493827160492</v>
      </c>
      <c r="T196" s="153" t="s">
        <v>193</v>
      </c>
    </row>
    <row r="197" spans="2:20" hidden="1">
      <c r="C197" s="153" t="s">
        <v>218</v>
      </c>
      <c r="D197" s="190">
        <f>ROUNDUP(+(E196/SQRT(L91^2+M91^2)),0)</f>
        <v>100</v>
      </c>
      <c r="E197" s="291"/>
      <c r="G197" s="295"/>
      <c r="H197" s="295"/>
      <c r="I197" s="190"/>
      <c r="J197" s="190"/>
      <c r="K197" s="190"/>
      <c r="L197" s="296"/>
      <c r="M197" s="187"/>
      <c r="N197" s="193"/>
      <c r="O197" s="296"/>
      <c r="P197" s="194"/>
      <c r="Q197" s="194"/>
      <c r="R197" s="294"/>
      <c r="S197" s="185"/>
    </row>
    <row r="198" spans="2:20" hidden="1">
      <c r="C198" s="153" t="s">
        <v>219</v>
      </c>
      <c r="D198" s="153">
        <f>ROUNDUP(+E196/1,0)</f>
        <v>100</v>
      </c>
    </row>
    <row r="199" spans="2:20" hidden="1"/>
    <row r="200" spans="2:20" hidden="1">
      <c r="B200" s="204" t="s">
        <v>224</v>
      </c>
      <c r="C200" s="177" t="s">
        <v>225</v>
      </c>
      <c r="E200" s="291">
        <f>(22.38+21.09+22.47+16.84)*1.06418</f>
        <v>88.092820399999994</v>
      </c>
      <c r="G200" s="292">
        <f>+E200*(C95+E95*2+1)</f>
        <v>198.20884589999997</v>
      </c>
      <c r="H200" s="292">
        <f>0.5*L95*M95*D201</f>
        <v>17.82</v>
      </c>
      <c r="I200" s="185">
        <f>+(L95*(C95+2*E95)*D201*E95)</f>
        <v>12.375</v>
      </c>
      <c r="J200" s="185">
        <f>+D201*(L95+M95)*E95*(C95+2*E95)+D201*((L95+M95)*E95*D95)*2</f>
        <v>40.837500000000006</v>
      </c>
      <c r="K200" s="185">
        <f>+(D95+(D95+E95))*E200*2</f>
        <v>286.30166629999997</v>
      </c>
      <c r="L200" s="293">
        <f>+(D201*(L95+M95))/H95+ IF(E200&gt;0,1,0)</f>
        <v>476.20000000000005</v>
      </c>
      <c r="M200" s="187">
        <f>+ROUNDUP(L200,0)</f>
        <v>477</v>
      </c>
      <c r="N200" s="188">
        <f>+(D95+E95-0.08)*2+(C95+E95*2-0.08)</f>
        <v>2.76</v>
      </c>
      <c r="O200" s="293">
        <f>+N200/J95+1</f>
        <v>12.04</v>
      </c>
      <c r="P200" s="187">
        <f>+ROUNDUP(O200,0)</f>
        <v>13</v>
      </c>
      <c r="Q200" s="187">
        <f>+(L95+M95-2*0.04)*D201+(((L95+M95-2*0.04)*D201)/6*50*(I95/1000))</f>
        <v>121.07333333333334</v>
      </c>
      <c r="R200" s="294">
        <f>+N200*M200+P200*Q200</f>
        <v>2890.4733333333334</v>
      </c>
      <c r="S200" s="185">
        <f>((I95*I95)/162)*R200</f>
        <v>1784.2427983539094</v>
      </c>
      <c r="T200" s="153" t="s">
        <v>193</v>
      </c>
    </row>
    <row r="201" spans="2:20" hidden="1">
      <c r="C201" s="153" t="s">
        <v>218</v>
      </c>
      <c r="D201" s="190">
        <f>ROUNDUP(+(E200/SQRT(L95^2+M95^2)),0)</f>
        <v>88</v>
      </c>
      <c r="E201" s="291"/>
      <c r="G201" s="295"/>
      <c r="H201" s="295"/>
      <c r="I201" s="190"/>
      <c r="J201" s="190">
        <f>0.5*(0.075+0.05)*0.075*C95*D201</f>
        <v>0.41249999999999998</v>
      </c>
      <c r="K201" s="190">
        <f>D201*C95*M95</f>
        <v>39.6</v>
      </c>
      <c r="L201" s="296"/>
      <c r="M201" s="187"/>
      <c r="N201" s="193"/>
      <c r="O201" s="296"/>
      <c r="P201" s="194"/>
      <c r="Q201" s="194"/>
      <c r="R201" s="294"/>
      <c r="S201" s="185"/>
    </row>
    <row r="202" spans="2:20" hidden="1">
      <c r="C202" s="153" t="s">
        <v>219</v>
      </c>
      <c r="D202" s="153">
        <f>ROUNDUP(+E200/1,0)</f>
        <v>89</v>
      </c>
    </row>
    <row r="203" spans="2:20" hidden="1">
      <c r="G203" s="205" t="s">
        <v>226</v>
      </c>
      <c r="H203" s="205" t="s">
        <v>227</v>
      </c>
      <c r="I203" s="205" t="s">
        <v>89</v>
      </c>
    </row>
    <row r="204" spans="2:20" hidden="1"/>
    <row r="205" spans="2:20" hidden="1">
      <c r="B205" s="201"/>
      <c r="E205" s="201"/>
    </row>
    <row r="206" spans="2:20" hidden="1"/>
    <row r="207" spans="2:20" hidden="1">
      <c r="E207" s="201"/>
    </row>
    <row r="208" spans="2:20" hidden="1"/>
    <row r="209" spans="5:5" hidden="1">
      <c r="E209" s="201"/>
    </row>
    <row r="210" spans="5:5" hidden="1"/>
    <row r="211" spans="5:5" hidden="1">
      <c r="E211" s="201"/>
    </row>
    <row r="212" spans="5:5" hidden="1"/>
    <row r="213" spans="5:5" hidden="1"/>
    <row r="214" spans="5:5" hidden="1"/>
    <row r="215" spans="5:5" hidden="1"/>
    <row r="216" spans="5:5" hidden="1"/>
    <row r="217" spans="5:5" hidden="1"/>
    <row r="218" spans="5:5" hidden="1"/>
    <row r="219" spans="5:5" hidden="1"/>
    <row r="220" spans="5:5" hidden="1"/>
    <row r="221" spans="5:5" hidden="1"/>
    <row r="222" spans="5:5" hidden="1"/>
    <row r="223" spans="5:5" hidden="1"/>
    <row r="224" spans="5:5" hidden="1"/>
    <row r="225" spans="2:7" hidden="1"/>
    <row r="226" spans="2:7" hidden="1">
      <c r="B226" s="201" t="s">
        <v>195</v>
      </c>
    </row>
    <row r="227" spans="2:7" ht="28.8" hidden="1">
      <c r="B227" s="206" t="s">
        <v>228</v>
      </c>
      <c r="C227" s="207"/>
    </row>
    <row r="228" spans="2:7" hidden="1"/>
    <row r="229" spans="2:7" hidden="1">
      <c r="B229" s="153" t="s">
        <v>229</v>
      </c>
      <c r="C229" s="190"/>
    </row>
    <row r="230" spans="2:7" hidden="1">
      <c r="B230" s="153" t="s">
        <v>230</v>
      </c>
      <c r="C230" s="153">
        <v>0.5</v>
      </c>
    </row>
    <row r="231" spans="2:7" hidden="1">
      <c r="C231" s="190"/>
    </row>
    <row r="232" spans="2:7" hidden="1">
      <c r="B232" s="153" t="s">
        <v>231</v>
      </c>
      <c r="C232" s="153">
        <f>ROUNDUP(C227/C230,0)</f>
        <v>0</v>
      </c>
    </row>
    <row r="233" spans="2:7" hidden="1"/>
    <row r="234" spans="2:7" hidden="1"/>
    <row r="235" spans="2:7" hidden="1">
      <c r="B235" s="153" t="s">
        <v>232</v>
      </c>
      <c r="C235" s="153">
        <f>C232*0.16*0.5</f>
        <v>0</v>
      </c>
      <c r="E235" s="201" t="s">
        <v>233</v>
      </c>
    </row>
    <row r="236" spans="2:7" hidden="1">
      <c r="B236" s="153" t="s">
        <v>119</v>
      </c>
      <c r="C236" s="153">
        <f>((0.16*2)+(0.15*0.5*2))*C232</f>
        <v>0</v>
      </c>
    </row>
    <row r="237" spans="2:7" hidden="1"/>
    <row r="238" spans="2:7" hidden="1">
      <c r="B238" s="153" t="s">
        <v>234</v>
      </c>
      <c r="C238" s="296">
        <v>2.12</v>
      </c>
      <c r="D238" s="309">
        <f>ROUNDUP(0.5/0.125,0)+1</f>
        <v>5</v>
      </c>
      <c r="E238" s="153">
        <f>C232</f>
        <v>0</v>
      </c>
      <c r="F238" s="153">
        <v>1.1000000000000001</v>
      </c>
      <c r="G238" s="153">
        <f>PRODUCT(C238:F238)</f>
        <v>0</v>
      </c>
    </row>
    <row r="239" spans="2:7" hidden="1">
      <c r="C239" s="153">
        <v>0.5</v>
      </c>
      <c r="D239" s="309">
        <f>ROUNDUP(C238/0.2+1,0)</f>
        <v>12</v>
      </c>
      <c r="E239" s="153">
        <f>C232</f>
        <v>0</v>
      </c>
      <c r="F239" s="153">
        <v>1.1000000000000001</v>
      </c>
      <c r="G239" s="153">
        <f>PRODUCT(C239:F239)</f>
        <v>0</v>
      </c>
    </row>
    <row r="240" spans="2:7" hidden="1"/>
    <row r="241" spans="2:10" hidden="1">
      <c r="G241" s="153">
        <f>SUM(G238:G240)</f>
        <v>0</v>
      </c>
      <c r="H241" s="153">
        <f>ROUND(100/162,3)</f>
        <v>0.61699999999999999</v>
      </c>
      <c r="J241" s="296">
        <f>ROUNDUP(PRODUCT(G241:H241),0)</f>
        <v>0</v>
      </c>
    </row>
    <row r="242" spans="2:10" hidden="1"/>
    <row r="243" spans="2:10" hidden="1"/>
    <row r="244" spans="2:10" hidden="1"/>
    <row r="245" spans="2:10" hidden="1"/>
    <row r="246" spans="2:10" hidden="1"/>
    <row r="247" spans="2:10" hidden="1"/>
    <row r="248" spans="2:10" hidden="1">
      <c r="B248" s="201" t="s">
        <v>235</v>
      </c>
    </row>
    <row r="249" spans="2:10" hidden="1">
      <c r="C249" s="201" t="s">
        <v>226</v>
      </c>
      <c r="D249" s="201" t="s">
        <v>392</v>
      </c>
      <c r="F249" s="201" t="s">
        <v>393</v>
      </c>
    </row>
    <row r="250" spans="2:10" hidden="1">
      <c r="B250" s="201" t="s">
        <v>394</v>
      </c>
      <c r="C250" s="190">
        <f>E106</f>
        <v>130.11000000000001</v>
      </c>
      <c r="D250" s="190">
        <f>(C6+E6+E6)</f>
        <v>0.5</v>
      </c>
      <c r="F250" s="153">
        <f>C250*D250</f>
        <v>65.055000000000007</v>
      </c>
      <c r="G250" s="153">
        <v>1.1000000000000001</v>
      </c>
      <c r="H250" s="153">
        <f>F250*G250</f>
        <v>71.560500000000019</v>
      </c>
    </row>
    <row r="251" spans="2:10" hidden="1"/>
    <row r="252" spans="2:10" hidden="1"/>
    <row r="253" spans="2:10" hidden="1"/>
    <row r="254" spans="2:10" hidden="1"/>
    <row r="255" spans="2:10" hidden="1"/>
    <row r="256" spans="2:10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spans="2:4" hidden="1"/>
    <row r="365" spans="2:4">
      <c r="B365" s="1"/>
      <c r="C365" s="1"/>
      <c r="D365" s="1"/>
    </row>
    <row r="366" spans="2:4">
      <c r="B366" s="1"/>
      <c r="C366" s="1"/>
      <c r="D366" s="1"/>
    </row>
    <row r="367" spans="2:4">
      <c r="B367" s="1"/>
      <c r="C367" s="1"/>
      <c r="D367" s="1"/>
    </row>
    <row r="368" spans="2:4">
      <c r="B368" s="1"/>
      <c r="C368" s="1"/>
      <c r="D368" s="1"/>
    </row>
  </sheetData>
  <mergeCells count="10">
    <mergeCell ref="L105:M105"/>
    <mergeCell ref="O105:P105"/>
    <mergeCell ref="H3:J3"/>
    <mergeCell ref="T6:U6"/>
    <mergeCell ref="W7:W17"/>
    <mergeCell ref="W18:W20"/>
    <mergeCell ref="L103:S103"/>
    <mergeCell ref="L104:N104"/>
    <mergeCell ref="O104:Q104"/>
    <mergeCell ref="R104:S104"/>
  </mergeCells>
  <pageMargins left="0.7" right="0.7" top="0.75" bottom="0.75" header="0.3" footer="0.3"/>
  <pageSetup paperSize="9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299DE-4457-4A93-9914-D91353A2A941}">
  <dimension ref="A1:N31"/>
  <sheetViews>
    <sheetView workbookViewId="0">
      <selection activeCell="F15" sqref="F15"/>
    </sheetView>
  </sheetViews>
  <sheetFormatPr defaultColWidth="9.109375" defaultRowHeight="14.4"/>
  <cols>
    <col min="1" max="1" width="15.6640625" style="1" bestFit="1" customWidth="1"/>
    <col min="2" max="2" width="9.109375" style="1"/>
    <col min="3" max="3" width="11.5546875" style="1" bestFit="1" customWidth="1"/>
    <col min="4" max="5" width="9.109375" style="1"/>
    <col min="6" max="6" width="13.44140625" style="1" bestFit="1" customWidth="1"/>
    <col min="7" max="7" width="9.109375" style="1"/>
    <col min="8" max="8" width="11" style="1" bestFit="1" customWidth="1"/>
    <col min="9" max="9" width="11.6640625" style="1" bestFit="1" customWidth="1"/>
    <col min="10" max="10" width="15.5546875" style="1" bestFit="1" customWidth="1"/>
    <col min="11" max="11" width="17.88671875" style="1" bestFit="1" customWidth="1"/>
    <col min="12" max="12" width="11.5546875" style="1" bestFit="1" customWidth="1"/>
    <col min="13" max="14" width="9.109375" style="1"/>
    <col min="15" max="15" width="11.5546875" style="1" bestFit="1" customWidth="1"/>
    <col min="16" max="16384" width="9.109375" style="1"/>
  </cols>
  <sheetData>
    <row r="1" spans="1:14">
      <c r="A1" s="310" t="s">
        <v>587</v>
      </c>
    </row>
    <row r="3" spans="1:14">
      <c r="A3" s="2" t="s">
        <v>0</v>
      </c>
      <c r="B3" s="2"/>
      <c r="C3" s="2" t="s">
        <v>1</v>
      </c>
      <c r="D3" s="2"/>
      <c r="E3" s="2"/>
      <c r="F3" s="2" t="s">
        <v>396</v>
      </c>
      <c r="G3" s="2"/>
      <c r="H3" s="2" t="s">
        <v>515</v>
      </c>
      <c r="I3" s="3" t="s">
        <v>516</v>
      </c>
      <c r="M3" s="2"/>
      <c r="N3" s="2"/>
    </row>
    <row r="5" spans="1:14">
      <c r="A5" s="1" t="s">
        <v>3</v>
      </c>
      <c r="C5" s="1">
        <v>74</v>
      </c>
      <c r="F5" s="1" t="s">
        <v>581</v>
      </c>
      <c r="H5" s="1">
        <v>9.18</v>
      </c>
      <c r="I5" s="1">
        <v>10.7</v>
      </c>
    </row>
    <row r="6" spans="1:14">
      <c r="A6" s="1" t="s">
        <v>4</v>
      </c>
      <c r="C6" s="1">
        <v>78.150000000000006</v>
      </c>
      <c r="F6" s="1" t="s">
        <v>579</v>
      </c>
      <c r="H6" s="1">
        <v>11.73</v>
      </c>
      <c r="I6" s="1">
        <f>(10.7+13.47)/2</f>
        <v>12.085000000000001</v>
      </c>
    </row>
    <row r="7" spans="1:14">
      <c r="A7" s="1" t="s">
        <v>2</v>
      </c>
      <c r="C7" s="1">
        <f>19.5*2</f>
        <v>39</v>
      </c>
      <c r="F7" s="1" t="s">
        <v>580</v>
      </c>
      <c r="H7" s="1">
        <v>12.45</v>
      </c>
      <c r="I7" s="1">
        <f>(13.47+14.65)/2</f>
        <v>14.06</v>
      </c>
    </row>
    <row r="8" spans="1:14">
      <c r="A8" s="1" t="s">
        <v>517</v>
      </c>
      <c r="C8" s="1">
        <v>71.45</v>
      </c>
      <c r="F8" s="1" t="s">
        <v>506</v>
      </c>
      <c r="H8" s="1">
        <v>7.68</v>
      </c>
      <c r="I8" s="1">
        <v>14.65</v>
      </c>
    </row>
    <row r="10" spans="1:14">
      <c r="F10" s="2" t="s">
        <v>518</v>
      </c>
      <c r="G10" s="2"/>
      <c r="H10" s="2" t="s">
        <v>515</v>
      </c>
      <c r="I10" s="1" t="s">
        <v>403</v>
      </c>
      <c r="J10" s="4" t="s">
        <v>519</v>
      </c>
      <c r="K10" s="5" t="s">
        <v>520</v>
      </c>
      <c r="L10" s="1" t="s">
        <v>404</v>
      </c>
      <c r="M10" s="1" t="s">
        <v>405</v>
      </c>
    </row>
    <row r="12" spans="1:14">
      <c r="A12" s="1" t="s">
        <v>521</v>
      </c>
      <c r="F12" s="1" t="s">
        <v>577</v>
      </c>
      <c r="H12" s="1">
        <v>5.55</v>
      </c>
      <c r="I12" s="1">
        <v>11.91</v>
      </c>
      <c r="J12" s="1">
        <v>6.16</v>
      </c>
      <c r="K12" s="1">
        <v>6.61</v>
      </c>
      <c r="L12" s="1">
        <v>25.7</v>
      </c>
      <c r="M12" s="1">
        <v>18.12</v>
      </c>
    </row>
    <row r="13" spans="1:14">
      <c r="F13" s="1" t="s">
        <v>578</v>
      </c>
      <c r="H13" s="1">
        <v>10.47</v>
      </c>
      <c r="I13" s="1">
        <f>(11.91+10.1)/2</f>
        <v>11.004999999999999</v>
      </c>
      <c r="J13" s="1">
        <f>(6.16+5.69)/2</f>
        <v>5.9250000000000007</v>
      </c>
      <c r="K13" s="1">
        <f>(6.61+11.45)/2</f>
        <v>9.0299999999999994</v>
      </c>
      <c r="L13" s="1">
        <f>(25.7+17.06)/2</f>
        <v>21.38</v>
      </c>
      <c r="M13" s="1">
        <f>(18.12+16.27)/2</f>
        <v>17.195</v>
      </c>
    </row>
    <row r="14" spans="1:14">
      <c r="A14" s="1" t="s">
        <v>406</v>
      </c>
      <c r="C14" s="1">
        <v>105.25</v>
      </c>
      <c r="F14" s="1" t="s">
        <v>379</v>
      </c>
      <c r="H14" s="1">
        <v>10.32</v>
      </c>
      <c r="I14" s="1">
        <f>(10.1+14.66)/2</f>
        <v>12.379999999999999</v>
      </c>
      <c r="J14" s="1">
        <f>(5.69+5.69)/2</f>
        <v>5.69</v>
      </c>
      <c r="K14" s="1">
        <f>(11.45+11.4)/2</f>
        <v>11.425000000000001</v>
      </c>
      <c r="L14" s="1">
        <f>(17.06+22.89)/2</f>
        <v>19.975000000000001</v>
      </c>
      <c r="M14" s="1">
        <f>(16.27+22.15)/2</f>
        <v>19.21</v>
      </c>
    </row>
    <row r="15" spans="1:14">
      <c r="F15" s="1" t="s">
        <v>380</v>
      </c>
      <c r="H15" s="1">
        <v>9.98</v>
      </c>
      <c r="I15" s="1">
        <f>(14.66+18.21)/2</f>
        <v>16.435000000000002</v>
      </c>
      <c r="J15" s="1">
        <f>(5.69+6.06)/2</f>
        <v>5.875</v>
      </c>
      <c r="K15" s="1">
        <f>(11.4+12.61)/2</f>
        <v>12.004999999999999</v>
      </c>
      <c r="L15" s="1">
        <f>(22.89+37.89)/2</f>
        <v>30.39</v>
      </c>
      <c r="M15" s="1">
        <f>(22.15+22.89)/2</f>
        <v>22.52</v>
      </c>
    </row>
    <row r="16" spans="1:14">
      <c r="A16" s="1" t="s">
        <v>408</v>
      </c>
      <c r="B16" s="1" t="s">
        <v>6</v>
      </c>
      <c r="C16" s="1">
        <v>187.75</v>
      </c>
      <c r="F16" s="1" t="s">
        <v>579</v>
      </c>
      <c r="H16" s="1">
        <v>11.73</v>
      </c>
      <c r="I16" s="1">
        <f>(18.21+19.29)/2</f>
        <v>18.75</v>
      </c>
      <c r="J16" s="1">
        <f>(6.06+5.69)/2</f>
        <v>5.875</v>
      </c>
      <c r="K16" s="1">
        <f>(12.61+13.05)/2</f>
        <v>12.83</v>
      </c>
      <c r="L16" s="1">
        <f>(37.89+22.26)/2</f>
        <v>30.075000000000003</v>
      </c>
      <c r="M16" s="1">
        <f>(22.89+26.18)/2</f>
        <v>24.535</v>
      </c>
    </row>
    <row r="17" spans="2:13">
      <c r="B17" s="1" t="s">
        <v>7</v>
      </c>
      <c r="C17" s="1">
        <v>194.6</v>
      </c>
      <c r="F17" s="1" t="s">
        <v>580</v>
      </c>
      <c r="H17" s="1">
        <v>12.92</v>
      </c>
      <c r="I17" s="1">
        <f>(19.29+21.46)/2</f>
        <v>20.375</v>
      </c>
      <c r="J17" s="1">
        <v>5.69</v>
      </c>
      <c r="K17" s="1">
        <f>(13.05+11.33)/2</f>
        <v>12.190000000000001</v>
      </c>
      <c r="L17" s="1">
        <f>(22.26+26.16)/2</f>
        <v>24.21</v>
      </c>
      <c r="M17" s="1">
        <f>(26.18+25.51)/2</f>
        <v>25.844999999999999</v>
      </c>
    </row>
    <row r="18" spans="2:13">
      <c r="F18" s="1" t="s">
        <v>506</v>
      </c>
      <c r="H18" s="1">
        <v>7.78</v>
      </c>
      <c r="I18" s="1">
        <v>21.46</v>
      </c>
      <c r="J18" s="1">
        <v>5.69</v>
      </c>
      <c r="K18" s="1">
        <v>11.33</v>
      </c>
      <c r="L18" s="1">
        <v>26.16</v>
      </c>
      <c r="M18" s="1">
        <v>25.51</v>
      </c>
    </row>
    <row r="26" spans="2:13">
      <c r="C26" s="3" t="s">
        <v>398</v>
      </c>
      <c r="D26" s="316" t="s">
        <v>1</v>
      </c>
      <c r="F26" s="1" t="s">
        <v>411</v>
      </c>
      <c r="G26" s="1" t="s">
        <v>412</v>
      </c>
    </row>
    <row r="27" spans="2:13">
      <c r="C27" s="1">
        <v>66</v>
      </c>
      <c r="D27" s="1" t="s">
        <v>583</v>
      </c>
      <c r="F27" s="1" t="s">
        <v>384</v>
      </c>
      <c r="G27" s="1">
        <v>4.5</v>
      </c>
    </row>
    <row r="28" spans="2:13">
      <c r="C28" s="1">
        <v>40</v>
      </c>
      <c r="D28" s="1" t="s">
        <v>582</v>
      </c>
      <c r="F28" s="1" t="s">
        <v>413</v>
      </c>
      <c r="G28" s="1">
        <v>1</v>
      </c>
    </row>
    <row r="30" spans="2:13">
      <c r="C30" s="1" t="s">
        <v>407</v>
      </c>
      <c r="F30" s="1" t="s">
        <v>588</v>
      </c>
      <c r="G30" s="1">
        <v>8.1999999999999993</v>
      </c>
    </row>
    <row r="31" spans="2:13">
      <c r="C31" s="1">
        <v>4</v>
      </c>
      <c r="D31" s="1" t="s">
        <v>589</v>
      </c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7F1DF-C039-4940-AA55-955C38153EAE}">
  <sheetPr>
    <tabColor rgb="FF002060"/>
    <pageSetUpPr fitToPage="1"/>
  </sheetPr>
  <dimension ref="A1:M36"/>
  <sheetViews>
    <sheetView showGridLines="0" view="pageBreakPreview" zoomScaleNormal="100" zoomScaleSheetLayoutView="100" workbookViewId="0">
      <selection activeCell="F32" sqref="F32"/>
    </sheetView>
  </sheetViews>
  <sheetFormatPr defaultColWidth="9.109375" defaultRowHeight="13.2"/>
  <cols>
    <col min="1" max="1" width="5.6640625" style="21" customWidth="1"/>
    <col min="2" max="2" width="40.6640625" style="22" customWidth="1"/>
    <col min="3" max="3" width="6.6640625" style="21" customWidth="1"/>
    <col min="4" max="4" width="8.6640625" style="23" customWidth="1"/>
    <col min="5" max="5" width="18.5546875" style="24" customWidth="1"/>
    <col min="6" max="6" width="33" style="24" customWidth="1"/>
    <col min="7" max="7" width="1.6640625" style="22" customWidth="1"/>
    <col min="8" max="8" width="17.5546875" style="25" customWidth="1"/>
    <col min="9" max="9" width="13.44140625" style="26" bestFit="1" customWidth="1"/>
    <col min="10" max="10" width="11.6640625" style="25" bestFit="1" customWidth="1"/>
    <col min="11" max="11" width="12.44140625" style="22" bestFit="1" customWidth="1"/>
    <col min="12" max="12" width="13.5546875" style="22" customWidth="1"/>
    <col min="13" max="13" width="14.109375" style="22" customWidth="1"/>
    <col min="14" max="16384" width="9.109375" style="22"/>
  </cols>
  <sheetData>
    <row r="1" spans="1:13" customFormat="1" ht="15.6">
      <c r="A1" s="772" t="s">
        <v>932</v>
      </c>
      <c r="B1" s="773"/>
      <c r="C1" s="773"/>
      <c r="D1" s="773"/>
      <c r="E1" s="773"/>
      <c r="F1" s="774"/>
    </row>
    <row r="2" spans="1:13" customFormat="1" ht="49.2" customHeight="1">
      <c r="A2" s="718" t="s">
        <v>1156</v>
      </c>
      <c r="B2" s="775"/>
      <c r="C2" s="775"/>
      <c r="D2" s="775"/>
      <c r="E2" s="775"/>
      <c r="F2" s="720"/>
    </row>
    <row r="3" spans="1:13" customFormat="1" ht="9" customHeight="1" thickBot="1">
      <c r="A3" s="644"/>
      <c r="B3" s="645"/>
      <c r="C3" s="645"/>
      <c r="D3" s="645"/>
      <c r="E3" s="646"/>
      <c r="F3" s="647"/>
    </row>
    <row r="4" spans="1:13" customFormat="1" ht="15" thickBot="1">
      <c r="A4" s="636"/>
      <c r="B4" s="6" t="s">
        <v>8</v>
      </c>
      <c r="C4" s="6"/>
      <c r="D4" s="7"/>
      <c r="E4" s="8"/>
      <c r="F4" s="637" t="s">
        <v>9</v>
      </c>
    </row>
    <row r="5" spans="1:13" s="11" customFormat="1" ht="24.9" customHeight="1">
      <c r="A5" s="9"/>
      <c r="B5" s="721" t="str">
        <f>'Bill 5.1'!$A$1</f>
        <v>BILL No. 5.1 - SITE CLEARING</v>
      </c>
      <c r="C5" s="721"/>
      <c r="D5" s="721"/>
      <c r="E5" s="722"/>
      <c r="F5" s="10"/>
      <c r="H5" s="12"/>
      <c r="I5" s="13"/>
      <c r="J5" s="12"/>
      <c r="L5" s="14"/>
    </row>
    <row r="6" spans="1:13" s="11" customFormat="1" ht="17.399999999999999" customHeight="1">
      <c r="A6" s="9"/>
      <c r="B6" s="776" t="str">
        <f>'Bill 5.2'!$A$1</f>
        <v>BILL No. 5.2 - EARTHWORKS</v>
      </c>
      <c r="C6" s="776"/>
      <c r="D6" s="776"/>
      <c r="E6" s="777"/>
      <c r="F6" s="10"/>
      <c r="H6" s="12"/>
      <c r="I6" s="13"/>
      <c r="J6" s="12"/>
      <c r="L6" s="14"/>
    </row>
    <row r="7" spans="1:13" s="11" customFormat="1" ht="24.9" customHeight="1" thickBot="1">
      <c r="A7" s="9"/>
      <c r="B7" s="776" t="str">
        <f>'Bill 5.3'!$A$1</f>
        <v>BILL No.5.3 - STRUCTURE CONSTRUCTION</v>
      </c>
      <c r="C7" s="776"/>
      <c r="D7" s="776"/>
      <c r="E7" s="777"/>
      <c r="F7" s="10"/>
      <c r="H7" s="12"/>
      <c r="I7" s="13"/>
      <c r="J7" s="12"/>
      <c r="L7" s="14"/>
    </row>
    <row r="8" spans="1:13" s="11" customFormat="1" ht="24.9" customHeight="1" thickBot="1">
      <c r="A8" s="15"/>
      <c r="B8" s="723" t="s">
        <v>12</v>
      </c>
      <c r="C8" s="723"/>
      <c r="D8" s="723"/>
      <c r="E8" s="724"/>
      <c r="F8" s="16"/>
      <c r="H8" s="12"/>
      <c r="I8" s="17"/>
      <c r="J8" s="12"/>
      <c r="K8" s="14"/>
      <c r="M8" s="12"/>
    </row>
    <row r="9" spans="1:13" s="11" customFormat="1">
      <c r="A9" s="18"/>
      <c r="C9" s="18"/>
      <c r="D9" s="19"/>
      <c r="E9" s="20"/>
      <c r="F9" s="20"/>
      <c r="H9" s="12"/>
      <c r="I9" s="13"/>
      <c r="J9" s="12"/>
    </row>
    <row r="10" spans="1:13" s="11" customFormat="1">
      <c r="A10" s="18"/>
      <c r="C10" s="18"/>
      <c r="D10" s="19"/>
      <c r="E10" s="20"/>
      <c r="F10" s="20"/>
      <c r="H10" s="12"/>
      <c r="I10" s="13"/>
      <c r="J10" s="12"/>
    </row>
    <row r="11" spans="1:13" s="11" customFormat="1" ht="38.4" customHeight="1">
      <c r="A11" s="18"/>
      <c r="C11" s="18"/>
      <c r="D11" s="19"/>
      <c r="E11" s="20"/>
      <c r="F11" s="20"/>
      <c r="H11" s="12"/>
      <c r="I11" s="13"/>
      <c r="J11" s="12"/>
    </row>
    <row r="12" spans="1:13" s="11" customFormat="1" ht="38.4" customHeight="1">
      <c r="A12" s="18"/>
      <c r="C12" s="18"/>
      <c r="D12" s="19"/>
      <c r="E12" s="20"/>
      <c r="F12" s="20"/>
      <c r="H12" s="12"/>
      <c r="I12" s="13"/>
      <c r="J12" s="12"/>
    </row>
    <row r="13" spans="1:13" s="11" customFormat="1" ht="38.4" customHeight="1">
      <c r="A13" s="18"/>
      <c r="C13" s="18"/>
      <c r="D13" s="19"/>
      <c r="E13" s="20"/>
      <c r="F13" s="20"/>
      <c r="H13" s="12"/>
      <c r="I13" s="13"/>
      <c r="J13" s="12"/>
    </row>
    <row r="14" spans="1:13" s="11" customFormat="1" ht="38.4" customHeight="1">
      <c r="A14" s="18"/>
      <c r="C14" s="18"/>
      <c r="D14" s="19"/>
      <c r="E14" s="20"/>
      <c r="F14" s="20"/>
      <c r="H14" s="12"/>
      <c r="I14" s="13"/>
      <c r="J14" s="12"/>
    </row>
    <row r="15" spans="1:13" s="11" customFormat="1" ht="38.4" customHeight="1">
      <c r="A15" s="18"/>
      <c r="C15" s="18"/>
      <c r="D15" s="19"/>
      <c r="E15" s="20"/>
      <c r="F15" s="20"/>
      <c r="H15" s="12"/>
      <c r="I15" s="13"/>
      <c r="J15" s="12"/>
    </row>
    <row r="16" spans="1:13" s="11" customFormat="1" ht="38.4" customHeight="1">
      <c r="A16" s="18"/>
      <c r="C16" s="18"/>
      <c r="D16" s="19"/>
      <c r="E16" s="20"/>
      <c r="F16" s="20"/>
      <c r="H16" s="12"/>
      <c r="I16" s="13"/>
      <c r="J16" s="12"/>
    </row>
    <row r="17" spans="1:10" s="11" customFormat="1" ht="38.4" customHeight="1">
      <c r="A17" s="18"/>
      <c r="C17" s="18"/>
      <c r="D17" s="19"/>
      <c r="E17" s="20"/>
      <c r="F17" s="20"/>
      <c r="H17" s="12"/>
      <c r="I17" s="13"/>
      <c r="J17" s="12"/>
    </row>
    <row r="18" spans="1:10" s="11" customFormat="1" ht="38.4" customHeight="1">
      <c r="A18" s="18"/>
      <c r="C18" s="18"/>
      <c r="D18" s="19"/>
      <c r="E18" s="20"/>
      <c r="F18" s="20"/>
      <c r="H18" s="12"/>
      <c r="I18" s="13"/>
      <c r="J18" s="12"/>
    </row>
    <row r="19" spans="1:10" s="11" customFormat="1" ht="38.4" customHeight="1">
      <c r="A19" s="18"/>
      <c r="C19" s="18"/>
      <c r="D19" s="19"/>
      <c r="E19" s="20"/>
      <c r="F19" s="20"/>
      <c r="H19" s="12"/>
      <c r="I19" s="13"/>
      <c r="J19" s="12"/>
    </row>
    <row r="20" spans="1:10" s="11" customFormat="1" ht="38.4" customHeight="1">
      <c r="A20" s="18"/>
      <c r="C20" s="18"/>
      <c r="D20" s="19"/>
      <c r="E20" s="20"/>
      <c r="F20" s="20"/>
      <c r="H20" s="12"/>
      <c r="I20" s="13"/>
      <c r="J20" s="12"/>
    </row>
    <row r="21" spans="1:10" s="11" customFormat="1" ht="34.799999999999997" customHeight="1">
      <c r="A21" s="18"/>
      <c r="C21" s="18"/>
      <c r="D21" s="19"/>
      <c r="E21" s="20"/>
      <c r="F21" s="20"/>
      <c r="H21" s="12"/>
      <c r="I21" s="13"/>
      <c r="J21" s="12"/>
    </row>
    <row r="22" spans="1:10" s="11" customFormat="1" ht="34.799999999999997" customHeight="1">
      <c r="A22" s="18"/>
      <c r="C22" s="18"/>
      <c r="D22" s="19"/>
      <c r="E22" s="20"/>
      <c r="F22" s="20"/>
      <c r="H22" s="12"/>
      <c r="I22" s="13"/>
      <c r="J22" s="12"/>
    </row>
    <row r="23" spans="1:10" s="11" customFormat="1" ht="34.799999999999997" customHeight="1">
      <c r="A23" s="18"/>
      <c r="C23" s="18"/>
      <c r="D23" s="19"/>
      <c r="E23" s="20"/>
      <c r="F23" s="20"/>
      <c r="H23" s="12"/>
      <c r="I23" s="13"/>
      <c r="J23" s="12"/>
    </row>
    <row r="24" spans="1:10" s="11" customFormat="1" ht="34.799999999999997" customHeight="1">
      <c r="A24" s="18"/>
      <c r="C24" s="18"/>
      <c r="D24" s="19"/>
      <c r="E24" s="20"/>
      <c r="F24" s="20"/>
      <c r="H24" s="12"/>
      <c r="I24" s="13"/>
      <c r="J24" s="12"/>
    </row>
    <row r="25" spans="1:10" s="11" customFormat="1" ht="34.799999999999997" customHeight="1">
      <c r="A25" s="18"/>
      <c r="C25" s="18"/>
      <c r="D25" s="19"/>
      <c r="E25" s="20"/>
      <c r="F25" s="20"/>
      <c r="H25" s="12"/>
      <c r="I25" s="13"/>
      <c r="J25" s="12"/>
    </row>
    <row r="26" spans="1:10" s="11" customFormat="1" ht="34.799999999999997" customHeight="1">
      <c r="A26" s="18"/>
      <c r="C26" s="18"/>
      <c r="D26" s="19"/>
      <c r="E26" s="20"/>
      <c r="F26" s="20"/>
      <c r="H26" s="12"/>
      <c r="I26" s="13"/>
      <c r="J26" s="12"/>
    </row>
    <row r="27" spans="1:10" s="11" customFormat="1">
      <c r="A27" s="18"/>
      <c r="C27" s="18"/>
      <c r="D27" s="19"/>
      <c r="E27" s="20"/>
      <c r="F27" s="20"/>
      <c r="H27" s="12"/>
      <c r="I27" s="13"/>
      <c r="J27" s="12"/>
    </row>
    <row r="28" spans="1:10" s="11" customFormat="1">
      <c r="A28" s="18"/>
      <c r="C28" s="18"/>
      <c r="D28" s="19"/>
      <c r="E28" s="20"/>
      <c r="F28" s="20"/>
      <c r="H28" s="12"/>
      <c r="I28" s="13"/>
      <c r="J28" s="12"/>
    </row>
    <row r="29" spans="1:10" s="11" customFormat="1">
      <c r="A29" s="18"/>
      <c r="C29" s="18"/>
      <c r="D29" s="19"/>
      <c r="E29" s="20"/>
      <c r="F29" s="20"/>
      <c r="H29" s="12"/>
      <c r="I29" s="13"/>
      <c r="J29" s="12"/>
    </row>
    <row r="30" spans="1:10" s="11" customFormat="1">
      <c r="A30" s="18"/>
      <c r="C30" s="18"/>
      <c r="D30" s="19"/>
      <c r="E30" s="20"/>
      <c r="F30" s="20"/>
      <c r="H30" s="12"/>
      <c r="I30" s="13"/>
      <c r="J30" s="12"/>
    </row>
    <row r="31" spans="1:10" s="11" customFormat="1">
      <c r="A31" s="18"/>
      <c r="C31" s="18"/>
      <c r="D31" s="19"/>
      <c r="E31" s="20"/>
      <c r="F31" s="20"/>
      <c r="H31" s="12"/>
      <c r="I31" s="13"/>
      <c r="J31" s="12"/>
    </row>
    <row r="32" spans="1:10" s="11" customFormat="1">
      <c r="A32" s="18"/>
      <c r="C32" s="18"/>
      <c r="D32" s="19"/>
      <c r="E32" s="20"/>
      <c r="F32" s="20"/>
      <c r="H32" s="12"/>
      <c r="I32" s="13"/>
      <c r="J32" s="12"/>
    </row>
    <row r="33" spans="1:10" s="11" customFormat="1">
      <c r="A33" s="18"/>
      <c r="C33" s="18"/>
      <c r="D33" s="19"/>
      <c r="E33" s="20"/>
      <c r="F33" s="20"/>
      <c r="H33" s="12"/>
      <c r="I33" s="13"/>
      <c r="J33" s="12"/>
    </row>
    <row r="34" spans="1:10" s="11" customFormat="1">
      <c r="A34" s="18"/>
      <c r="C34" s="18"/>
      <c r="D34" s="19"/>
      <c r="E34" s="20"/>
      <c r="F34" s="20"/>
      <c r="H34" s="12"/>
      <c r="I34" s="13"/>
      <c r="J34" s="12"/>
    </row>
    <row r="35" spans="1:10" s="11" customFormat="1">
      <c r="A35" s="18"/>
      <c r="C35" s="18"/>
      <c r="D35" s="19"/>
      <c r="E35" s="20"/>
      <c r="F35" s="20"/>
      <c r="H35" s="12"/>
      <c r="I35" s="13"/>
      <c r="J35" s="12"/>
    </row>
    <row r="36" spans="1:10" s="11" customFormat="1">
      <c r="A36" s="18"/>
      <c r="C36" s="18"/>
      <c r="D36" s="19"/>
      <c r="E36" s="20"/>
      <c r="F36" s="20"/>
      <c r="H36" s="12"/>
      <c r="I36" s="13"/>
      <c r="J36" s="12"/>
    </row>
  </sheetData>
  <mergeCells count="6">
    <mergeCell ref="B8:E8"/>
    <mergeCell ref="A1:F1"/>
    <mergeCell ref="A2:F2"/>
    <mergeCell ref="B5:E5"/>
    <mergeCell ref="B6:E6"/>
    <mergeCell ref="B7:E7"/>
  </mergeCells>
  <printOptions horizontalCentered="1"/>
  <pageMargins left="0.75" right="0.4" top="0.75" bottom="0.5" header="0" footer="0"/>
  <pageSetup paperSize="9" scale="80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57159-2859-4104-B1F3-76F3BC95AE9A}">
  <sheetPr>
    <tabColor rgb="FFFF9933"/>
    <pageSetUpPr fitToPage="1"/>
  </sheetPr>
  <dimension ref="A1:J26"/>
  <sheetViews>
    <sheetView view="pageBreakPreview" topLeftCell="A10" zoomScaleNormal="100" zoomScaleSheetLayoutView="100" workbookViewId="0">
      <selection activeCell="H1" sqref="H1:I1048576"/>
    </sheetView>
  </sheetViews>
  <sheetFormatPr defaultColWidth="9.109375" defaultRowHeight="13.2"/>
  <cols>
    <col min="1" max="1" width="7.6640625" style="31" customWidth="1"/>
    <col min="2" max="2" width="9.6640625" style="31" customWidth="1"/>
    <col min="3" max="3" width="50.6640625" style="31" customWidth="1"/>
    <col min="4" max="4" width="7.6640625" style="31" customWidth="1"/>
    <col min="5" max="5" width="8.6640625" style="31" customWidth="1"/>
    <col min="6" max="6" width="10.6640625" style="31" customWidth="1"/>
    <col min="7" max="7" width="17.6640625" style="31" customWidth="1"/>
    <col min="8" max="8" width="0" style="31" hidden="1" customWidth="1"/>
    <col min="9" max="9" width="60.5546875" style="31" hidden="1" customWidth="1"/>
    <col min="10" max="16384" width="9.109375" style="31"/>
  </cols>
  <sheetData>
    <row r="1" spans="1:10" s="27" customFormat="1" ht="73.2" customHeight="1" thickBot="1">
      <c r="A1" s="778" t="s">
        <v>523</v>
      </c>
      <c r="B1" s="779"/>
      <c r="C1" s="779"/>
      <c r="D1" s="789" t="str">
        <f>'Bill No. 5'!A2</f>
        <v xml:space="preserve">BILL NO. 05 - 
REDUCTION OF LANDSLIDE VULNERABILITY BY MITIGATION MEASURES 
AT HEWESSA KANISHTA VIDYALAYA, MATHUGAMA (SITE NO. 89) </v>
      </c>
      <c r="E1" s="789"/>
      <c r="F1" s="789"/>
      <c r="G1" s="790"/>
    </row>
    <row r="2" spans="1:10" ht="26.4">
      <c r="A2" s="620" t="s">
        <v>13</v>
      </c>
      <c r="B2" s="28" t="s">
        <v>14</v>
      </c>
      <c r="C2" s="29" t="s">
        <v>8</v>
      </c>
      <c r="D2" s="28" t="s">
        <v>15</v>
      </c>
      <c r="E2" s="28" t="s">
        <v>16</v>
      </c>
      <c r="F2" s="30" t="s">
        <v>17</v>
      </c>
      <c r="G2" s="621" t="s">
        <v>18</v>
      </c>
    </row>
    <row r="3" spans="1:10" customFormat="1" ht="30" customHeight="1">
      <c r="A3" s="456" t="s">
        <v>524</v>
      </c>
      <c r="B3" s="457"/>
      <c r="C3" s="458" t="s">
        <v>760</v>
      </c>
      <c r="D3" s="457"/>
      <c r="E3" s="457"/>
      <c r="F3" s="366"/>
      <c r="G3" s="459"/>
    </row>
    <row r="4" spans="1:10" s="27" customFormat="1" ht="45.75" customHeight="1">
      <c r="A4" s="221" t="s">
        <v>525</v>
      </c>
      <c r="B4" s="46" t="s">
        <v>22</v>
      </c>
      <c r="C4" s="47" t="s">
        <v>316</v>
      </c>
      <c r="D4" s="46" t="s">
        <v>372</v>
      </c>
      <c r="E4" s="389">
        <v>1420</v>
      </c>
      <c r="F4" s="460"/>
      <c r="G4" s="461"/>
      <c r="H4" s="658">
        <f>+'QTY89'!J9</f>
        <v>1419.5280000000002</v>
      </c>
      <c r="I4" s="249"/>
    </row>
    <row r="5" spans="1:10" s="27" customFormat="1" ht="30" customHeight="1">
      <c r="A5" s="221" t="s">
        <v>526</v>
      </c>
      <c r="B5" s="56" t="s">
        <v>26</v>
      </c>
      <c r="C5" s="222" t="s">
        <v>27</v>
      </c>
      <c r="D5" s="46" t="s">
        <v>28</v>
      </c>
      <c r="E5" s="259">
        <v>10</v>
      </c>
      <c r="F5" s="57"/>
      <c r="G5" s="461"/>
      <c r="H5" s="40"/>
    </row>
    <row r="6" spans="1:10" s="27" customFormat="1" ht="30" customHeight="1">
      <c r="A6" s="221" t="s">
        <v>527</v>
      </c>
      <c r="B6" s="56" t="s">
        <v>30</v>
      </c>
      <c r="C6" s="222" t="s">
        <v>763</v>
      </c>
      <c r="D6" s="36" t="s">
        <v>28</v>
      </c>
      <c r="E6" s="248">
        <v>10</v>
      </c>
      <c r="F6" s="57"/>
      <c r="G6" s="461"/>
      <c r="H6" s="658"/>
    </row>
    <row r="7" spans="1:10" s="27" customFormat="1" ht="30" customHeight="1">
      <c r="A7" s="221" t="s">
        <v>528</v>
      </c>
      <c r="B7" s="56" t="s">
        <v>237</v>
      </c>
      <c r="C7" s="222" t="s">
        <v>238</v>
      </c>
      <c r="D7" s="36" t="s">
        <v>28</v>
      </c>
      <c r="E7" s="248">
        <v>10</v>
      </c>
      <c r="F7" s="57"/>
      <c r="G7" s="461"/>
      <c r="H7" s="40"/>
    </row>
    <row r="8" spans="1:10" s="27" customFormat="1" ht="30" customHeight="1">
      <c r="A8" s="221" t="s">
        <v>529</v>
      </c>
      <c r="B8" s="56" t="s">
        <v>240</v>
      </c>
      <c r="C8" s="222" t="s">
        <v>241</v>
      </c>
      <c r="D8" s="36" t="s">
        <v>28</v>
      </c>
      <c r="E8" s="248">
        <v>10</v>
      </c>
      <c r="F8" s="57"/>
      <c r="G8" s="461"/>
      <c r="H8" s="40"/>
    </row>
    <row r="9" spans="1:10" s="27" customFormat="1" ht="30" customHeight="1">
      <c r="A9" s="221" t="s">
        <v>530</v>
      </c>
      <c r="B9" s="56" t="s">
        <v>33</v>
      </c>
      <c r="C9" s="222" t="s">
        <v>243</v>
      </c>
      <c r="D9" s="36" t="s">
        <v>28</v>
      </c>
      <c r="E9" s="248">
        <v>5</v>
      </c>
      <c r="F9" s="57"/>
      <c r="G9" s="461"/>
      <c r="H9" s="40"/>
    </row>
    <row r="10" spans="1:10" s="27" customFormat="1" ht="30" customHeight="1">
      <c r="A10" s="221" t="s">
        <v>531</v>
      </c>
      <c r="B10" s="56" t="s">
        <v>245</v>
      </c>
      <c r="C10" s="222" t="s">
        <v>246</v>
      </c>
      <c r="D10" s="36" t="s">
        <v>28</v>
      </c>
      <c r="E10" s="248">
        <v>5</v>
      </c>
      <c r="F10" s="57"/>
      <c r="G10" s="461"/>
      <c r="H10" s="40"/>
      <c r="J10" s="27">
        <v>0</v>
      </c>
    </row>
    <row r="11" spans="1:10" customFormat="1" ht="38.4" customHeight="1">
      <c r="A11" s="626" t="s">
        <v>532</v>
      </c>
      <c r="B11" s="250"/>
      <c r="C11" s="251" t="s">
        <v>318</v>
      </c>
      <c r="D11" s="250"/>
      <c r="E11" s="252"/>
      <c r="F11" s="57"/>
      <c r="G11" s="461"/>
    </row>
    <row r="12" spans="1:10" customFormat="1" ht="38.4" customHeight="1">
      <c r="A12" s="221" t="s">
        <v>533</v>
      </c>
      <c r="B12" s="250" t="s">
        <v>320</v>
      </c>
      <c r="C12" s="253" t="s">
        <v>321</v>
      </c>
      <c r="D12" s="250" t="s">
        <v>37</v>
      </c>
      <c r="E12" s="252">
        <v>10</v>
      </c>
      <c r="F12" s="57"/>
      <c r="G12" s="461"/>
    </row>
    <row r="13" spans="1:10" customFormat="1" ht="38.4" customHeight="1">
      <c r="A13" s="221" t="s">
        <v>534</v>
      </c>
      <c r="B13" s="254" t="s">
        <v>323</v>
      </c>
      <c r="C13" s="255" t="s">
        <v>324</v>
      </c>
      <c r="D13" s="254" t="s">
        <v>37</v>
      </c>
      <c r="E13" s="256">
        <v>10</v>
      </c>
      <c r="F13" s="257"/>
      <c r="G13" s="461"/>
    </row>
    <row r="14" spans="1:10" ht="38.4" customHeight="1" thickBot="1">
      <c r="A14" s="631"/>
      <c r="B14" s="783" t="s">
        <v>535</v>
      </c>
      <c r="C14" s="784"/>
      <c r="D14" s="784"/>
      <c r="E14" s="784"/>
      <c r="F14" s="785"/>
      <c r="G14" s="632"/>
    </row>
    <row r="15" spans="1:10" ht="38.4" customHeight="1"/>
    <row r="16" spans="1:10" ht="38.4" customHeight="1"/>
    <row r="17" ht="38.4" customHeight="1"/>
    <row r="18" ht="38.4" customHeight="1"/>
    <row r="19" ht="38.4" customHeight="1"/>
    <row r="20" ht="38.4" customHeight="1"/>
    <row r="21" ht="34.799999999999997" customHeight="1"/>
    <row r="22" ht="34.799999999999997" customHeight="1"/>
    <row r="23" ht="34.799999999999997" customHeight="1"/>
    <row r="24" ht="34.799999999999997" customHeight="1"/>
    <row r="25" ht="34.799999999999997" customHeight="1"/>
    <row r="26" ht="34.799999999999997" customHeight="1"/>
  </sheetData>
  <mergeCells count="3">
    <mergeCell ref="A1:C1"/>
    <mergeCell ref="D1:G1"/>
    <mergeCell ref="B14:F14"/>
  </mergeCells>
  <phoneticPr fontId="32" type="noConversion"/>
  <printOptions horizontalCentered="1"/>
  <pageMargins left="0.75" right="0.4" top="0.75" bottom="0.5" header="0" footer="0"/>
  <pageSetup paperSize="9" scale="80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AA698-F581-4378-BB70-AE3E04D03863}">
  <sheetPr>
    <tabColor rgb="FFFF9933"/>
    <pageSetUpPr fitToPage="1"/>
  </sheetPr>
  <dimension ref="A1:L26"/>
  <sheetViews>
    <sheetView view="pageBreakPreview" topLeftCell="A7" zoomScaleNormal="100" zoomScaleSheetLayoutView="100" workbookViewId="0">
      <selection activeCell="H7" sqref="H1:I1048576"/>
    </sheetView>
  </sheetViews>
  <sheetFormatPr defaultColWidth="9.109375" defaultRowHeight="15"/>
  <cols>
    <col min="1" max="1" width="7.6640625" style="31" customWidth="1"/>
    <col min="2" max="2" width="9.6640625" style="31" customWidth="1"/>
    <col min="3" max="3" width="54" style="31" customWidth="1"/>
    <col min="4" max="4" width="7.6640625" style="31" customWidth="1"/>
    <col min="5" max="5" width="8.6640625" style="31" customWidth="1"/>
    <col min="6" max="6" width="10.6640625" style="31" customWidth="1"/>
    <col min="7" max="7" width="17.6640625" style="31" customWidth="1"/>
    <col min="8" max="8" width="15.5546875" style="465" hidden="1" customWidth="1"/>
    <col min="9" max="9" width="41.88671875" style="31" hidden="1" customWidth="1"/>
    <col min="10" max="10" width="9.109375" style="31"/>
    <col min="11" max="11" width="11.5546875" style="31" bestFit="1" customWidth="1"/>
    <col min="12" max="16384" width="9.109375" style="31"/>
  </cols>
  <sheetData>
    <row r="1" spans="1:12" s="27" customFormat="1" ht="70.2" customHeight="1" thickBot="1">
      <c r="A1" s="778" t="s">
        <v>536</v>
      </c>
      <c r="B1" s="779"/>
      <c r="C1" s="779"/>
      <c r="D1" s="789" t="str">
        <f>'Bill 5.1'!D1:G1</f>
        <v xml:space="preserve">BILL NO. 05 - 
REDUCTION OF LANDSLIDE VULNERABILITY BY MITIGATION MEASURES 
AT HEWESSA KANISHTA VIDYALAYA, MATHUGAMA (SITE NO. 89) </v>
      </c>
      <c r="E1" s="789"/>
      <c r="F1" s="789"/>
      <c r="G1" s="790"/>
      <c r="H1" s="462"/>
    </row>
    <row r="2" spans="1:12" ht="30.75" customHeight="1">
      <c r="A2" s="620" t="s">
        <v>13</v>
      </c>
      <c r="B2" s="28" t="s">
        <v>14</v>
      </c>
      <c r="C2" s="29" t="s">
        <v>8</v>
      </c>
      <c r="D2" s="28" t="s">
        <v>15</v>
      </c>
      <c r="E2" s="28" t="s">
        <v>16</v>
      </c>
      <c r="F2" s="30" t="s">
        <v>17</v>
      </c>
      <c r="G2" s="621" t="s">
        <v>18</v>
      </c>
      <c r="H2" s="463"/>
      <c r="I2" s="219" t="s">
        <v>766</v>
      </c>
    </row>
    <row r="3" spans="1:12" ht="24.75" customHeight="1">
      <c r="A3" s="628" t="s">
        <v>537</v>
      </c>
      <c r="B3" s="41"/>
      <c r="C3" s="42" t="s">
        <v>268</v>
      </c>
      <c r="D3" s="41"/>
      <c r="E3" s="43"/>
      <c r="F3" s="41"/>
      <c r="G3" s="630"/>
      <c r="H3" s="249"/>
    </row>
    <row r="4" spans="1:12" ht="36" customHeight="1">
      <c r="A4" s="624" t="s">
        <v>538</v>
      </c>
      <c r="B4" s="33" t="s">
        <v>257</v>
      </c>
      <c r="C4" s="244" t="s">
        <v>258</v>
      </c>
      <c r="D4" s="33" t="s">
        <v>36</v>
      </c>
      <c r="E4" s="268">
        <v>90</v>
      </c>
      <c r="F4" s="35"/>
      <c r="G4" s="629"/>
      <c r="H4" s="27">
        <f>+'QTY89'!J41</f>
        <v>84.849422900000008</v>
      </c>
      <c r="I4" s="249"/>
      <c r="J4" s="464"/>
      <c r="K4" s="464">
        <f>SUM(H4:J4)</f>
        <v>84.849422900000008</v>
      </c>
      <c r="L4" s="464"/>
    </row>
    <row r="5" spans="1:12" ht="32.25" customHeight="1">
      <c r="A5" s="624" t="s">
        <v>539</v>
      </c>
      <c r="B5" s="33" t="s">
        <v>260</v>
      </c>
      <c r="C5" s="244" t="s">
        <v>261</v>
      </c>
      <c r="D5" s="33" t="s">
        <v>36</v>
      </c>
      <c r="E5" s="258">
        <v>20</v>
      </c>
      <c r="F5" s="35"/>
      <c r="G5" s="629"/>
    </row>
    <row r="6" spans="1:12" ht="32.25" customHeight="1">
      <c r="A6" s="624" t="s">
        <v>540</v>
      </c>
      <c r="B6" s="46" t="s">
        <v>263</v>
      </c>
      <c r="C6" s="244" t="s">
        <v>264</v>
      </c>
      <c r="D6" s="46" t="s">
        <v>37</v>
      </c>
      <c r="E6" s="259">
        <v>20</v>
      </c>
      <c r="F6" s="35"/>
      <c r="G6" s="629"/>
    </row>
    <row r="7" spans="1:12" ht="32.25" customHeight="1">
      <c r="A7" s="624" t="s">
        <v>541</v>
      </c>
      <c r="B7" s="48" t="s">
        <v>266</v>
      </c>
      <c r="C7" s="245" t="s">
        <v>50</v>
      </c>
      <c r="D7" s="50" t="s">
        <v>36</v>
      </c>
      <c r="E7" s="259">
        <v>90</v>
      </c>
      <c r="F7" s="35"/>
      <c r="G7" s="629"/>
      <c r="H7" s="249">
        <f>+'QTY89'!J45</f>
        <v>0</v>
      </c>
      <c r="I7" s="249"/>
    </row>
    <row r="8" spans="1:12" ht="26.25" customHeight="1">
      <c r="A8" s="628" t="s">
        <v>542</v>
      </c>
      <c r="B8" s="41"/>
      <c r="C8" s="42" t="s">
        <v>39</v>
      </c>
      <c r="D8" s="51"/>
      <c r="E8" s="43"/>
      <c r="F8" s="41"/>
      <c r="G8" s="629"/>
    </row>
    <row r="9" spans="1:12" ht="48" customHeight="1">
      <c r="A9" s="624" t="s">
        <v>543</v>
      </c>
      <c r="B9" s="466" t="s">
        <v>41</v>
      </c>
      <c r="C9" s="467" t="s">
        <v>42</v>
      </c>
      <c r="D9" s="466" t="s">
        <v>37</v>
      </c>
      <c r="E9" s="268">
        <v>135</v>
      </c>
      <c r="F9" s="35"/>
      <c r="G9" s="629"/>
      <c r="H9" s="468">
        <f>+'QTY89'!J78</f>
        <v>132.69300000000001</v>
      </c>
    </row>
    <row r="10" spans="1:12" ht="51" customHeight="1">
      <c r="A10" s="624" t="s">
        <v>544</v>
      </c>
      <c r="B10" s="466" t="s">
        <v>41</v>
      </c>
      <c r="C10" s="467" t="s">
        <v>771</v>
      </c>
      <c r="D10" s="466" t="s">
        <v>37</v>
      </c>
      <c r="E10" s="268">
        <v>895</v>
      </c>
      <c r="F10" s="35"/>
      <c r="G10" s="629"/>
      <c r="H10" s="469">
        <f>+'QTY89'!J76</f>
        <v>891.7646936000001</v>
      </c>
    </row>
    <row r="11" spans="1:12" ht="38.4" customHeight="1">
      <c r="A11" s="624" t="s">
        <v>545</v>
      </c>
      <c r="B11" s="466" t="s">
        <v>326</v>
      </c>
      <c r="C11" s="467" t="s">
        <v>772</v>
      </c>
      <c r="D11" s="466" t="s">
        <v>37</v>
      </c>
      <c r="E11" s="268">
        <v>10</v>
      </c>
      <c r="F11" s="35"/>
      <c r="G11" s="629"/>
      <c r="H11" s="469">
        <f>+'QTY89'!J83</f>
        <v>2.8010752000000005</v>
      </c>
    </row>
    <row r="12" spans="1:12" ht="38.4" customHeight="1">
      <c r="A12" s="624" t="s">
        <v>546</v>
      </c>
      <c r="B12" s="46" t="s">
        <v>46</v>
      </c>
      <c r="C12" s="244" t="s">
        <v>261</v>
      </c>
      <c r="D12" s="46" t="s">
        <v>37</v>
      </c>
      <c r="E12" s="259">
        <v>20</v>
      </c>
      <c r="F12" s="35"/>
      <c r="G12" s="629"/>
    </row>
    <row r="13" spans="1:12" ht="38.4" customHeight="1">
      <c r="A13" s="624" t="s">
        <v>547</v>
      </c>
      <c r="B13" s="46" t="s">
        <v>48</v>
      </c>
      <c r="C13" s="244" t="s">
        <v>264</v>
      </c>
      <c r="D13" s="46" t="s">
        <v>37</v>
      </c>
      <c r="E13" s="259">
        <v>20</v>
      </c>
      <c r="F13" s="35"/>
      <c r="G13" s="629"/>
    </row>
    <row r="14" spans="1:12" ht="38.4" customHeight="1">
      <c r="A14" s="624" t="s">
        <v>548</v>
      </c>
      <c r="B14" s="48" t="s">
        <v>49</v>
      </c>
      <c r="C14" s="49" t="s">
        <v>50</v>
      </c>
      <c r="D14" s="50" t="s">
        <v>36</v>
      </c>
      <c r="E14" s="259">
        <v>1020</v>
      </c>
      <c r="F14" s="35"/>
      <c r="G14" s="629"/>
      <c r="H14" s="469">
        <f>+E9+E10-E11</f>
        <v>1020</v>
      </c>
    </row>
    <row r="15" spans="1:12" ht="38.4" customHeight="1" thickBot="1">
      <c r="A15" s="631"/>
      <c r="B15" s="783" t="s">
        <v>549</v>
      </c>
      <c r="C15" s="784"/>
      <c r="D15" s="784"/>
      <c r="E15" s="784"/>
      <c r="F15" s="785"/>
      <c r="G15" s="632"/>
    </row>
    <row r="16" spans="1:12" ht="38.4" customHeight="1"/>
    <row r="17" ht="38.4" customHeight="1"/>
    <row r="18" ht="38.4" customHeight="1"/>
    <row r="19" ht="38.4" customHeight="1"/>
    <row r="20" ht="38.4" customHeight="1"/>
    <row r="21" ht="34.799999999999997" customHeight="1"/>
    <row r="22" ht="34.799999999999997" customHeight="1"/>
    <row r="23" ht="34.799999999999997" customHeight="1"/>
    <row r="24" ht="34.799999999999997" customHeight="1"/>
    <row r="25" ht="34.799999999999997" customHeight="1"/>
    <row r="26" ht="34.799999999999997" customHeight="1"/>
  </sheetData>
  <mergeCells count="3">
    <mergeCell ref="A1:C1"/>
    <mergeCell ref="D1:G1"/>
    <mergeCell ref="B15:F15"/>
  </mergeCells>
  <phoneticPr fontId="32" type="noConversion"/>
  <printOptions horizontalCentered="1"/>
  <pageMargins left="0.75" right="0.4" top="0.75" bottom="0.5" header="0" footer="0"/>
  <pageSetup paperSize="9" scale="78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32AC8-D125-4AEC-9EAA-A1385CFD3088}">
  <sheetPr>
    <tabColor rgb="FFFF9933"/>
    <pageSetUpPr fitToPage="1"/>
  </sheetPr>
  <dimension ref="A1:J41"/>
  <sheetViews>
    <sheetView view="pageBreakPreview" zoomScaleNormal="110" zoomScaleSheetLayoutView="100" workbookViewId="0">
      <pane ySplit="2" topLeftCell="A33" activePane="bottomLeft" state="frozen"/>
      <selection activeCell="F32" sqref="F32"/>
      <selection pane="bottomLeft" activeCell="H1" sqref="H1:L1048576"/>
    </sheetView>
  </sheetViews>
  <sheetFormatPr defaultColWidth="9.109375" defaultRowHeight="15"/>
  <cols>
    <col min="1" max="1" width="7.6640625" style="31" customWidth="1"/>
    <col min="2" max="2" width="9.5546875" style="31" customWidth="1"/>
    <col min="3" max="3" width="54" style="31" customWidth="1"/>
    <col min="4" max="4" width="7.6640625" style="31" customWidth="1"/>
    <col min="5" max="5" width="8.6640625" style="31" customWidth="1"/>
    <col min="6" max="6" width="10.6640625" style="31" customWidth="1"/>
    <col min="7" max="7" width="17.6640625" style="31" customWidth="1"/>
    <col min="8" max="8" width="11.5546875" style="471" hidden="1" customWidth="1"/>
    <col min="9" max="12" width="0" style="31" hidden="1" customWidth="1"/>
    <col min="13" max="16384" width="9.109375" style="31"/>
  </cols>
  <sheetData>
    <row r="1" spans="1:8" s="27" customFormat="1" ht="73.8" customHeight="1" thickBot="1">
      <c r="A1" s="778" t="s">
        <v>971</v>
      </c>
      <c r="B1" s="779"/>
      <c r="C1" s="779"/>
      <c r="D1" s="789" t="str">
        <f>'Bill 5.2'!D1:G1</f>
        <v xml:space="preserve">BILL NO. 05 - 
REDUCTION OF LANDSLIDE VULNERABILITY BY MITIGATION MEASURES 
AT HEWESSA KANISHTA VIDYALAYA, MATHUGAMA (SITE NO. 89) </v>
      </c>
      <c r="E1" s="789"/>
      <c r="F1" s="789"/>
      <c r="G1" s="790"/>
      <c r="H1" s="470"/>
    </row>
    <row r="2" spans="1:8" ht="26.4">
      <c r="A2" s="620" t="s">
        <v>13</v>
      </c>
      <c r="B2" s="28" t="s">
        <v>14</v>
      </c>
      <c r="C2" s="29" t="s">
        <v>8</v>
      </c>
      <c r="D2" s="28" t="s">
        <v>15</v>
      </c>
      <c r="E2" s="28" t="s">
        <v>16</v>
      </c>
      <c r="F2" s="30" t="s">
        <v>17</v>
      </c>
      <c r="G2" s="621" t="s">
        <v>18</v>
      </c>
    </row>
    <row r="3" spans="1:8" ht="18" customHeight="1">
      <c r="A3" s="633" t="s">
        <v>550</v>
      </c>
      <c r="B3" s="60"/>
      <c r="C3" s="573" t="s">
        <v>250</v>
      </c>
      <c r="D3" s="61"/>
      <c r="E3" s="61"/>
      <c r="F3" s="61"/>
      <c r="G3" s="634"/>
    </row>
    <row r="4" spans="1:8" ht="29.4" customHeight="1">
      <c r="A4" s="624" t="s">
        <v>551</v>
      </c>
      <c r="B4" s="62" t="s">
        <v>55</v>
      </c>
      <c r="C4" s="45" t="s">
        <v>56</v>
      </c>
      <c r="D4" s="33" t="s">
        <v>36</v>
      </c>
      <c r="E4" s="268">
        <v>4</v>
      </c>
      <c r="F4" s="35"/>
      <c r="G4" s="629"/>
      <c r="H4" s="472">
        <f>+'Drain Qty89'!I106</f>
        <v>3.4925000000000006</v>
      </c>
    </row>
    <row r="5" spans="1:8" ht="29.4" customHeight="1">
      <c r="A5" s="624" t="s">
        <v>552</v>
      </c>
      <c r="B5" s="62" t="s">
        <v>58</v>
      </c>
      <c r="C5" s="45" t="s">
        <v>59</v>
      </c>
      <c r="D5" s="33" t="s">
        <v>36</v>
      </c>
      <c r="E5" s="268">
        <v>16</v>
      </c>
      <c r="F5" s="35"/>
      <c r="G5" s="629"/>
      <c r="H5" s="472">
        <f>+'Drain Qty89'!J106+'Drain Qty89'!J107</f>
        <v>15.433093750000003</v>
      </c>
    </row>
    <row r="6" spans="1:8" ht="25.2" customHeight="1">
      <c r="A6" s="624" t="s">
        <v>553</v>
      </c>
      <c r="B6" s="62" t="s">
        <v>61</v>
      </c>
      <c r="C6" s="45" t="s">
        <v>62</v>
      </c>
      <c r="D6" s="33" t="s">
        <v>63</v>
      </c>
      <c r="E6" s="268">
        <v>1030</v>
      </c>
      <c r="F6" s="35"/>
      <c r="G6" s="629"/>
      <c r="H6" s="472">
        <f>+'Drain Qty89'!S106+'Drain Qty89'!S107</f>
        <v>1029.8641975308642</v>
      </c>
    </row>
    <row r="7" spans="1:8" ht="25.2" customHeight="1">
      <c r="A7" s="624" t="s">
        <v>554</v>
      </c>
      <c r="B7" s="62" t="s">
        <v>65</v>
      </c>
      <c r="C7" s="45" t="s">
        <v>66</v>
      </c>
      <c r="D7" s="33" t="s">
        <v>24</v>
      </c>
      <c r="E7" s="268">
        <v>200</v>
      </c>
      <c r="F7" s="35"/>
      <c r="G7" s="629"/>
      <c r="H7" s="472">
        <f>+'Drain Qty89'!K106+'Drain Qty89'!K107</f>
        <v>197.7655</v>
      </c>
    </row>
    <row r="8" spans="1:8" ht="19.2" customHeight="1">
      <c r="A8" s="633" t="s">
        <v>555</v>
      </c>
      <c r="B8" s="60"/>
      <c r="C8" s="573" t="s">
        <v>53</v>
      </c>
      <c r="D8" s="61"/>
      <c r="E8" s="61"/>
      <c r="F8" s="61"/>
      <c r="G8" s="629"/>
    </row>
    <row r="9" spans="1:8" ht="29.4" customHeight="1">
      <c r="A9" s="624" t="s">
        <v>556</v>
      </c>
      <c r="B9" s="62" t="s">
        <v>55</v>
      </c>
      <c r="C9" s="45" t="s">
        <v>56</v>
      </c>
      <c r="D9" s="33" t="s">
        <v>36</v>
      </c>
      <c r="E9" s="268">
        <v>4</v>
      </c>
      <c r="F9" s="35"/>
      <c r="G9" s="629"/>
      <c r="H9" s="472">
        <f>+'Drain Qty89'!I109</f>
        <v>4.1827500000000013</v>
      </c>
    </row>
    <row r="10" spans="1:8" ht="29.4" customHeight="1">
      <c r="A10" s="624" t="s">
        <v>557</v>
      </c>
      <c r="B10" s="62" t="s">
        <v>58</v>
      </c>
      <c r="C10" s="45" t="s">
        <v>59</v>
      </c>
      <c r="D10" s="33" t="s">
        <v>36</v>
      </c>
      <c r="E10" s="268">
        <v>20</v>
      </c>
      <c r="F10" s="35"/>
      <c r="G10" s="629"/>
      <c r="H10" s="472">
        <f>+'Drain Qty89'!J109+'Drain Qty89'!J110</f>
        <v>20.039203125000007</v>
      </c>
    </row>
    <row r="11" spans="1:8" ht="21" customHeight="1">
      <c r="A11" s="624" t="s">
        <v>558</v>
      </c>
      <c r="B11" s="62" t="s">
        <v>61</v>
      </c>
      <c r="C11" s="45" t="s">
        <v>62</v>
      </c>
      <c r="D11" s="33" t="s">
        <v>63</v>
      </c>
      <c r="E11" s="268">
        <v>1310</v>
      </c>
      <c r="F11" s="35"/>
      <c r="G11" s="629"/>
      <c r="H11" s="472">
        <f>+'Drain Qty89'!S109+'Drain Qty89'!S110</f>
        <v>1304.0555555555557</v>
      </c>
    </row>
    <row r="12" spans="1:8" ht="22.8" customHeight="1">
      <c r="A12" s="624" t="s">
        <v>559</v>
      </c>
      <c r="B12" s="62" t="s">
        <v>65</v>
      </c>
      <c r="C12" s="45" t="s">
        <v>66</v>
      </c>
      <c r="D12" s="33" t="s">
        <v>24</v>
      </c>
      <c r="E12" s="268">
        <v>260</v>
      </c>
      <c r="F12" s="35"/>
      <c r="G12" s="629"/>
      <c r="H12" s="472">
        <f>+'Drain Qty89'!K109+'Drain Qty89'!K110</f>
        <v>260.39925000000005</v>
      </c>
    </row>
    <row r="13" spans="1:8" ht="18.600000000000001" customHeight="1">
      <c r="A13" s="633" t="s">
        <v>560</v>
      </c>
      <c r="B13" s="60"/>
      <c r="C13" s="573" t="s">
        <v>68</v>
      </c>
      <c r="D13" s="61"/>
      <c r="E13" s="61"/>
      <c r="F13" s="61"/>
      <c r="G13" s="629"/>
    </row>
    <row r="14" spans="1:8" ht="33" customHeight="1">
      <c r="A14" s="624" t="s">
        <v>561</v>
      </c>
      <c r="B14" s="62" t="s">
        <v>55</v>
      </c>
      <c r="C14" s="45" t="s">
        <v>56</v>
      </c>
      <c r="D14" s="33" t="s">
        <v>36</v>
      </c>
      <c r="E14" s="268">
        <v>4</v>
      </c>
      <c r="F14" s="35"/>
      <c r="G14" s="629"/>
      <c r="H14" s="472">
        <f>+'Drain Qty89'!I112</f>
        <v>3.2560000000000002</v>
      </c>
    </row>
    <row r="15" spans="1:8" ht="32.4" customHeight="1">
      <c r="A15" s="624" t="s">
        <v>562</v>
      </c>
      <c r="B15" s="62" t="s">
        <v>58</v>
      </c>
      <c r="C15" s="45" t="s">
        <v>59</v>
      </c>
      <c r="D15" s="33" t="s">
        <v>36</v>
      </c>
      <c r="E15" s="268">
        <v>17</v>
      </c>
      <c r="F15" s="35"/>
      <c r="G15" s="629"/>
      <c r="H15" s="472">
        <f>+'Drain Qty89'!J112+'Drain Qty89'!J113</f>
        <v>16.358750000000001</v>
      </c>
    </row>
    <row r="16" spans="1:8" ht="26.4" customHeight="1">
      <c r="A16" s="624" t="s">
        <v>972</v>
      </c>
      <c r="B16" s="62" t="s">
        <v>61</v>
      </c>
      <c r="C16" s="45" t="s">
        <v>62</v>
      </c>
      <c r="D16" s="33" t="s">
        <v>63</v>
      </c>
      <c r="E16" s="268">
        <v>1000</v>
      </c>
      <c r="F16" s="35"/>
      <c r="G16" s="629"/>
      <c r="H16" s="472">
        <f>+'Drain Qty89'!S112+'Drain Qty89'!S113</f>
        <v>995.46296296296293</v>
      </c>
    </row>
    <row r="17" spans="1:10" ht="27" customHeight="1">
      <c r="A17" s="624" t="s">
        <v>563</v>
      </c>
      <c r="B17" s="62" t="s">
        <v>65</v>
      </c>
      <c r="C17" s="45" t="s">
        <v>66</v>
      </c>
      <c r="D17" s="33" t="s">
        <v>24</v>
      </c>
      <c r="E17" s="268">
        <v>215</v>
      </c>
      <c r="F17" s="35"/>
      <c r="G17" s="629"/>
      <c r="H17" s="472">
        <f>+'Drain Qty89'!K112+'Drain Qty89'!K113</f>
        <v>214.244</v>
      </c>
    </row>
    <row r="18" spans="1:10" ht="22.2" customHeight="1">
      <c r="A18" s="633" t="s">
        <v>564</v>
      </c>
      <c r="B18" s="51"/>
      <c r="C18" s="574" t="s">
        <v>773</v>
      </c>
      <c r="D18" s="41"/>
      <c r="E18" s="41"/>
      <c r="F18" s="41"/>
      <c r="G18" s="629"/>
    </row>
    <row r="19" spans="1:10" ht="38.4" customHeight="1">
      <c r="A19" s="624" t="s">
        <v>565</v>
      </c>
      <c r="B19" s="62" t="s">
        <v>55</v>
      </c>
      <c r="C19" s="45" t="s">
        <v>56</v>
      </c>
      <c r="D19" s="33" t="s">
        <v>36</v>
      </c>
      <c r="E19" s="268">
        <v>1</v>
      </c>
      <c r="F19" s="35"/>
      <c r="G19" s="629"/>
      <c r="H19" s="472">
        <f>+'Drain Qty89'!I116</f>
        <v>0.64350000000000007</v>
      </c>
    </row>
    <row r="20" spans="1:10" ht="38.4" customHeight="1">
      <c r="A20" s="624" t="s">
        <v>566</v>
      </c>
      <c r="B20" s="62" t="s">
        <v>58</v>
      </c>
      <c r="C20" s="45" t="s">
        <v>59</v>
      </c>
      <c r="D20" s="33" t="s">
        <v>36</v>
      </c>
      <c r="E20" s="268">
        <v>3</v>
      </c>
      <c r="F20" s="35"/>
      <c r="G20" s="629"/>
      <c r="H20" s="472">
        <f>+'Drain Qty89'!J116</f>
        <v>2.3017500000000002</v>
      </c>
    </row>
    <row r="21" spans="1:10" ht="26.4" customHeight="1">
      <c r="A21" s="624" t="s">
        <v>567</v>
      </c>
      <c r="B21" s="62" t="s">
        <v>61</v>
      </c>
      <c r="C21" s="45" t="s">
        <v>62</v>
      </c>
      <c r="D21" s="33" t="s">
        <v>63</v>
      </c>
      <c r="E21" s="268">
        <v>135</v>
      </c>
      <c r="F21" s="35"/>
      <c r="G21" s="629"/>
      <c r="H21" s="472">
        <f>+'Drain Qty89'!S116</f>
        <v>131.59465020576133</v>
      </c>
    </row>
    <row r="22" spans="1:10" ht="24" customHeight="1">
      <c r="A22" s="624" t="s">
        <v>568</v>
      </c>
      <c r="B22" s="62" t="s">
        <v>65</v>
      </c>
      <c r="C22" s="45" t="s">
        <v>66</v>
      </c>
      <c r="D22" s="33" t="s">
        <v>24</v>
      </c>
      <c r="E22" s="268">
        <v>22</v>
      </c>
      <c r="F22" s="35"/>
      <c r="G22" s="629"/>
      <c r="H22" s="472">
        <f>+'Drain Qty89'!K116</f>
        <v>22</v>
      </c>
    </row>
    <row r="23" spans="1:10" s="65" customFormat="1" ht="22.8" customHeight="1">
      <c r="A23" s="633" t="s">
        <v>569</v>
      </c>
      <c r="B23" s="46"/>
      <c r="C23" s="575" t="s">
        <v>331</v>
      </c>
      <c r="D23" s="46"/>
      <c r="E23" s="259"/>
      <c r="F23" s="35"/>
      <c r="G23" s="629"/>
      <c r="H23" s="473"/>
    </row>
    <row r="24" spans="1:10" s="65" customFormat="1" ht="34.799999999999997" customHeight="1">
      <c r="A24" s="635" t="s">
        <v>570</v>
      </c>
      <c r="B24" s="46" t="s">
        <v>85</v>
      </c>
      <c r="C24" s="58" t="s">
        <v>332</v>
      </c>
      <c r="D24" s="46" t="s">
        <v>5</v>
      </c>
      <c r="E24" s="259">
        <v>12</v>
      </c>
      <c r="F24" s="35"/>
      <c r="G24" s="629"/>
      <c r="H24" s="474">
        <f>+'Drain Qty89'!D118</f>
        <v>11</v>
      </c>
      <c r="I24" s="65">
        <f>+[6]QTY!J77</f>
        <v>383.00833333333333</v>
      </c>
      <c r="J24" s="65">
        <f>+[6]QTY!J89</f>
        <v>116.15833333333332</v>
      </c>
    </row>
    <row r="25" spans="1:10" ht="27" customHeight="1">
      <c r="A25" s="633" t="s">
        <v>571</v>
      </c>
      <c r="B25" s="51"/>
      <c r="C25" s="574" t="s">
        <v>774</v>
      </c>
      <c r="D25" s="41"/>
      <c r="E25" s="41"/>
      <c r="F25" s="35"/>
      <c r="G25" s="629"/>
    </row>
    <row r="26" spans="1:10" ht="34.799999999999997" customHeight="1">
      <c r="A26" s="635" t="s">
        <v>572</v>
      </c>
      <c r="B26" s="62" t="s">
        <v>55</v>
      </c>
      <c r="C26" s="45" t="s">
        <v>56</v>
      </c>
      <c r="D26" s="33" t="s">
        <v>36</v>
      </c>
      <c r="E26" s="268">
        <v>13</v>
      </c>
      <c r="F26" s="269"/>
      <c r="G26" s="642"/>
      <c r="H26" s="472">
        <f>+'QTY89'!J173</f>
        <v>12.346400000000001</v>
      </c>
    </row>
    <row r="27" spans="1:10" ht="30" customHeight="1">
      <c r="A27" s="635" t="s">
        <v>573</v>
      </c>
      <c r="B27" s="62" t="s">
        <v>58</v>
      </c>
      <c r="C27" s="45" t="s">
        <v>775</v>
      </c>
      <c r="D27" s="33" t="s">
        <v>36</v>
      </c>
      <c r="E27" s="268">
        <v>50</v>
      </c>
      <c r="F27" s="269"/>
      <c r="G27" s="642"/>
      <c r="H27" s="472">
        <f>+'QTY89'!J214</f>
        <v>49.385600000000004</v>
      </c>
    </row>
    <row r="28" spans="1:10" ht="24" customHeight="1">
      <c r="A28" s="635" t="s">
        <v>574</v>
      </c>
      <c r="B28" s="62" t="s">
        <v>61</v>
      </c>
      <c r="C28" s="45" t="s">
        <v>62</v>
      </c>
      <c r="D28" s="33" t="s">
        <v>63</v>
      </c>
      <c r="E28" s="268">
        <v>2345</v>
      </c>
      <c r="F28" s="269"/>
      <c r="G28" s="642"/>
      <c r="H28" s="472">
        <f>+'QTY89'!J359</f>
        <v>2340.4357777777777</v>
      </c>
      <c r="J28" s="44"/>
    </row>
    <row r="29" spans="1:10" ht="24.6" customHeight="1">
      <c r="A29" s="635" t="s">
        <v>974</v>
      </c>
      <c r="B29" s="62" t="s">
        <v>65</v>
      </c>
      <c r="C29" s="45" t="s">
        <v>776</v>
      </c>
      <c r="D29" s="33" t="s">
        <v>24</v>
      </c>
      <c r="E29" s="268">
        <v>80</v>
      </c>
      <c r="F29" s="269"/>
      <c r="G29" s="642"/>
      <c r="H29" s="472">
        <f>+'QTY89'!J377</f>
        <v>75.289500000000004</v>
      </c>
    </row>
    <row r="30" spans="1:10" ht="21" customHeight="1">
      <c r="A30" s="635" t="s">
        <v>975</v>
      </c>
      <c r="B30" s="33" t="s">
        <v>777</v>
      </c>
      <c r="C30" s="475" t="s">
        <v>778</v>
      </c>
      <c r="D30" s="33" t="s">
        <v>36</v>
      </c>
      <c r="E30" s="268">
        <v>620</v>
      </c>
      <c r="F30" s="269"/>
      <c r="G30" s="642"/>
      <c r="H30" s="472">
        <f>+'QTY89'!J132</f>
        <v>616.58872000000008</v>
      </c>
    </row>
    <row r="31" spans="1:10" ht="19.2" customHeight="1">
      <c r="A31" s="635" t="s">
        <v>976</v>
      </c>
      <c r="B31" s="476" t="s">
        <v>779</v>
      </c>
      <c r="C31" s="475" t="s">
        <v>780</v>
      </c>
      <c r="D31" s="477" t="s">
        <v>372</v>
      </c>
      <c r="E31" s="268">
        <v>580</v>
      </c>
      <c r="F31" s="269"/>
      <c r="G31" s="642"/>
      <c r="H31" s="472">
        <f>+'QTY89'!J288</f>
        <v>575.98200000000008</v>
      </c>
    </row>
    <row r="32" spans="1:10" ht="25.2" customHeight="1">
      <c r="A32" s="635" t="s">
        <v>977</v>
      </c>
      <c r="B32" s="62" t="s">
        <v>781</v>
      </c>
      <c r="C32" s="475" t="s">
        <v>782</v>
      </c>
      <c r="D32" s="33" t="s">
        <v>36</v>
      </c>
      <c r="E32" s="268">
        <v>140</v>
      </c>
      <c r="F32" s="269"/>
      <c r="G32" s="642"/>
      <c r="H32" s="472">
        <f>+'QTY89'!J253</f>
        <v>138.30190000000002</v>
      </c>
    </row>
    <row r="33" spans="1:10" ht="22.2" customHeight="1">
      <c r="A33" s="635" t="s">
        <v>978</v>
      </c>
      <c r="B33" s="62" t="s">
        <v>783</v>
      </c>
      <c r="C33" s="475" t="s">
        <v>784</v>
      </c>
      <c r="D33" s="33" t="s">
        <v>5</v>
      </c>
      <c r="E33" s="268">
        <v>460</v>
      </c>
      <c r="F33" s="35"/>
      <c r="G33" s="629"/>
      <c r="H33" s="472">
        <f>+'QTY89'!J270</f>
        <v>459.15100000000001</v>
      </c>
    </row>
    <row r="34" spans="1:10" ht="30" customHeight="1">
      <c r="A34" s="635" t="s">
        <v>979</v>
      </c>
      <c r="B34" s="62" t="s">
        <v>785</v>
      </c>
      <c r="C34" s="475" t="s">
        <v>786</v>
      </c>
      <c r="D34" s="477" t="s">
        <v>372</v>
      </c>
      <c r="E34" s="268">
        <v>90</v>
      </c>
      <c r="F34" s="35"/>
      <c r="G34" s="629"/>
      <c r="H34" s="472">
        <f>+'QTY89'!J305</f>
        <v>85.832999999999998</v>
      </c>
      <c r="J34" s="31">
        <v>8780</v>
      </c>
    </row>
    <row r="35" spans="1:10" ht="30" customHeight="1">
      <c r="A35" s="633" t="s">
        <v>980</v>
      </c>
      <c r="B35" s="51"/>
      <c r="C35" s="574" t="s">
        <v>787</v>
      </c>
      <c r="D35" s="41"/>
      <c r="E35" s="41"/>
      <c r="F35" s="35"/>
      <c r="G35" s="629"/>
      <c r="J35" s="31">
        <v>9.2899999999999991</v>
      </c>
    </row>
    <row r="36" spans="1:10" ht="30" customHeight="1">
      <c r="A36" s="624" t="s">
        <v>981</v>
      </c>
      <c r="B36" s="62" t="s">
        <v>58</v>
      </c>
      <c r="C36" s="45" t="s">
        <v>775</v>
      </c>
      <c r="D36" s="33" t="s">
        <v>36</v>
      </c>
      <c r="E36" s="33">
        <v>4</v>
      </c>
      <c r="F36" s="35"/>
      <c r="G36" s="629"/>
      <c r="H36" s="472">
        <f>+'QTY89'!J381</f>
        <v>3.96</v>
      </c>
    </row>
    <row r="37" spans="1:10" ht="30" customHeight="1">
      <c r="A37" s="624" t="s">
        <v>982</v>
      </c>
      <c r="B37" s="62" t="s">
        <v>61</v>
      </c>
      <c r="C37" s="45" t="s">
        <v>62</v>
      </c>
      <c r="D37" s="33" t="s">
        <v>63</v>
      </c>
      <c r="E37" s="33">
        <v>560</v>
      </c>
      <c r="F37" s="35"/>
      <c r="G37" s="629"/>
      <c r="H37" s="472">
        <f>+'QTY89'!J386</f>
        <v>558.71851851851864</v>
      </c>
    </row>
    <row r="38" spans="1:10" ht="30" customHeight="1">
      <c r="A38" s="624" t="s">
        <v>983</v>
      </c>
      <c r="B38" s="62" t="s">
        <v>65</v>
      </c>
      <c r="C38" s="45" t="s">
        <v>776</v>
      </c>
      <c r="D38" s="33" t="s">
        <v>24</v>
      </c>
      <c r="E38" s="33">
        <v>11</v>
      </c>
      <c r="F38" s="35"/>
      <c r="G38" s="629"/>
      <c r="H38" s="472">
        <f>+'QTY89'!J383</f>
        <v>10.1145</v>
      </c>
      <c r="J38" s="44"/>
    </row>
    <row r="39" spans="1:10" ht="30" customHeight="1">
      <c r="A39" s="633" t="s">
        <v>984</v>
      </c>
      <c r="B39" s="250"/>
      <c r="C39" s="251" t="s">
        <v>788</v>
      </c>
      <c r="D39" s="56"/>
      <c r="E39" s="252"/>
      <c r="F39" s="478"/>
      <c r="G39" s="659"/>
      <c r="H39" s="472"/>
      <c r="J39" s="44"/>
    </row>
    <row r="40" spans="1:10" ht="52.2" customHeight="1">
      <c r="A40" s="660" t="s">
        <v>985</v>
      </c>
      <c r="B40" s="250" t="s">
        <v>789</v>
      </c>
      <c r="C40" s="253" t="s">
        <v>790</v>
      </c>
      <c r="D40" s="250" t="s">
        <v>5</v>
      </c>
      <c r="E40" s="252">
        <v>100</v>
      </c>
      <c r="F40" s="479"/>
      <c r="G40" s="277"/>
      <c r="H40" s="472"/>
      <c r="J40" s="44"/>
    </row>
    <row r="41" spans="1:10" ht="30" customHeight="1" thickBot="1">
      <c r="A41" s="631"/>
      <c r="B41" s="783" t="s">
        <v>575</v>
      </c>
      <c r="C41" s="784"/>
      <c r="D41" s="784"/>
      <c r="E41" s="784"/>
      <c r="F41" s="785"/>
      <c r="G41" s="632"/>
    </row>
  </sheetData>
  <mergeCells count="3">
    <mergeCell ref="A1:C1"/>
    <mergeCell ref="D1:G1"/>
    <mergeCell ref="B41:F41"/>
  </mergeCells>
  <phoneticPr fontId="32" type="noConversion"/>
  <printOptions horizontalCentered="1"/>
  <pageMargins left="0.75" right="0.4" top="0.75" bottom="0.5" header="0" footer="0"/>
  <pageSetup paperSize="9" scale="78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26AF3-A147-41D6-A582-FD4B1C7C8BBC}">
  <dimension ref="B3:W121"/>
  <sheetViews>
    <sheetView zoomScale="70" zoomScaleNormal="70" workbookViewId="0">
      <pane ySplit="4" topLeftCell="A101" activePane="bottomLeft" state="frozen"/>
      <selection activeCell="B5" sqref="B5:E5"/>
      <selection pane="bottomLeft" activeCell="B5" sqref="B5:E5"/>
    </sheetView>
  </sheetViews>
  <sheetFormatPr defaultRowHeight="14.4"/>
  <cols>
    <col min="1" max="1" width="3.88671875" customWidth="1"/>
    <col min="2" max="2" width="20.44140625" customWidth="1"/>
    <col min="3" max="3" width="17.109375" customWidth="1"/>
    <col min="4" max="10" width="14.44140625" customWidth="1"/>
    <col min="11" max="11" width="19.88671875" customWidth="1"/>
    <col min="12" max="12" width="12.109375" customWidth="1"/>
    <col min="13" max="13" width="14" customWidth="1"/>
    <col min="18" max="18" width="11.88671875" customWidth="1"/>
    <col min="19" max="19" width="12.88671875" customWidth="1"/>
  </cols>
  <sheetData>
    <row r="3" spans="2:23">
      <c r="B3" s="480" t="s">
        <v>132</v>
      </c>
      <c r="C3" s="480" t="s">
        <v>133</v>
      </c>
      <c r="D3" s="480" t="s">
        <v>134</v>
      </c>
      <c r="E3" s="480" t="s">
        <v>135</v>
      </c>
      <c r="F3" s="480" t="s">
        <v>136</v>
      </c>
      <c r="G3" s="480"/>
      <c r="H3" s="817" t="s">
        <v>137</v>
      </c>
      <c r="I3" s="817"/>
      <c r="J3" s="817"/>
      <c r="K3" s="480" t="s">
        <v>138</v>
      </c>
      <c r="L3" s="481" t="s">
        <v>139</v>
      </c>
      <c r="M3" s="482"/>
    </row>
    <row r="4" spans="2:23">
      <c r="B4" s="483"/>
      <c r="C4" s="483"/>
      <c r="D4" s="483"/>
      <c r="E4" s="483"/>
      <c r="F4" s="484" t="s">
        <v>135</v>
      </c>
      <c r="G4" s="484" t="s">
        <v>140</v>
      </c>
      <c r="H4" s="484" t="s">
        <v>141</v>
      </c>
      <c r="I4" s="484" t="s">
        <v>140</v>
      </c>
      <c r="J4" s="484" t="s">
        <v>142</v>
      </c>
      <c r="K4" s="484" t="s">
        <v>143</v>
      </c>
      <c r="L4" s="485" t="s">
        <v>144</v>
      </c>
      <c r="M4" s="485" t="s">
        <v>145</v>
      </c>
    </row>
    <row r="5" spans="2:23">
      <c r="B5" s="486"/>
      <c r="C5" s="486"/>
      <c r="D5" s="486"/>
      <c r="E5" s="486"/>
      <c r="F5" s="487"/>
      <c r="G5" s="487"/>
      <c r="H5" s="487"/>
      <c r="I5" s="487"/>
      <c r="J5" s="487"/>
      <c r="K5" s="488"/>
      <c r="L5" s="488"/>
      <c r="M5" s="488"/>
    </row>
    <row r="6" spans="2:23" ht="18">
      <c r="B6" s="488" t="s">
        <v>146</v>
      </c>
      <c r="C6" s="489">
        <v>0.3</v>
      </c>
      <c r="D6" s="489">
        <v>0.3</v>
      </c>
      <c r="E6" s="489">
        <v>0.1</v>
      </c>
      <c r="F6" s="489">
        <v>0.05</v>
      </c>
      <c r="G6" s="489">
        <v>10</v>
      </c>
      <c r="H6" s="490">
        <v>0.2</v>
      </c>
      <c r="I6" s="490">
        <v>10</v>
      </c>
      <c r="J6" s="490">
        <v>0.25</v>
      </c>
      <c r="K6" s="490">
        <v>3</v>
      </c>
      <c r="L6" s="488"/>
      <c r="M6" s="488"/>
      <c r="T6" s="818" t="s">
        <v>147</v>
      </c>
      <c r="U6" s="818"/>
    </row>
    <row r="7" spans="2:23">
      <c r="B7" s="488"/>
      <c r="C7" s="489"/>
      <c r="D7" s="489"/>
      <c r="E7" s="489"/>
      <c r="F7" s="489"/>
      <c r="G7" s="489"/>
      <c r="H7" s="488"/>
      <c r="I7" s="488"/>
      <c r="J7" s="488"/>
      <c r="K7" s="489"/>
      <c r="L7" s="488"/>
      <c r="M7" s="488"/>
      <c r="S7" s="491"/>
      <c r="V7" s="491"/>
      <c r="W7" s="819" t="s">
        <v>6</v>
      </c>
    </row>
    <row r="8" spans="2:23">
      <c r="B8" s="488"/>
      <c r="C8" s="489"/>
      <c r="D8" s="489"/>
      <c r="E8" s="489"/>
      <c r="F8" s="489"/>
      <c r="G8" s="489"/>
      <c r="H8" s="488"/>
      <c r="I8" s="488"/>
      <c r="J8" s="488"/>
      <c r="K8" s="489"/>
      <c r="L8" s="488"/>
      <c r="M8" s="488"/>
      <c r="S8" s="491"/>
      <c r="V8" s="491"/>
      <c r="W8" s="819"/>
    </row>
    <row r="9" spans="2:23">
      <c r="B9" s="488" t="s">
        <v>148</v>
      </c>
      <c r="C9" s="489">
        <v>0.45</v>
      </c>
      <c r="D9" s="489">
        <v>0.45</v>
      </c>
      <c r="E9" s="489">
        <v>0.1</v>
      </c>
      <c r="F9" s="489">
        <v>0.05</v>
      </c>
      <c r="G9" s="489">
        <v>10</v>
      </c>
      <c r="H9" s="490">
        <v>0.2</v>
      </c>
      <c r="I9" s="490">
        <v>10</v>
      </c>
      <c r="J9" s="490">
        <v>0.25</v>
      </c>
      <c r="K9" s="490">
        <v>3</v>
      </c>
      <c r="L9" s="488"/>
      <c r="M9" s="488"/>
      <c r="S9" s="491"/>
      <c r="V9" s="491"/>
      <c r="W9" s="819"/>
    </row>
    <row r="10" spans="2:23">
      <c r="B10" s="488"/>
      <c r="C10" s="489"/>
      <c r="D10" s="489"/>
      <c r="E10" s="489"/>
      <c r="F10" s="489"/>
      <c r="G10" s="489"/>
      <c r="H10" s="490"/>
      <c r="I10" s="490"/>
      <c r="J10" s="490"/>
      <c r="K10" s="490"/>
      <c r="L10" s="488"/>
      <c r="M10" s="488"/>
      <c r="S10" s="491"/>
      <c r="V10" s="491"/>
      <c r="W10" s="819"/>
    </row>
    <row r="11" spans="2:23">
      <c r="B11" s="488"/>
      <c r="C11" s="489"/>
      <c r="D11" s="489"/>
      <c r="E11" s="489"/>
      <c r="F11" s="489"/>
      <c r="G11" s="489"/>
      <c r="H11" s="488"/>
      <c r="I11" s="488"/>
      <c r="J11" s="488"/>
      <c r="K11" s="489"/>
      <c r="L11" s="488"/>
      <c r="M11" s="488"/>
      <c r="S11" s="491"/>
      <c r="V11" s="491"/>
      <c r="W11" s="819"/>
    </row>
    <row r="12" spans="2:23">
      <c r="B12" s="488" t="s">
        <v>149</v>
      </c>
      <c r="C12" s="489">
        <v>0.6</v>
      </c>
      <c r="D12" s="489">
        <v>0.6</v>
      </c>
      <c r="E12" s="489">
        <v>0.1</v>
      </c>
      <c r="F12" s="489">
        <v>0.05</v>
      </c>
      <c r="G12" s="489">
        <v>10</v>
      </c>
      <c r="H12" s="488">
        <v>0.2</v>
      </c>
      <c r="I12" s="488">
        <v>10</v>
      </c>
      <c r="J12" s="488">
        <v>0.25</v>
      </c>
      <c r="K12" s="490">
        <v>3</v>
      </c>
      <c r="L12" s="488"/>
      <c r="M12" s="488"/>
      <c r="S12" s="491"/>
      <c r="V12" s="491"/>
      <c r="W12" s="819"/>
    </row>
    <row r="13" spans="2:23">
      <c r="B13" s="488"/>
      <c r="C13" s="489"/>
      <c r="D13" s="489"/>
      <c r="E13" s="489"/>
      <c r="F13" s="489"/>
      <c r="G13" s="489"/>
      <c r="H13" s="488"/>
      <c r="I13" s="488"/>
      <c r="J13" s="488"/>
      <c r="K13" s="490"/>
      <c r="L13" s="488"/>
      <c r="M13" s="488"/>
      <c r="S13" s="491"/>
      <c r="V13" s="491"/>
      <c r="W13" s="819"/>
    </row>
    <row r="14" spans="2:23">
      <c r="B14" s="488"/>
      <c r="C14" s="489"/>
      <c r="D14" s="489"/>
      <c r="E14" s="489"/>
      <c r="F14" s="489"/>
      <c r="G14" s="489"/>
      <c r="H14" s="488"/>
      <c r="I14" s="488"/>
      <c r="J14" s="488"/>
      <c r="K14" s="489"/>
      <c r="L14" s="488"/>
      <c r="M14" s="488"/>
      <c r="S14" s="491"/>
      <c r="V14" s="491"/>
      <c r="W14" s="819"/>
    </row>
    <row r="15" spans="2:23">
      <c r="B15" s="488" t="s">
        <v>150</v>
      </c>
      <c r="C15" s="489">
        <v>0.75</v>
      </c>
      <c r="D15" s="489">
        <v>0.75</v>
      </c>
      <c r="E15" s="489">
        <v>0.125</v>
      </c>
      <c r="F15" s="489">
        <v>0.05</v>
      </c>
      <c r="G15" s="489">
        <v>10</v>
      </c>
      <c r="H15" s="488">
        <v>0.2</v>
      </c>
      <c r="I15" s="488">
        <v>10</v>
      </c>
      <c r="J15" s="488">
        <v>0.25</v>
      </c>
      <c r="K15" s="490">
        <v>3</v>
      </c>
      <c r="L15" s="488"/>
      <c r="M15" s="488"/>
      <c r="S15" s="491"/>
      <c r="V15" s="491"/>
      <c r="W15" s="819"/>
    </row>
    <row r="16" spans="2:23">
      <c r="B16" s="488"/>
      <c r="C16" s="489"/>
      <c r="D16" s="489"/>
      <c r="E16" s="489"/>
      <c r="F16" s="489"/>
      <c r="G16" s="489"/>
      <c r="H16" s="488"/>
      <c r="I16" s="488"/>
      <c r="J16" s="488"/>
      <c r="K16" s="490"/>
      <c r="L16" s="488"/>
      <c r="M16" s="488"/>
      <c r="S16" s="491"/>
      <c r="V16" s="491"/>
      <c r="W16" s="819"/>
    </row>
    <row r="17" spans="2:23">
      <c r="B17" s="488"/>
      <c r="C17" s="489"/>
      <c r="D17" s="489"/>
      <c r="E17" s="489"/>
      <c r="F17" s="489"/>
      <c r="G17" s="489"/>
      <c r="H17" s="488"/>
      <c r="I17" s="488"/>
      <c r="J17" s="488"/>
      <c r="K17" s="489"/>
      <c r="L17" s="488"/>
      <c r="M17" s="488"/>
      <c r="S17" s="491"/>
      <c r="V17" s="491"/>
      <c r="W17" s="819"/>
    </row>
    <row r="18" spans="2:23">
      <c r="B18" s="488" t="s">
        <v>151</v>
      </c>
      <c r="C18" s="489">
        <v>0.9</v>
      </c>
      <c r="D18" s="489">
        <v>0.9</v>
      </c>
      <c r="E18" s="489">
        <v>0.15</v>
      </c>
      <c r="F18" s="489">
        <v>0.05</v>
      </c>
      <c r="G18" s="489">
        <v>10</v>
      </c>
      <c r="H18" s="488">
        <v>0.17499999999999999</v>
      </c>
      <c r="I18" s="488">
        <v>10</v>
      </c>
      <c r="J18" s="488">
        <v>0.25</v>
      </c>
      <c r="K18" s="490">
        <v>3</v>
      </c>
      <c r="L18" s="488"/>
      <c r="M18" s="488"/>
      <c r="S18" s="491"/>
      <c r="T18" s="491"/>
      <c r="U18" s="491"/>
      <c r="V18" s="491"/>
      <c r="W18" s="819" t="s">
        <v>152</v>
      </c>
    </row>
    <row r="19" spans="2:23">
      <c r="B19" s="488"/>
      <c r="C19" s="489"/>
      <c r="D19" s="489"/>
      <c r="E19" s="489"/>
      <c r="F19" s="489"/>
      <c r="G19" s="489"/>
      <c r="H19" s="488"/>
      <c r="I19" s="488"/>
      <c r="J19" s="488"/>
      <c r="K19" s="490"/>
      <c r="L19" s="488"/>
      <c r="M19" s="488"/>
      <c r="S19" s="491"/>
      <c r="T19" s="491"/>
      <c r="U19" s="491"/>
      <c r="V19" s="491"/>
      <c r="W19" s="819"/>
    </row>
    <row r="20" spans="2:23">
      <c r="B20" s="488"/>
      <c r="C20" s="489"/>
      <c r="D20" s="489"/>
      <c r="E20" s="489"/>
      <c r="F20" s="489"/>
      <c r="G20" s="489"/>
      <c r="H20" s="488"/>
      <c r="I20" s="488"/>
      <c r="J20" s="488"/>
      <c r="K20" s="489"/>
      <c r="L20" s="488"/>
      <c r="M20" s="488"/>
      <c r="S20" s="491"/>
      <c r="T20" s="491"/>
      <c r="U20" s="491"/>
      <c r="V20" s="491"/>
      <c r="W20" s="819"/>
    </row>
    <row r="21" spans="2:23">
      <c r="B21" s="488" t="s">
        <v>153</v>
      </c>
      <c r="C21" s="489">
        <v>1</v>
      </c>
      <c r="D21" s="489">
        <v>1</v>
      </c>
      <c r="E21" s="489">
        <v>0.15</v>
      </c>
      <c r="F21" s="489">
        <v>0.05</v>
      </c>
      <c r="G21" s="489">
        <v>10</v>
      </c>
      <c r="H21" s="488">
        <v>0.17499999999999999</v>
      </c>
      <c r="I21" s="488">
        <v>10</v>
      </c>
      <c r="J21" s="488">
        <v>0.25</v>
      </c>
      <c r="K21" s="490">
        <v>3</v>
      </c>
      <c r="L21" s="488"/>
      <c r="M21" s="488"/>
      <c r="S21" s="492"/>
      <c r="T21" s="492"/>
      <c r="U21" s="492"/>
      <c r="V21" s="492"/>
      <c r="W21" t="s">
        <v>154</v>
      </c>
    </row>
    <row r="22" spans="2:23">
      <c r="B22" s="488"/>
      <c r="C22" s="489"/>
      <c r="D22" s="489"/>
      <c r="E22" s="489"/>
      <c r="F22" s="489"/>
      <c r="G22" s="489"/>
      <c r="H22" s="488"/>
      <c r="I22" s="488"/>
      <c r="J22" s="488"/>
      <c r="K22" s="490"/>
      <c r="L22" s="488"/>
      <c r="M22" s="488"/>
      <c r="S22" s="492"/>
      <c r="T22" s="492"/>
      <c r="U22" s="492"/>
      <c r="V22" s="492"/>
    </row>
    <row r="23" spans="2:23">
      <c r="B23" s="488"/>
      <c r="C23" s="489"/>
      <c r="D23" s="489"/>
      <c r="E23" s="489"/>
      <c r="F23" s="489"/>
      <c r="G23" s="489"/>
      <c r="H23" s="488"/>
      <c r="I23" s="488"/>
      <c r="J23" s="488"/>
      <c r="K23" s="489"/>
      <c r="L23" s="488"/>
      <c r="M23" s="488"/>
    </row>
    <row r="24" spans="2:23">
      <c r="B24" s="488" t="s">
        <v>155</v>
      </c>
      <c r="C24" s="489">
        <v>0.3</v>
      </c>
      <c r="D24" s="489">
        <v>0.3</v>
      </c>
      <c r="E24" s="489">
        <v>0.1</v>
      </c>
      <c r="F24" s="489">
        <v>0.05</v>
      </c>
      <c r="G24" s="489">
        <v>10</v>
      </c>
      <c r="H24" s="488">
        <v>0.2</v>
      </c>
      <c r="I24" s="488">
        <v>10</v>
      </c>
      <c r="J24" s="488">
        <v>0.25</v>
      </c>
      <c r="K24" s="490">
        <v>3</v>
      </c>
      <c r="L24" s="488"/>
      <c r="M24" s="488"/>
    </row>
    <row r="25" spans="2:23">
      <c r="B25" s="488"/>
      <c r="C25" s="489"/>
      <c r="D25" s="489"/>
      <c r="E25" s="489"/>
      <c r="F25" s="489"/>
      <c r="G25" s="489"/>
      <c r="H25" s="488"/>
      <c r="I25" s="488"/>
      <c r="J25" s="488"/>
      <c r="K25" s="490"/>
      <c r="L25" s="488"/>
      <c r="M25" s="488"/>
    </row>
    <row r="26" spans="2:23">
      <c r="B26" s="488"/>
      <c r="C26" s="489"/>
      <c r="D26" s="489"/>
      <c r="E26" s="489"/>
      <c r="F26" s="489"/>
      <c r="G26" s="489"/>
      <c r="H26" s="488"/>
      <c r="I26" s="488"/>
      <c r="J26" s="488"/>
      <c r="K26" s="489"/>
      <c r="L26" s="488"/>
      <c r="M26" s="488"/>
    </row>
    <row r="27" spans="2:23">
      <c r="B27" s="488" t="s">
        <v>156</v>
      </c>
      <c r="C27" s="489">
        <v>0.6</v>
      </c>
      <c r="D27" s="489">
        <v>0.6</v>
      </c>
      <c r="E27" s="489">
        <v>0.1</v>
      </c>
      <c r="F27" s="489">
        <v>0.05</v>
      </c>
      <c r="G27" s="489">
        <v>10</v>
      </c>
      <c r="H27" s="488">
        <v>0.2</v>
      </c>
      <c r="I27" s="488">
        <v>10</v>
      </c>
      <c r="J27" s="488">
        <v>0.25</v>
      </c>
      <c r="K27" s="490">
        <v>3</v>
      </c>
      <c r="L27" s="488"/>
      <c r="M27" s="488"/>
    </row>
    <row r="28" spans="2:23">
      <c r="B28" s="493"/>
      <c r="C28" s="494"/>
      <c r="D28" s="494"/>
      <c r="E28" s="494"/>
      <c r="F28" s="494"/>
      <c r="G28" s="494"/>
      <c r="H28" s="493"/>
      <c r="I28" s="493"/>
      <c r="J28" s="493"/>
      <c r="K28" s="490"/>
      <c r="L28" s="488"/>
      <c r="M28" s="488"/>
    </row>
    <row r="29" spans="2:23">
      <c r="B29" s="493"/>
      <c r="C29" s="494"/>
      <c r="D29" s="494"/>
      <c r="E29" s="494"/>
      <c r="F29" s="494"/>
      <c r="G29" s="494"/>
      <c r="H29" s="493"/>
      <c r="I29" s="493"/>
      <c r="J29" s="493"/>
      <c r="K29" s="495"/>
      <c r="L29" s="488"/>
      <c r="M29" s="488"/>
    </row>
    <row r="30" spans="2:23">
      <c r="B30" s="496" t="s">
        <v>157</v>
      </c>
      <c r="C30" s="489">
        <v>0.3</v>
      </c>
      <c r="D30" s="489">
        <v>0.3</v>
      </c>
      <c r="E30" s="489">
        <v>0.1</v>
      </c>
      <c r="F30" s="489">
        <v>0.05</v>
      </c>
      <c r="G30" s="489">
        <v>10</v>
      </c>
      <c r="H30" s="488">
        <v>0.25</v>
      </c>
      <c r="I30" s="488">
        <v>10</v>
      </c>
      <c r="J30" s="488">
        <v>0.25</v>
      </c>
      <c r="K30" s="490">
        <v>0</v>
      </c>
      <c r="L30" s="488"/>
      <c r="M30" s="488"/>
    </row>
    <row r="31" spans="2:23">
      <c r="B31" s="493" t="s">
        <v>158</v>
      </c>
      <c r="C31" s="494">
        <v>1.5</v>
      </c>
      <c r="D31" s="494"/>
      <c r="E31" s="494">
        <v>0.1</v>
      </c>
      <c r="F31" s="494"/>
      <c r="G31" s="494">
        <v>10</v>
      </c>
      <c r="H31" s="493">
        <v>0.25</v>
      </c>
      <c r="I31" s="493">
        <v>10</v>
      </c>
      <c r="J31" s="493">
        <v>0.15</v>
      </c>
      <c r="K31" s="490"/>
      <c r="L31" s="488"/>
      <c r="M31" s="488"/>
    </row>
    <row r="32" spans="2:23">
      <c r="B32" s="493"/>
      <c r="C32" s="494"/>
      <c r="D32" s="494"/>
      <c r="E32" s="494"/>
      <c r="F32" s="494"/>
      <c r="G32" s="494"/>
      <c r="H32" s="493"/>
      <c r="I32" s="493"/>
      <c r="J32" s="493"/>
      <c r="K32" s="495"/>
      <c r="L32" s="488"/>
      <c r="M32" s="488"/>
    </row>
    <row r="33" spans="2:13">
      <c r="B33" s="496" t="s">
        <v>159</v>
      </c>
      <c r="C33" s="489">
        <v>0.45</v>
      </c>
      <c r="D33" s="489">
        <v>0.45</v>
      </c>
      <c r="E33" s="489">
        <v>0.1</v>
      </c>
      <c r="F33" s="489">
        <v>0.05</v>
      </c>
      <c r="G33" s="489">
        <v>10</v>
      </c>
      <c r="H33" s="488">
        <v>0.25</v>
      </c>
      <c r="I33" s="488">
        <v>10</v>
      </c>
      <c r="J33" s="488">
        <v>0.25</v>
      </c>
      <c r="K33" s="490">
        <v>0</v>
      </c>
      <c r="L33" s="488"/>
      <c r="M33" s="488"/>
    </row>
    <row r="34" spans="2:13">
      <c r="B34" s="493" t="s">
        <v>158</v>
      </c>
      <c r="C34" s="494">
        <v>1.5</v>
      </c>
      <c r="D34" s="494"/>
      <c r="E34" s="494">
        <v>0.1</v>
      </c>
      <c r="F34" s="494"/>
      <c r="G34" s="494">
        <v>10</v>
      </c>
      <c r="H34" s="493">
        <v>0.25</v>
      </c>
      <c r="I34" s="493">
        <v>10</v>
      </c>
      <c r="J34" s="493">
        <v>0.15</v>
      </c>
      <c r="K34" s="490"/>
      <c r="L34" s="488"/>
      <c r="M34" s="488"/>
    </row>
    <row r="35" spans="2:13">
      <c r="B35" s="493"/>
      <c r="C35" s="494"/>
      <c r="D35" s="494"/>
      <c r="E35" s="494"/>
      <c r="F35" s="494"/>
      <c r="G35" s="494"/>
      <c r="H35" s="493"/>
      <c r="I35" s="493"/>
      <c r="J35" s="493"/>
      <c r="K35" s="495"/>
      <c r="L35" s="488"/>
      <c r="M35" s="488"/>
    </row>
    <row r="36" spans="2:13">
      <c r="B36" s="496" t="s">
        <v>161</v>
      </c>
      <c r="C36" s="489">
        <v>1</v>
      </c>
      <c r="D36" s="489">
        <v>0.15</v>
      </c>
      <c r="E36" s="489">
        <v>0.1</v>
      </c>
      <c r="F36" s="489">
        <v>0.05</v>
      </c>
      <c r="G36" s="489">
        <v>10</v>
      </c>
      <c r="H36" s="488">
        <v>0.25</v>
      </c>
      <c r="I36" s="488">
        <v>10</v>
      </c>
      <c r="J36" s="488">
        <v>0.25</v>
      </c>
      <c r="K36" s="490">
        <v>0</v>
      </c>
      <c r="L36" s="488"/>
      <c r="M36" s="488"/>
    </row>
    <row r="37" spans="2:13">
      <c r="B37" s="493" t="s">
        <v>158</v>
      </c>
      <c r="C37" s="494">
        <v>1.5</v>
      </c>
      <c r="D37" s="494"/>
      <c r="E37" s="494">
        <v>0.1</v>
      </c>
      <c r="F37" s="494"/>
      <c r="G37" s="494">
        <v>10</v>
      </c>
      <c r="H37" s="493">
        <v>0.25</v>
      </c>
      <c r="I37" s="493">
        <v>10</v>
      </c>
      <c r="J37" s="493">
        <v>0.15</v>
      </c>
      <c r="K37" s="490"/>
      <c r="L37" s="488"/>
      <c r="M37" s="488"/>
    </row>
    <row r="38" spans="2:13">
      <c r="B38" s="493"/>
      <c r="C38" s="494"/>
      <c r="D38" s="494"/>
      <c r="E38" s="494"/>
      <c r="F38" s="494"/>
      <c r="G38" s="494"/>
      <c r="H38" s="493"/>
      <c r="I38" s="493"/>
      <c r="J38" s="493"/>
      <c r="K38" s="495"/>
      <c r="L38" s="488"/>
      <c r="M38" s="488"/>
    </row>
    <row r="39" spans="2:13">
      <c r="B39" s="497" t="s">
        <v>162</v>
      </c>
      <c r="C39" s="489">
        <v>1</v>
      </c>
      <c r="D39" s="489">
        <v>0.2</v>
      </c>
      <c r="E39" s="489">
        <v>0.1</v>
      </c>
      <c r="F39" s="489">
        <v>0.05</v>
      </c>
      <c r="G39" s="489">
        <v>10</v>
      </c>
      <c r="H39" s="488">
        <v>0.25</v>
      </c>
      <c r="I39" s="488">
        <v>10</v>
      </c>
      <c r="J39" s="488">
        <v>0.25</v>
      </c>
      <c r="K39" s="490">
        <v>0</v>
      </c>
      <c r="L39" s="488"/>
      <c r="M39" s="488"/>
    </row>
    <row r="40" spans="2:13">
      <c r="B40" s="493"/>
      <c r="C40" s="494"/>
      <c r="D40" s="494"/>
      <c r="E40" s="494"/>
      <c r="F40" s="494"/>
      <c r="G40" s="494"/>
      <c r="H40" s="493"/>
      <c r="I40" s="493"/>
      <c r="J40" s="493"/>
      <c r="K40" s="495"/>
      <c r="L40" s="488"/>
      <c r="M40" s="488"/>
    </row>
    <row r="41" spans="2:13">
      <c r="B41" s="497" t="s">
        <v>163</v>
      </c>
      <c r="C41" s="489">
        <v>1</v>
      </c>
      <c r="D41" s="489">
        <v>0.3</v>
      </c>
      <c r="E41" s="489">
        <v>0.1</v>
      </c>
      <c r="F41" s="489">
        <v>0.05</v>
      </c>
      <c r="G41" s="489">
        <v>10</v>
      </c>
      <c r="H41" s="488">
        <v>0.25</v>
      </c>
      <c r="I41" s="488">
        <v>10</v>
      </c>
      <c r="J41" s="488">
        <v>0.25</v>
      </c>
      <c r="K41" s="490">
        <v>0</v>
      </c>
      <c r="L41" s="488"/>
      <c r="M41" s="488"/>
    </row>
    <row r="42" spans="2:13">
      <c r="B42" s="493"/>
      <c r="C42" s="494"/>
      <c r="D42" s="494"/>
      <c r="E42" s="494"/>
      <c r="F42" s="494"/>
      <c r="G42" s="494"/>
      <c r="H42" s="493"/>
      <c r="I42" s="493"/>
      <c r="J42" s="493"/>
      <c r="K42" s="495"/>
      <c r="L42" s="488"/>
      <c r="M42" s="488"/>
    </row>
    <row r="43" spans="2:13">
      <c r="B43" s="498" t="s">
        <v>164</v>
      </c>
      <c r="C43" s="489">
        <v>0.6</v>
      </c>
      <c r="D43" s="489">
        <v>0.6</v>
      </c>
      <c r="E43" s="489">
        <v>0.15</v>
      </c>
      <c r="F43" s="489">
        <v>0.05</v>
      </c>
      <c r="G43" s="489">
        <v>10</v>
      </c>
      <c r="H43" s="488">
        <v>0.25</v>
      </c>
      <c r="I43" s="488">
        <v>10</v>
      </c>
      <c r="J43" s="488">
        <v>0.25</v>
      </c>
      <c r="K43" s="490">
        <v>0</v>
      </c>
      <c r="L43" s="488"/>
      <c r="M43" s="488"/>
    </row>
    <row r="44" spans="2:13">
      <c r="B44" s="493"/>
      <c r="C44" s="494"/>
      <c r="D44" s="494"/>
      <c r="E44" s="494"/>
      <c r="F44" s="494"/>
      <c r="G44" s="494"/>
      <c r="H44" s="493"/>
      <c r="I44" s="493"/>
      <c r="J44" s="493"/>
      <c r="K44" s="495"/>
      <c r="L44" s="488"/>
      <c r="M44" s="488"/>
    </row>
    <row r="45" spans="2:13">
      <c r="B45" s="498" t="s">
        <v>165</v>
      </c>
      <c r="C45" s="489">
        <v>0.8</v>
      </c>
      <c r="D45" s="489">
        <v>0.8</v>
      </c>
      <c r="E45" s="489">
        <v>0.15</v>
      </c>
      <c r="F45" s="489">
        <v>0.05</v>
      </c>
      <c r="G45" s="489">
        <v>10</v>
      </c>
      <c r="H45" s="488">
        <v>0.25</v>
      </c>
      <c r="I45" s="488">
        <v>10</v>
      </c>
      <c r="J45" s="488">
        <v>0.25</v>
      </c>
      <c r="K45" s="490">
        <v>0</v>
      </c>
      <c r="L45" s="488"/>
      <c r="M45" s="488"/>
    </row>
    <row r="46" spans="2:13">
      <c r="B46" s="493"/>
      <c r="C46" s="494"/>
      <c r="D46" s="494"/>
      <c r="E46" s="494"/>
      <c r="F46" s="494"/>
      <c r="G46" s="494"/>
      <c r="H46" s="493"/>
      <c r="I46" s="493"/>
      <c r="J46" s="493"/>
      <c r="K46" s="495"/>
      <c r="L46" s="488"/>
      <c r="M46" s="488"/>
    </row>
    <row r="47" spans="2:13">
      <c r="B47" s="499" t="s">
        <v>166</v>
      </c>
      <c r="C47" s="489">
        <v>1</v>
      </c>
      <c r="D47" s="489">
        <v>0.6</v>
      </c>
      <c r="E47" s="489">
        <v>0.1</v>
      </c>
      <c r="F47" s="489">
        <v>0.05</v>
      </c>
      <c r="G47" s="489">
        <v>10</v>
      </c>
      <c r="H47" s="488">
        <v>0.25</v>
      </c>
      <c r="I47" s="488">
        <v>10</v>
      </c>
      <c r="J47" s="488">
        <v>0.25</v>
      </c>
      <c r="K47" s="490">
        <v>3</v>
      </c>
      <c r="L47" s="488"/>
      <c r="M47" s="488"/>
    </row>
    <row r="48" spans="2:13">
      <c r="B48" s="500"/>
      <c r="C48" s="494"/>
      <c r="D48" s="494"/>
      <c r="E48" s="494"/>
      <c r="F48" s="494"/>
      <c r="G48" s="494"/>
      <c r="H48" s="493"/>
      <c r="I48" s="493"/>
      <c r="J48" s="493"/>
      <c r="K48" s="495"/>
      <c r="L48" s="488"/>
      <c r="M48" s="488"/>
    </row>
    <row r="49" spans="2:13">
      <c r="B49" s="493"/>
      <c r="C49" s="494"/>
      <c r="D49" s="494"/>
      <c r="E49" s="494"/>
      <c r="F49" s="494"/>
      <c r="G49" s="494"/>
      <c r="H49" s="493"/>
      <c r="I49" s="493"/>
      <c r="J49" s="493"/>
      <c r="K49" s="495"/>
      <c r="L49" s="488"/>
      <c r="M49" s="488"/>
    </row>
    <row r="50" spans="2:13">
      <c r="B50" s="499" t="s">
        <v>167</v>
      </c>
      <c r="C50" s="489">
        <v>1</v>
      </c>
      <c r="D50" s="489">
        <v>0.8</v>
      </c>
      <c r="E50" s="489">
        <v>0.125</v>
      </c>
      <c r="F50" s="489">
        <v>0.05</v>
      </c>
      <c r="G50" s="489">
        <v>10</v>
      </c>
      <c r="H50" s="488">
        <v>0.25</v>
      </c>
      <c r="I50" s="488">
        <v>10</v>
      </c>
      <c r="J50" s="488">
        <v>0.25</v>
      </c>
      <c r="K50" s="490">
        <v>3</v>
      </c>
      <c r="L50" s="488"/>
      <c r="M50" s="488"/>
    </row>
    <row r="51" spans="2:13">
      <c r="B51" s="500"/>
      <c r="C51" s="494"/>
      <c r="D51" s="494"/>
      <c r="E51" s="494"/>
      <c r="F51" s="494"/>
      <c r="G51" s="494"/>
      <c r="H51" s="493"/>
      <c r="I51" s="493"/>
      <c r="J51" s="493"/>
      <c r="K51" s="495"/>
      <c r="L51" s="488"/>
      <c r="M51" s="488"/>
    </row>
    <row r="52" spans="2:13">
      <c r="B52" s="493"/>
      <c r="C52" s="494"/>
      <c r="D52" s="494"/>
      <c r="E52" s="494"/>
      <c r="F52" s="494"/>
      <c r="G52" s="494"/>
      <c r="H52" s="493"/>
      <c r="I52" s="493"/>
      <c r="J52" s="493"/>
      <c r="K52" s="495"/>
      <c r="L52" s="488"/>
      <c r="M52" s="488"/>
    </row>
    <row r="53" spans="2:13">
      <c r="B53" s="499" t="s">
        <v>168</v>
      </c>
      <c r="C53" s="489">
        <v>1</v>
      </c>
      <c r="D53" s="489">
        <v>1</v>
      </c>
      <c r="E53" s="489">
        <v>0.125</v>
      </c>
      <c r="F53" s="489">
        <v>0.05</v>
      </c>
      <c r="G53" s="489">
        <v>10</v>
      </c>
      <c r="H53" s="488">
        <v>0.25</v>
      </c>
      <c r="I53" s="488">
        <v>10</v>
      </c>
      <c r="J53" s="488">
        <v>0.25</v>
      </c>
      <c r="K53" s="490">
        <v>3</v>
      </c>
      <c r="L53" s="488"/>
      <c r="M53" s="488"/>
    </row>
    <row r="54" spans="2:13">
      <c r="B54" s="500"/>
      <c r="C54" s="494"/>
      <c r="D54" s="494"/>
      <c r="E54" s="494"/>
      <c r="F54" s="494"/>
      <c r="G54" s="494"/>
      <c r="H54" s="493"/>
      <c r="I54" s="493"/>
      <c r="J54" s="493"/>
      <c r="K54" s="495"/>
      <c r="L54" s="488"/>
      <c r="M54" s="488"/>
    </row>
    <row r="55" spans="2:13">
      <c r="B55" s="493"/>
      <c r="C55" s="494"/>
      <c r="D55" s="494"/>
      <c r="E55" s="494"/>
      <c r="F55" s="494"/>
      <c r="G55" s="494"/>
      <c r="H55" s="493"/>
      <c r="I55" s="493"/>
      <c r="J55" s="493"/>
      <c r="K55" s="495"/>
      <c r="L55" s="488"/>
      <c r="M55" s="488"/>
    </row>
    <row r="56" spans="2:13">
      <c r="B56" s="499" t="s">
        <v>169</v>
      </c>
      <c r="C56" s="489">
        <v>1</v>
      </c>
      <c r="D56" s="489">
        <v>1</v>
      </c>
      <c r="E56" s="489">
        <v>0.125</v>
      </c>
      <c r="F56" s="489">
        <v>0.05</v>
      </c>
      <c r="G56" s="489">
        <v>10</v>
      </c>
      <c r="H56" s="488">
        <v>0.25</v>
      </c>
      <c r="I56" s="488">
        <v>10</v>
      </c>
      <c r="J56" s="488">
        <v>0.25</v>
      </c>
      <c r="K56" s="490">
        <v>3</v>
      </c>
      <c r="L56" s="488"/>
      <c r="M56" s="488"/>
    </row>
    <row r="57" spans="2:13">
      <c r="B57" s="500"/>
      <c r="C57" s="494"/>
      <c r="D57" s="494"/>
      <c r="E57" s="494"/>
      <c r="F57" s="494"/>
      <c r="G57" s="494"/>
      <c r="H57" s="493"/>
      <c r="I57" s="493"/>
      <c r="J57" s="493"/>
      <c r="K57" s="495"/>
      <c r="L57" s="488"/>
      <c r="M57" s="488"/>
    </row>
    <row r="58" spans="2:13">
      <c r="B58" s="500"/>
      <c r="C58" s="494"/>
      <c r="D58" s="494"/>
      <c r="E58" s="494"/>
      <c r="F58" s="494"/>
      <c r="G58" s="494"/>
      <c r="H58" s="493"/>
      <c r="I58" s="493"/>
      <c r="J58" s="493"/>
      <c r="K58" s="495"/>
      <c r="L58" s="488"/>
      <c r="M58" s="488"/>
    </row>
    <row r="59" spans="2:13">
      <c r="B59" s="501" t="s">
        <v>170</v>
      </c>
      <c r="C59" s="489">
        <v>0.45</v>
      </c>
      <c r="D59" s="489">
        <v>0.45</v>
      </c>
      <c r="E59" s="489">
        <v>0.1</v>
      </c>
      <c r="F59" s="489">
        <v>0.05</v>
      </c>
      <c r="G59" s="489">
        <v>10</v>
      </c>
      <c r="H59" s="488">
        <v>0.25</v>
      </c>
      <c r="I59" s="488">
        <v>10</v>
      </c>
      <c r="J59" s="488">
        <v>0.25</v>
      </c>
      <c r="K59" s="490"/>
      <c r="L59" s="488">
        <v>0.27500000000000002</v>
      </c>
      <c r="M59" s="488">
        <v>0.27500000000000002</v>
      </c>
    </row>
    <row r="60" spans="2:13">
      <c r="B60" s="502"/>
      <c r="C60" s="494"/>
      <c r="D60" s="494"/>
      <c r="E60" s="494"/>
      <c r="F60" s="494"/>
      <c r="G60" s="494"/>
      <c r="H60" s="493"/>
      <c r="I60" s="493"/>
      <c r="J60" s="493"/>
      <c r="K60" s="495"/>
      <c r="L60" s="488"/>
      <c r="M60" s="488"/>
    </row>
    <row r="61" spans="2:13">
      <c r="B61" s="502"/>
      <c r="C61" s="494"/>
      <c r="D61" s="494"/>
      <c r="E61" s="494"/>
      <c r="F61" s="494"/>
      <c r="G61" s="494"/>
      <c r="H61" s="493"/>
      <c r="I61" s="493"/>
      <c r="J61" s="493"/>
      <c r="K61" s="495"/>
      <c r="L61" s="488"/>
      <c r="M61" s="488"/>
    </row>
    <row r="62" spans="2:13">
      <c r="B62" s="493"/>
      <c r="C62" s="494"/>
      <c r="D62" s="494"/>
      <c r="E62" s="494"/>
      <c r="F62" s="494"/>
      <c r="G62" s="494"/>
      <c r="H62" s="493"/>
      <c r="I62" s="493"/>
      <c r="J62" s="493"/>
      <c r="K62" s="495"/>
      <c r="L62" s="488"/>
      <c r="M62" s="488"/>
    </row>
    <row r="63" spans="2:13">
      <c r="B63" s="501" t="s">
        <v>171</v>
      </c>
      <c r="C63" s="489">
        <v>0.45</v>
      </c>
      <c r="D63" s="489">
        <v>0.6</v>
      </c>
      <c r="E63" s="489">
        <v>0.1</v>
      </c>
      <c r="F63" s="489">
        <v>0.05</v>
      </c>
      <c r="G63" s="489">
        <v>10</v>
      </c>
      <c r="H63" s="488">
        <v>0.25</v>
      </c>
      <c r="I63" s="488">
        <v>10</v>
      </c>
      <c r="J63" s="488">
        <v>0.25</v>
      </c>
      <c r="K63" s="490"/>
      <c r="L63" s="488">
        <v>0.27500000000000002</v>
      </c>
      <c r="M63" s="488">
        <v>0.27500000000000002</v>
      </c>
    </row>
    <row r="64" spans="2:13">
      <c r="B64" s="502"/>
      <c r="C64" s="494"/>
      <c r="D64" s="494"/>
      <c r="E64" s="494"/>
      <c r="F64" s="494"/>
      <c r="G64" s="494"/>
      <c r="H64" s="493"/>
      <c r="I64" s="493"/>
      <c r="J64" s="493"/>
      <c r="K64" s="495"/>
      <c r="L64" s="488"/>
      <c r="M64" s="488"/>
    </row>
    <row r="65" spans="2:13">
      <c r="B65" s="502"/>
      <c r="C65" s="494"/>
      <c r="D65" s="494"/>
      <c r="E65" s="494"/>
      <c r="F65" s="494"/>
      <c r="G65" s="494"/>
      <c r="H65" s="493"/>
      <c r="I65" s="493"/>
      <c r="J65" s="493"/>
      <c r="K65" s="495"/>
      <c r="L65" s="488"/>
      <c r="M65" s="488"/>
    </row>
    <row r="66" spans="2:13">
      <c r="B66" s="500"/>
      <c r="C66" s="494"/>
      <c r="D66" s="494"/>
      <c r="E66" s="494"/>
      <c r="F66" s="494"/>
      <c r="G66" s="494"/>
      <c r="H66" s="493"/>
      <c r="I66" s="493"/>
      <c r="J66" s="493"/>
      <c r="K66" s="495"/>
      <c r="L66" s="488"/>
      <c r="M66" s="488"/>
    </row>
    <row r="67" spans="2:13">
      <c r="B67" s="501" t="s">
        <v>172</v>
      </c>
      <c r="C67" s="489">
        <v>0.6</v>
      </c>
      <c r="D67" s="489">
        <v>0.6</v>
      </c>
      <c r="E67" s="489">
        <v>0.1</v>
      </c>
      <c r="F67" s="489">
        <v>0.05</v>
      </c>
      <c r="G67" s="489">
        <v>10</v>
      </c>
      <c r="H67" s="488">
        <v>0.25</v>
      </c>
      <c r="I67" s="488">
        <v>10</v>
      </c>
      <c r="J67" s="488">
        <v>0.25</v>
      </c>
      <c r="K67" s="490"/>
      <c r="L67" s="488">
        <v>0.27500000000000002</v>
      </c>
      <c r="M67" s="488">
        <v>0.27500000000000002</v>
      </c>
    </row>
    <row r="68" spans="2:13">
      <c r="B68" s="502"/>
      <c r="C68" s="494"/>
      <c r="D68" s="494"/>
      <c r="E68" s="494"/>
      <c r="F68" s="494"/>
      <c r="G68" s="494"/>
      <c r="H68" s="493"/>
      <c r="I68" s="493"/>
      <c r="J68" s="493"/>
      <c r="K68" s="495"/>
      <c r="L68" s="488"/>
      <c r="M68" s="488"/>
    </row>
    <row r="69" spans="2:13">
      <c r="B69" s="502"/>
      <c r="C69" s="494"/>
      <c r="D69" s="494"/>
      <c r="E69" s="494"/>
      <c r="F69" s="494"/>
      <c r="G69" s="494"/>
      <c r="H69" s="493"/>
      <c r="I69" s="493"/>
      <c r="J69" s="493"/>
      <c r="K69" s="495"/>
      <c r="L69" s="488"/>
      <c r="M69" s="488"/>
    </row>
    <row r="70" spans="2:13">
      <c r="B70" s="502"/>
      <c r="C70" s="494"/>
      <c r="D70" s="494"/>
      <c r="E70" s="494"/>
      <c r="F70" s="494"/>
      <c r="G70" s="494"/>
      <c r="H70" s="493"/>
      <c r="I70" s="493"/>
      <c r="J70" s="493"/>
      <c r="K70" s="495"/>
      <c r="L70" s="488"/>
      <c r="M70" s="488"/>
    </row>
    <row r="71" spans="2:13">
      <c r="B71" s="501" t="s">
        <v>173</v>
      </c>
      <c r="C71" s="489">
        <v>0.8</v>
      </c>
      <c r="D71" s="489">
        <v>0.8</v>
      </c>
      <c r="E71" s="489">
        <v>0.1</v>
      </c>
      <c r="F71" s="489">
        <v>0.05</v>
      </c>
      <c r="G71" s="489">
        <v>10</v>
      </c>
      <c r="H71" s="488">
        <v>0.25</v>
      </c>
      <c r="I71" s="488">
        <v>10</v>
      </c>
      <c r="J71" s="488">
        <v>0.25</v>
      </c>
      <c r="K71" s="490"/>
      <c r="L71" s="488">
        <v>0.27500000000000002</v>
      </c>
      <c r="M71" s="488">
        <v>0.27500000000000002</v>
      </c>
    </row>
    <row r="72" spans="2:13">
      <c r="B72" s="502"/>
      <c r="C72" s="494"/>
      <c r="D72" s="494"/>
      <c r="E72" s="494"/>
      <c r="F72" s="494"/>
      <c r="G72" s="494"/>
      <c r="H72" s="493"/>
      <c r="I72" s="493"/>
      <c r="J72" s="493"/>
      <c r="K72" s="495"/>
      <c r="L72" s="488"/>
      <c r="M72" s="488"/>
    </row>
    <row r="73" spans="2:13">
      <c r="B73" s="502"/>
      <c r="C73" s="494"/>
      <c r="D73" s="494"/>
      <c r="E73" s="494"/>
      <c r="F73" s="494"/>
      <c r="G73" s="494"/>
      <c r="H73" s="493"/>
      <c r="I73" s="493"/>
      <c r="J73" s="493"/>
      <c r="K73" s="495"/>
      <c r="L73" s="488"/>
      <c r="M73" s="488"/>
    </row>
    <row r="74" spans="2:13">
      <c r="B74" s="502"/>
      <c r="C74" s="494"/>
      <c r="D74" s="494"/>
      <c r="E74" s="494"/>
      <c r="F74" s="494"/>
      <c r="G74" s="494"/>
      <c r="H74" s="493"/>
      <c r="I74" s="493"/>
      <c r="J74" s="493"/>
      <c r="K74" s="495"/>
      <c r="L74" s="488"/>
      <c r="M74" s="488"/>
    </row>
    <row r="75" spans="2:13">
      <c r="B75" s="501" t="s">
        <v>174</v>
      </c>
      <c r="C75" s="489">
        <v>1</v>
      </c>
      <c r="D75" s="489">
        <v>1</v>
      </c>
      <c r="E75" s="489">
        <v>0.125</v>
      </c>
      <c r="F75" s="489">
        <v>0.05</v>
      </c>
      <c r="G75" s="489">
        <v>10</v>
      </c>
      <c r="H75" s="488">
        <v>0.25</v>
      </c>
      <c r="I75" s="488">
        <v>10</v>
      </c>
      <c r="J75" s="488">
        <v>0.25</v>
      </c>
      <c r="K75" s="490"/>
      <c r="L75" s="488">
        <v>0.27500000000000002</v>
      </c>
      <c r="M75" s="488">
        <v>0.27500000000000002</v>
      </c>
    </row>
    <row r="76" spans="2:13">
      <c r="B76" s="502"/>
      <c r="C76" s="494"/>
      <c r="D76" s="494"/>
      <c r="E76" s="494"/>
      <c r="F76" s="494"/>
      <c r="G76" s="494"/>
      <c r="H76" s="493"/>
      <c r="I76" s="493"/>
      <c r="J76" s="493"/>
      <c r="K76" s="495"/>
      <c r="L76" s="488"/>
      <c r="M76" s="488"/>
    </row>
    <row r="77" spans="2:13">
      <c r="B77" s="502"/>
      <c r="C77" s="494"/>
      <c r="D77" s="494"/>
      <c r="E77" s="494"/>
      <c r="F77" s="494"/>
      <c r="G77" s="494"/>
      <c r="H77" s="493"/>
      <c r="I77" s="493"/>
      <c r="J77" s="493"/>
      <c r="K77" s="495"/>
      <c r="L77" s="488"/>
      <c r="M77" s="488"/>
    </row>
    <row r="78" spans="2:13">
      <c r="B78" s="502"/>
      <c r="C78" s="494"/>
      <c r="D78" s="494"/>
      <c r="E78" s="494"/>
      <c r="F78" s="494"/>
      <c r="G78" s="494"/>
      <c r="H78" s="493"/>
      <c r="I78" s="493"/>
      <c r="J78" s="493"/>
      <c r="K78" s="495"/>
      <c r="L78" s="488"/>
      <c r="M78" s="488"/>
    </row>
    <row r="79" spans="2:13">
      <c r="B79" s="503" t="s">
        <v>175</v>
      </c>
      <c r="C79" s="489">
        <v>0.45</v>
      </c>
      <c r="D79" s="489">
        <v>0.45</v>
      </c>
      <c r="E79" s="489">
        <v>0.1</v>
      </c>
      <c r="F79" s="489">
        <v>0.05</v>
      </c>
      <c r="G79" s="489">
        <v>10</v>
      </c>
      <c r="H79" s="488">
        <v>0.25</v>
      </c>
      <c r="I79" s="488">
        <v>10</v>
      </c>
      <c r="J79" s="488">
        <v>0.25</v>
      </c>
      <c r="K79" s="490"/>
      <c r="L79" s="488">
        <v>0.9</v>
      </c>
      <c r="M79" s="488">
        <v>0.45</v>
      </c>
    </row>
    <row r="80" spans="2:13">
      <c r="B80" s="504"/>
      <c r="C80" s="494"/>
      <c r="D80" s="494"/>
      <c r="E80" s="494"/>
      <c r="F80" s="494"/>
      <c r="G80" s="494"/>
      <c r="H80" s="493"/>
      <c r="I80" s="493"/>
      <c r="J80" s="493"/>
      <c r="K80" s="495"/>
      <c r="L80" s="488"/>
      <c r="M80" s="488"/>
    </row>
    <row r="81" spans="2:13">
      <c r="B81" s="504"/>
      <c r="C81" s="494"/>
      <c r="D81" s="494"/>
      <c r="E81" s="494"/>
      <c r="F81" s="494"/>
      <c r="G81" s="494"/>
      <c r="H81" s="493"/>
      <c r="I81" s="493"/>
      <c r="J81" s="493"/>
      <c r="K81" s="495"/>
      <c r="L81" s="488"/>
      <c r="M81" s="488"/>
    </row>
    <row r="82" spans="2:13">
      <c r="B82" s="504"/>
      <c r="C82" s="494"/>
      <c r="D82" s="494"/>
      <c r="E82" s="494"/>
      <c r="F82" s="494"/>
      <c r="G82" s="494"/>
      <c r="H82" s="493"/>
      <c r="I82" s="493"/>
      <c r="J82" s="493"/>
      <c r="K82" s="495"/>
      <c r="L82" s="488"/>
      <c r="M82" s="488"/>
    </row>
    <row r="83" spans="2:13">
      <c r="B83" s="503" t="s">
        <v>176</v>
      </c>
      <c r="C83" s="489">
        <v>0.45</v>
      </c>
      <c r="D83" s="489">
        <v>0.6</v>
      </c>
      <c r="E83" s="489">
        <v>0.1</v>
      </c>
      <c r="F83" s="489">
        <v>0.05</v>
      </c>
      <c r="G83" s="489">
        <v>10</v>
      </c>
      <c r="H83" s="488">
        <v>0.25</v>
      </c>
      <c r="I83" s="488">
        <v>10</v>
      </c>
      <c r="J83" s="488">
        <v>0.25</v>
      </c>
      <c r="K83" s="490"/>
      <c r="L83" s="488">
        <v>0.9</v>
      </c>
      <c r="M83" s="488">
        <v>0.45</v>
      </c>
    </row>
    <row r="84" spans="2:13">
      <c r="B84" s="504"/>
      <c r="C84" s="494"/>
      <c r="D84" s="494"/>
      <c r="E84" s="494"/>
      <c r="F84" s="494"/>
      <c r="G84" s="494"/>
      <c r="H84" s="493"/>
      <c r="I84" s="493"/>
      <c r="J84" s="493"/>
      <c r="K84" s="495"/>
      <c r="L84" s="488"/>
      <c r="M84" s="488"/>
    </row>
    <row r="85" spans="2:13">
      <c r="B85" s="504"/>
      <c r="C85" s="494"/>
      <c r="D85" s="494"/>
      <c r="E85" s="494"/>
      <c r="F85" s="494"/>
      <c r="G85" s="494"/>
      <c r="H85" s="493"/>
      <c r="I85" s="493"/>
      <c r="J85" s="493"/>
      <c r="K85" s="495"/>
      <c r="L85" s="488"/>
      <c r="M85" s="488"/>
    </row>
    <row r="86" spans="2:13">
      <c r="B86" s="504"/>
      <c r="C86" s="494"/>
      <c r="D86" s="494"/>
      <c r="E86" s="494"/>
      <c r="F86" s="494"/>
      <c r="G86" s="494"/>
      <c r="H86" s="493"/>
      <c r="I86" s="493"/>
      <c r="J86" s="493"/>
      <c r="K86" s="495"/>
      <c r="L86" s="488"/>
      <c r="M86" s="488"/>
    </row>
    <row r="87" spans="2:13">
      <c r="B87" s="503" t="s">
        <v>177</v>
      </c>
      <c r="C87" s="489">
        <v>0.6</v>
      </c>
      <c r="D87" s="489">
        <v>0.6</v>
      </c>
      <c r="E87" s="489">
        <v>0.1</v>
      </c>
      <c r="F87" s="489">
        <v>0.05</v>
      </c>
      <c r="G87" s="489">
        <v>10</v>
      </c>
      <c r="H87" s="488">
        <v>0.25</v>
      </c>
      <c r="I87" s="488">
        <v>10</v>
      </c>
      <c r="J87" s="488">
        <v>0.25</v>
      </c>
      <c r="K87" s="490"/>
      <c r="L87" s="488">
        <v>0.9</v>
      </c>
      <c r="M87" s="488">
        <v>0.45</v>
      </c>
    </row>
    <row r="88" spans="2:13">
      <c r="B88" s="504"/>
      <c r="C88" s="494"/>
      <c r="D88" s="494"/>
      <c r="E88" s="494"/>
      <c r="F88" s="494"/>
      <c r="G88" s="494"/>
      <c r="H88" s="493"/>
      <c r="I88" s="493"/>
      <c r="J88" s="493"/>
      <c r="K88" s="495"/>
      <c r="L88" s="488"/>
      <c r="M88" s="488"/>
    </row>
    <row r="89" spans="2:13">
      <c r="B89" s="504"/>
      <c r="C89" s="494"/>
      <c r="D89" s="494"/>
      <c r="E89" s="494"/>
      <c r="F89" s="494"/>
      <c r="G89" s="494"/>
      <c r="H89" s="493"/>
      <c r="I89" s="493"/>
      <c r="J89" s="493"/>
      <c r="K89" s="495"/>
      <c r="L89" s="488"/>
      <c r="M89" s="488"/>
    </row>
    <row r="90" spans="2:13">
      <c r="B90" s="504"/>
      <c r="C90" s="494"/>
      <c r="D90" s="494"/>
      <c r="E90" s="494"/>
      <c r="F90" s="494"/>
      <c r="G90" s="494"/>
      <c r="H90" s="493"/>
      <c r="I90" s="493"/>
      <c r="J90" s="493"/>
      <c r="K90" s="495"/>
      <c r="L90" s="488"/>
      <c r="M90" s="488"/>
    </row>
    <row r="91" spans="2:13">
      <c r="B91" s="503" t="s">
        <v>178</v>
      </c>
      <c r="C91" s="489">
        <v>0.8</v>
      </c>
      <c r="D91" s="489">
        <v>0.8</v>
      </c>
      <c r="E91" s="489">
        <v>0.1</v>
      </c>
      <c r="F91" s="489">
        <v>0.05</v>
      </c>
      <c r="G91" s="489">
        <v>10</v>
      </c>
      <c r="H91" s="488">
        <v>0.25</v>
      </c>
      <c r="I91" s="488">
        <v>10</v>
      </c>
      <c r="J91" s="488">
        <v>0.25</v>
      </c>
      <c r="K91" s="490"/>
      <c r="L91" s="488">
        <v>0.9</v>
      </c>
      <c r="M91" s="488">
        <v>0.45</v>
      </c>
    </row>
    <row r="92" spans="2:13">
      <c r="B92" s="504"/>
      <c r="C92" s="494"/>
      <c r="D92" s="494"/>
      <c r="E92" s="494"/>
      <c r="F92" s="494"/>
      <c r="G92" s="494"/>
      <c r="H92" s="493"/>
      <c r="I92" s="493"/>
      <c r="J92" s="493"/>
      <c r="K92" s="495"/>
      <c r="L92" s="488"/>
      <c r="M92" s="488"/>
    </row>
    <row r="93" spans="2:13">
      <c r="B93" s="504"/>
      <c r="C93" s="494"/>
      <c r="D93" s="494"/>
      <c r="E93" s="494"/>
      <c r="F93" s="494"/>
      <c r="G93" s="494"/>
      <c r="H93" s="493"/>
      <c r="I93" s="493"/>
      <c r="J93" s="493"/>
      <c r="K93" s="495"/>
      <c r="L93" s="488"/>
      <c r="M93" s="488"/>
    </row>
    <row r="94" spans="2:13">
      <c r="B94" s="504"/>
      <c r="C94" s="494"/>
      <c r="D94" s="494"/>
      <c r="E94" s="494"/>
      <c r="F94" s="494"/>
      <c r="G94" s="494"/>
      <c r="H94" s="493"/>
      <c r="I94" s="493"/>
      <c r="J94" s="493"/>
      <c r="K94" s="495"/>
      <c r="L94" s="488"/>
      <c r="M94" s="488"/>
    </row>
    <row r="95" spans="2:13">
      <c r="B95" s="503" t="s">
        <v>179</v>
      </c>
      <c r="C95" s="489">
        <v>1</v>
      </c>
      <c r="D95" s="489">
        <v>1</v>
      </c>
      <c r="E95" s="489">
        <v>0.125</v>
      </c>
      <c r="F95" s="489">
        <v>0.05</v>
      </c>
      <c r="G95" s="489">
        <v>10</v>
      </c>
      <c r="H95" s="488">
        <v>0.25</v>
      </c>
      <c r="I95" s="488">
        <v>10</v>
      </c>
      <c r="J95" s="488">
        <v>0.25</v>
      </c>
      <c r="K95" s="490"/>
      <c r="L95" s="488">
        <v>0.9</v>
      </c>
      <c r="M95" s="488">
        <v>0.45</v>
      </c>
    </row>
    <row r="96" spans="2:13">
      <c r="B96" s="504"/>
      <c r="C96" s="494"/>
      <c r="D96" s="494"/>
      <c r="E96" s="494"/>
      <c r="F96" s="494"/>
      <c r="G96" s="494"/>
      <c r="H96" s="493"/>
      <c r="I96" s="493"/>
      <c r="J96" s="493"/>
      <c r="K96" s="495"/>
      <c r="L96" s="488"/>
      <c r="M96" s="488"/>
    </row>
    <row r="97" spans="2:20">
      <c r="B97" s="504"/>
      <c r="C97" s="494"/>
      <c r="D97" s="494"/>
      <c r="E97" s="494"/>
      <c r="F97" s="494"/>
      <c r="G97" s="494"/>
      <c r="H97" s="493"/>
      <c r="I97" s="493"/>
      <c r="J97" s="493"/>
      <c r="K97" s="495"/>
      <c r="L97" s="488"/>
      <c r="M97" s="488"/>
    </row>
    <row r="98" spans="2:20">
      <c r="B98" s="504"/>
      <c r="C98" s="494"/>
      <c r="D98" s="494"/>
      <c r="E98" s="494"/>
      <c r="F98" s="494"/>
      <c r="G98" s="494"/>
      <c r="H98" s="493"/>
      <c r="I98" s="493"/>
      <c r="J98" s="493"/>
      <c r="K98" s="495"/>
      <c r="L98" s="488"/>
      <c r="M98" s="488"/>
    </row>
    <row r="99" spans="2:20">
      <c r="B99" s="493"/>
      <c r="C99" s="494"/>
      <c r="D99" s="494"/>
      <c r="E99" s="494"/>
      <c r="F99" s="494"/>
      <c r="G99" s="494"/>
      <c r="H99" s="493"/>
      <c r="I99" s="493"/>
      <c r="J99" s="493"/>
      <c r="K99" s="495"/>
      <c r="L99" s="488"/>
      <c r="M99" s="488"/>
    </row>
    <row r="100" spans="2:20">
      <c r="B100" s="505"/>
      <c r="C100" s="505"/>
      <c r="D100" s="505"/>
      <c r="E100" s="505"/>
      <c r="F100" s="505"/>
      <c r="G100" s="505"/>
      <c r="H100" s="505"/>
      <c r="I100" s="505"/>
      <c r="J100" s="505"/>
      <c r="K100" s="506"/>
      <c r="L100" s="505"/>
      <c r="M100" s="505"/>
    </row>
    <row r="103" spans="2:20">
      <c r="K103" s="507" t="s">
        <v>180</v>
      </c>
      <c r="L103" s="768" t="s">
        <v>181</v>
      </c>
      <c r="M103" s="769"/>
      <c r="N103" s="769"/>
      <c r="O103" s="769"/>
      <c r="P103" s="769"/>
      <c r="Q103" s="769"/>
      <c r="R103" s="769"/>
      <c r="S103" s="770"/>
    </row>
    <row r="104" spans="2:20">
      <c r="B104" s="507" t="s">
        <v>182</v>
      </c>
      <c r="K104" s="508">
        <v>1</v>
      </c>
      <c r="L104" s="763" t="s">
        <v>7</v>
      </c>
      <c r="M104" s="771"/>
      <c r="N104" s="764"/>
      <c r="O104" s="763" t="s">
        <v>6</v>
      </c>
      <c r="P104" s="771"/>
      <c r="Q104" s="764"/>
      <c r="R104" s="763" t="s">
        <v>183</v>
      </c>
      <c r="S104" s="764"/>
    </row>
    <row r="105" spans="2:20">
      <c r="D105" s="509" t="s">
        <v>184</v>
      </c>
      <c r="E105" s="510" t="s">
        <v>1</v>
      </c>
      <c r="G105" s="511" t="s">
        <v>185</v>
      </c>
      <c r="H105" s="511" t="s">
        <v>186</v>
      </c>
      <c r="I105" s="511" t="s">
        <v>187</v>
      </c>
      <c r="J105" s="511" t="s">
        <v>188</v>
      </c>
      <c r="K105" s="511" t="s">
        <v>189</v>
      </c>
      <c r="L105" s="763" t="s">
        <v>190</v>
      </c>
      <c r="M105" s="764"/>
      <c r="N105" s="182" t="s">
        <v>1</v>
      </c>
      <c r="O105" s="763" t="s">
        <v>190</v>
      </c>
      <c r="P105" s="764"/>
      <c r="Q105" s="182" t="s">
        <v>1</v>
      </c>
      <c r="R105" s="182" t="s">
        <v>1</v>
      </c>
      <c r="S105" s="182" t="s">
        <v>117</v>
      </c>
    </row>
    <row r="106" spans="2:20">
      <c r="B106" t="s">
        <v>191</v>
      </c>
      <c r="C106" s="507" t="s">
        <v>192</v>
      </c>
      <c r="E106" s="1">
        <f>127*1.1</f>
        <v>139.70000000000002</v>
      </c>
      <c r="G106" s="195">
        <f>+E106*(C6+E6*2+1.5)</f>
        <v>279.40000000000003</v>
      </c>
      <c r="H106" s="195">
        <f>+E106*(C6+E6*2)*(D6+E6+F6)</f>
        <v>31.432500000000005</v>
      </c>
      <c r="I106" s="512">
        <f>+(C6+E6*2)*E106*F6</f>
        <v>3.4925000000000006</v>
      </c>
      <c r="J106" s="512">
        <f>+E106*((C6+E6*2)*E6+(D6*E6*2))</f>
        <v>15.367000000000003</v>
      </c>
      <c r="K106" s="512">
        <f>+(D6+$K$104*(D6+E6))*E106*2</f>
        <v>195.58</v>
      </c>
      <c r="L106" s="186">
        <f>+(E106)/H6+ IF(E106&gt;0,1,0)</f>
        <v>699.5</v>
      </c>
      <c r="M106" s="197">
        <f>+ROUNDUP(L106,0)</f>
        <v>700</v>
      </c>
      <c r="N106" s="188">
        <f>+(D6+E6-0.08)*2+(C6+E6*2-0.08)</f>
        <v>1.06</v>
      </c>
      <c r="O106" s="186">
        <f>+N106/J6+1</f>
        <v>5.24</v>
      </c>
      <c r="P106" s="197">
        <f>+ROUNDUP(O106,0)</f>
        <v>6</v>
      </c>
      <c r="Q106" s="187">
        <f>+E106+E106/6*50*(G6/1000)</f>
        <v>151.3416666666667</v>
      </c>
      <c r="R106" s="294">
        <f>+N106*M106+P106*Q106</f>
        <v>1650.0500000000002</v>
      </c>
      <c r="S106" s="512">
        <f>((I6*I6)/162)*R106</f>
        <v>1018.5493827160494</v>
      </c>
      <c r="T106" t="s">
        <v>193</v>
      </c>
    </row>
    <row r="107" spans="2:20">
      <c r="C107" t="s">
        <v>138</v>
      </c>
      <c r="D107" s="513">
        <f>ROUNDUP(+E106/K6,0)</f>
        <v>47</v>
      </c>
      <c r="E107" s="1"/>
      <c r="G107" s="514"/>
      <c r="H107" s="514"/>
      <c r="I107" s="515"/>
      <c r="J107" s="515">
        <f>0.5*(0.075+0.05)*0.075*C6*D107</f>
        <v>6.6093749999999993E-2</v>
      </c>
      <c r="K107" s="515">
        <f>+(0.075+0.08)*C6*D107</f>
        <v>2.1854999999999998</v>
      </c>
      <c r="L107" s="516">
        <f>+D107</f>
        <v>47</v>
      </c>
      <c r="M107" s="197">
        <f>+ROUNDUP(L107,0)</f>
        <v>47</v>
      </c>
      <c r="N107" s="193">
        <f>+(C6-0.08)+((0.075+0.05-0.04)*2)</f>
        <v>0.38999999999999996</v>
      </c>
      <c r="O107" s="516"/>
      <c r="P107" s="200"/>
      <c r="Q107" s="194"/>
      <c r="R107" s="294">
        <f>+N107*M107+P107*Q107</f>
        <v>18.329999999999998</v>
      </c>
      <c r="S107" s="512">
        <f>((I6*I6)/162)*R107</f>
        <v>11.314814814814813</v>
      </c>
      <c r="T107" t="s">
        <v>193</v>
      </c>
    </row>
    <row r="108" spans="2:20">
      <c r="E108" s="1"/>
      <c r="M108" s="517"/>
    </row>
    <row r="109" spans="2:20">
      <c r="B109" t="s">
        <v>191</v>
      </c>
      <c r="C109" s="507" t="s">
        <v>194</v>
      </c>
      <c r="E109" s="1">
        <f>117*1.1</f>
        <v>128.70000000000002</v>
      </c>
      <c r="G109" s="195">
        <f>+E109*(C9+E9*2+1.5)</f>
        <v>276.70500000000004</v>
      </c>
      <c r="H109" s="195">
        <f>+E109*(C9+E9*2)*(D9+E9+F9)</f>
        <v>50.193000000000019</v>
      </c>
      <c r="I109" s="512">
        <f>+(C9+E9*2)*E109*F9</f>
        <v>4.1827500000000013</v>
      </c>
      <c r="J109" s="512">
        <f>+E109*((C9+E9*2)*E9+(D9*E9*2))</f>
        <v>19.948500000000006</v>
      </c>
      <c r="K109" s="512">
        <f>+(D9+$K$104*(D9+E9))*E109*2</f>
        <v>257.40000000000003</v>
      </c>
      <c r="L109" s="186">
        <f>+(E109)/H9+ IF(E109&gt;0,1,0)</f>
        <v>644.5</v>
      </c>
      <c r="M109" s="197">
        <f>+ROUNDUP(L109,0)</f>
        <v>645</v>
      </c>
      <c r="N109" s="188">
        <f>+(D9+E9-0.08)*2+(C9+E9*2-0.08)</f>
        <v>1.5100000000000002</v>
      </c>
      <c r="O109" s="186">
        <f>+N109/J9+1</f>
        <v>7.0400000000000009</v>
      </c>
      <c r="P109" s="197">
        <f>+ROUNDUP(O109,0)</f>
        <v>8</v>
      </c>
      <c r="Q109" s="187">
        <f>+E109+E109/6*50*(G9/1000)</f>
        <v>139.42500000000001</v>
      </c>
      <c r="R109" s="294">
        <f>+N109*M109+P109*Q109</f>
        <v>2089.3500000000004</v>
      </c>
      <c r="S109" s="512">
        <f>((I9*I9)/162)*R109</f>
        <v>1289.7222222222224</v>
      </c>
      <c r="T109" t="s">
        <v>193</v>
      </c>
    </row>
    <row r="110" spans="2:20">
      <c r="C110" t="s">
        <v>138</v>
      </c>
      <c r="D110" s="513">
        <f>ROUNDUP(+E109/K9,0)</f>
        <v>43</v>
      </c>
      <c r="E110" s="1"/>
      <c r="G110" s="514"/>
      <c r="H110" s="514"/>
      <c r="I110" s="515"/>
      <c r="J110" s="515">
        <f>0.5*(0.075+0.05)*0.075*C9*D110</f>
        <v>9.0703125000000009E-2</v>
      </c>
      <c r="K110" s="515">
        <f>+(0.075+0.08)*C9*D110</f>
        <v>2.9992500000000004</v>
      </c>
      <c r="L110" s="516">
        <f>+D110</f>
        <v>43</v>
      </c>
      <c r="M110" s="197">
        <f>+ROUNDUP(L110,0)</f>
        <v>43</v>
      </c>
      <c r="N110" s="193">
        <f>+(C9-0.08)+((0.075+0.05-0.04)*2)</f>
        <v>0.54</v>
      </c>
      <c r="O110" s="516"/>
      <c r="P110" s="200"/>
      <c r="Q110" s="194"/>
      <c r="R110" s="294">
        <f>+N110*M110+P110*Q110</f>
        <v>23.220000000000002</v>
      </c>
      <c r="S110" s="512">
        <f>((I9*I9)/162)*R110</f>
        <v>14.333333333333334</v>
      </c>
      <c r="T110" t="s">
        <v>193</v>
      </c>
    </row>
    <row r="111" spans="2:20">
      <c r="E111" s="1"/>
      <c r="M111" s="517"/>
    </row>
    <row r="112" spans="2:20">
      <c r="B112" t="s">
        <v>191</v>
      </c>
      <c r="C112" s="507" t="s">
        <v>195</v>
      </c>
      <c r="E112" s="1">
        <f>74*1.1</f>
        <v>81.400000000000006</v>
      </c>
      <c r="G112" s="195">
        <f>+E112*(C12+E12*2+1.5)</f>
        <v>187.22</v>
      </c>
      <c r="H112" s="195">
        <f>+E112*(C12+E12*2)*(D12+E12+F12)</f>
        <v>48.84</v>
      </c>
      <c r="I112" s="512">
        <f>+(C12+E12*2)*E112*F12</f>
        <v>3.2560000000000002</v>
      </c>
      <c r="J112" s="512">
        <f>+E112*((C12+E12*2)*E12+(D12*E12*2))</f>
        <v>16.28</v>
      </c>
      <c r="K112" s="512">
        <f>+(D12+$K$104*(D12+E12))*E112*2</f>
        <v>211.64</v>
      </c>
      <c r="L112" s="186">
        <f>+(E112)/H12+ IF(E112&gt;0,1,0)</f>
        <v>408</v>
      </c>
      <c r="M112" s="197">
        <f>+ROUNDUP(L112,0)</f>
        <v>408</v>
      </c>
      <c r="N112" s="188">
        <f>+(D12+E12-0.08)*2+(C12+E12*2-0.08)</f>
        <v>1.96</v>
      </c>
      <c r="O112" s="186">
        <f>+N112/J12+1</f>
        <v>8.84</v>
      </c>
      <c r="P112" s="197">
        <f>+ROUNDUP(O112,0)</f>
        <v>9</v>
      </c>
      <c r="Q112" s="187">
        <f>+E112+E112/6*50*(G12/1000)</f>
        <v>88.183333333333337</v>
      </c>
      <c r="R112" s="294">
        <f>+N112*M112+P112*Q112</f>
        <v>1593.33</v>
      </c>
      <c r="S112" s="512">
        <f>((I12*I12)/162)*R112</f>
        <v>983.53703703703695</v>
      </c>
      <c r="T112" t="s">
        <v>193</v>
      </c>
    </row>
    <row r="113" spans="2:20">
      <c r="C113" t="s">
        <v>138</v>
      </c>
      <c r="D113" s="513">
        <f>ROUNDUP(+E112/K12,0)</f>
        <v>28</v>
      </c>
      <c r="E113" s="1"/>
      <c r="G113" s="514"/>
      <c r="H113" s="514"/>
      <c r="I113" s="515"/>
      <c r="J113" s="515">
        <f>0.5*(0.075+0.05)*0.075*C12*D113</f>
        <v>7.8750000000000001E-2</v>
      </c>
      <c r="K113" s="515">
        <f>+(0.075+0.08)*C12*D113</f>
        <v>2.6040000000000001</v>
      </c>
      <c r="L113" s="516">
        <f>+D113</f>
        <v>28</v>
      </c>
      <c r="M113" s="197">
        <f>+ROUNDUP(L113,0)</f>
        <v>28</v>
      </c>
      <c r="N113" s="193">
        <f>+(C12-0.08)+((0.075+0.05-0.04)*2)</f>
        <v>0.69</v>
      </c>
      <c r="O113" s="516"/>
      <c r="P113" s="200"/>
      <c r="Q113" s="194"/>
      <c r="R113" s="294">
        <f>+N113*M113+P113*Q113</f>
        <v>19.32</v>
      </c>
      <c r="S113" s="512">
        <f>((I12*I12)/162)*R113</f>
        <v>11.925925925925926</v>
      </c>
      <c r="T113" t="s">
        <v>193</v>
      </c>
    </row>
    <row r="114" spans="2:20">
      <c r="E114" s="1"/>
    </row>
    <row r="116" spans="2:20">
      <c r="B116" s="518" t="s">
        <v>224</v>
      </c>
      <c r="C116" s="507" t="s">
        <v>217</v>
      </c>
      <c r="E116" s="1">
        <f>10*1.1</f>
        <v>11</v>
      </c>
      <c r="G116" s="195">
        <f>+E116*(C79+E79*2+1)</f>
        <v>18.149999999999999</v>
      </c>
      <c r="H116" s="195">
        <f>0.5*L79*M79*D117</f>
        <v>2.2275</v>
      </c>
      <c r="I116" s="512">
        <f>+(L79*(C79+2*E79)*D117*E79)</f>
        <v>0.64350000000000007</v>
      </c>
      <c r="J116" s="512">
        <f>+D117*(L79+M79)*E79*(C79+2*E79)+D117*((L79+M79)*E79*D79)*2</f>
        <v>2.3017500000000002</v>
      </c>
      <c r="K116" s="512">
        <f>+(D79+(D79+E79))*E116*2</f>
        <v>22</v>
      </c>
      <c r="L116" s="186">
        <f>+(D117*(L79+M79))/H79+ IF(E116&gt;0,1,0)</f>
        <v>60.400000000000006</v>
      </c>
      <c r="M116" s="197">
        <f>+ROUNDUP(L116,0)</f>
        <v>61</v>
      </c>
      <c r="N116" s="188">
        <f>+(D79+E79-0.08)*2+(C79+E79*2-0.08)</f>
        <v>1.5100000000000002</v>
      </c>
      <c r="O116" s="186">
        <f>+N116/J79+1</f>
        <v>7.0400000000000009</v>
      </c>
      <c r="P116" s="197">
        <f>+ROUNDUP(O116,0)</f>
        <v>8</v>
      </c>
      <c r="Q116" s="187">
        <f>+(L79+M79-2*0.04)*D117+(((L79+M79-2*0.04)*D117)/6*50*(I79/1000))</f>
        <v>15.134166666666667</v>
      </c>
      <c r="R116" s="294">
        <f>+N116*M116+P116*Q116</f>
        <v>213.18333333333334</v>
      </c>
      <c r="S116" s="512">
        <f>((I79*I79)/162)*R116</f>
        <v>131.59465020576133</v>
      </c>
      <c r="T116" t="s">
        <v>193</v>
      </c>
    </row>
    <row r="117" spans="2:20">
      <c r="C117" t="s">
        <v>218</v>
      </c>
      <c r="D117" s="513">
        <f>ROUNDUP(+(E116/SQRT(L79^2+M79^2)),0)</f>
        <v>11</v>
      </c>
      <c r="E117" s="1"/>
      <c r="G117" s="514"/>
      <c r="H117" s="514"/>
      <c r="I117" s="515"/>
      <c r="J117" s="515"/>
      <c r="K117" s="515"/>
      <c r="L117" s="516"/>
      <c r="M117" s="197"/>
      <c r="N117" s="193"/>
      <c r="O117" s="516"/>
      <c r="P117" s="200"/>
      <c r="Q117" s="194"/>
      <c r="R117" s="294"/>
      <c r="S117" s="512"/>
    </row>
    <row r="118" spans="2:20">
      <c r="C118" t="s">
        <v>219</v>
      </c>
      <c r="D118">
        <f>ROUNDUP(+E116/1,0)</f>
        <v>11</v>
      </c>
    </row>
    <row r="120" spans="2:20" ht="15.6">
      <c r="G120" s="519">
        <f>+SUM(G106:G117)</f>
        <v>761.47500000000002</v>
      </c>
      <c r="H120" s="519">
        <f>+SUM(H106:H117)</f>
        <v>132.69300000000001</v>
      </c>
      <c r="I120" s="519">
        <f>+SUM(I106:I117)</f>
        <v>11.574750000000002</v>
      </c>
      <c r="J120" s="519">
        <f>+SUM(J106:J117)</f>
        <v>54.132796875000004</v>
      </c>
      <c r="K120" s="519">
        <f>+SUM(K106:K117)</f>
        <v>694.40875000000005</v>
      </c>
      <c r="L120" s="520"/>
      <c r="M120" s="520"/>
      <c r="N120" s="520"/>
      <c r="O120" s="520"/>
      <c r="P120" s="520"/>
      <c r="Q120" s="520"/>
      <c r="R120" s="520"/>
      <c r="S120" s="519">
        <f>+SUM(S106:S117)</f>
        <v>3460.9773662551443</v>
      </c>
    </row>
    <row r="121" spans="2:20" ht="15.6">
      <c r="G121" s="520"/>
      <c r="H121" s="520"/>
      <c r="I121" s="520"/>
      <c r="J121" s="520"/>
      <c r="K121" s="520"/>
      <c r="L121" s="520"/>
      <c r="M121" s="520"/>
      <c r="N121" s="520"/>
      <c r="O121" s="520"/>
      <c r="P121" s="520"/>
      <c r="Q121" s="520"/>
      <c r="R121" s="520"/>
      <c r="S121" s="520"/>
    </row>
  </sheetData>
  <mergeCells count="10">
    <mergeCell ref="L105:M105"/>
    <mergeCell ref="O105:P105"/>
    <mergeCell ref="H3:J3"/>
    <mergeCell ref="T6:U6"/>
    <mergeCell ref="W7:W17"/>
    <mergeCell ref="W18:W20"/>
    <mergeCell ref="L103:S103"/>
    <mergeCell ref="L104:N104"/>
    <mergeCell ref="O104:Q104"/>
    <mergeCell ref="R104:S104"/>
  </mergeCells>
  <pageMargins left="0.7" right="0.7" top="0.75" bottom="0.75" header="0.3" footer="0.3"/>
  <pageSetup paperSize="9" orientation="portrait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440A7-D7B9-4455-B013-DC878ACDA2A4}">
  <dimension ref="A1"/>
  <sheetViews>
    <sheetView workbookViewId="0">
      <selection activeCell="B5" sqref="B5:E5"/>
    </sheetView>
  </sheetViews>
  <sheetFormatPr defaultRowHeight="14.4"/>
  <sheetData>
    <row r="1" spans="1:1">
      <c r="A1" t="s">
        <v>791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81A92-E1A8-44D0-BDC1-74DEB80BD6B8}">
  <sheetPr>
    <tabColor rgb="FF00B050"/>
  </sheetPr>
  <dimension ref="A1:N390"/>
  <sheetViews>
    <sheetView view="pageBreakPreview" zoomScale="90" zoomScaleNormal="100" zoomScaleSheetLayoutView="90" workbookViewId="0">
      <pane ySplit="2" topLeftCell="A378" activePane="bottomLeft" state="frozen"/>
      <selection activeCell="B5" sqref="B5:E5"/>
      <selection pane="bottomLeft" activeCell="B5" sqref="B5:E5"/>
    </sheetView>
  </sheetViews>
  <sheetFormatPr defaultColWidth="9.109375" defaultRowHeight="13.2"/>
  <cols>
    <col min="1" max="1" width="26.5546875" style="67" customWidth="1"/>
    <col min="2" max="5" width="10.6640625" style="67" customWidth="1"/>
    <col min="6" max="7" width="12.6640625" style="67" customWidth="1"/>
    <col min="8" max="8" width="5.5546875" style="67" customWidth="1"/>
    <col min="9" max="10" width="12.6640625" style="67" customWidth="1"/>
    <col min="11" max="11" width="10.33203125" style="67" bestFit="1" customWidth="1"/>
    <col min="12" max="12" width="10" style="67" bestFit="1" customWidth="1"/>
    <col min="13" max="13" width="9.109375" style="67"/>
    <col min="14" max="14" width="12.109375" style="67" bestFit="1" customWidth="1"/>
    <col min="15" max="15" width="9.109375" style="67"/>
    <col min="16" max="16" width="11.109375" style="67" bestFit="1" customWidth="1"/>
    <col min="17" max="16384" width="9.109375" style="67"/>
  </cols>
  <sheetData>
    <row r="1" spans="1:12" ht="20.100000000000001" customHeight="1">
      <c r="A1" s="739" t="s">
        <v>792</v>
      </c>
      <c r="B1" s="740"/>
      <c r="C1" s="740"/>
      <c r="D1" s="740"/>
      <c r="E1" s="740"/>
      <c r="F1" s="740"/>
      <c r="G1" s="740"/>
      <c r="H1" s="740"/>
      <c r="I1" s="740"/>
      <c r="J1" s="741"/>
    </row>
    <row r="2" spans="1:12" s="70" customFormat="1" ht="30" customHeight="1">
      <c r="A2" s="68"/>
      <c r="B2" s="69" t="s">
        <v>90</v>
      </c>
      <c r="C2" s="69" t="s">
        <v>91</v>
      </c>
      <c r="D2" s="69" t="s">
        <v>6</v>
      </c>
      <c r="E2" s="69" t="s">
        <v>92</v>
      </c>
      <c r="F2" s="69" t="s">
        <v>93</v>
      </c>
      <c r="G2" s="69" t="s">
        <v>94</v>
      </c>
      <c r="H2" s="69" t="s">
        <v>95</v>
      </c>
      <c r="I2" s="69" t="s">
        <v>96</v>
      </c>
      <c r="J2" s="69" t="s">
        <v>97</v>
      </c>
      <c r="L2" s="71"/>
    </row>
    <row r="3" spans="1:12" ht="24.9" customHeight="1">
      <c r="A3" s="742" t="s">
        <v>98</v>
      </c>
      <c r="B3" s="743"/>
      <c r="C3" s="743"/>
      <c r="D3" s="743"/>
      <c r="E3" s="743"/>
      <c r="F3" s="743"/>
      <c r="G3" s="743"/>
      <c r="H3" s="743"/>
      <c r="I3" s="743"/>
      <c r="J3" s="744"/>
    </row>
    <row r="4" spans="1:12" ht="15">
      <c r="A4" s="745" t="s">
        <v>99</v>
      </c>
      <c r="B4" s="746"/>
      <c r="C4" s="746"/>
      <c r="D4" s="746"/>
      <c r="E4" s="746"/>
      <c r="F4" s="747"/>
      <c r="G4" s="72"/>
      <c r="H4" s="73"/>
      <c r="I4" s="72"/>
      <c r="J4" s="72"/>
    </row>
    <row r="5" spans="1:12" ht="15">
      <c r="A5" s="83" t="s">
        <v>793</v>
      </c>
      <c r="B5" s="81"/>
      <c r="C5" s="75"/>
      <c r="D5" s="77"/>
      <c r="E5" s="76"/>
      <c r="F5" s="75"/>
      <c r="G5" s="78"/>
      <c r="H5" s="76" t="s">
        <v>393</v>
      </c>
      <c r="I5" s="78"/>
      <c r="J5" s="127">
        <f>+'Drain Qty89'!G120</f>
        <v>761.47500000000002</v>
      </c>
      <c r="L5" s="79"/>
    </row>
    <row r="6" spans="1:12" ht="15">
      <c r="A6" s="83"/>
      <c r="B6" s="75"/>
      <c r="C6" s="75"/>
      <c r="D6" s="77"/>
      <c r="E6" s="76"/>
      <c r="F6" s="75"/>
      <c r="G6" s="78"/>
      <c r="H6" s="76"/>
      <c r="I6" s="78"/>
      <c r="J6" s="127"/>
      <c r="L6" s="79"/>
    </row>
    <row r="7" spans="1:12" ht="15">
      <c r="A7" s="83" t="s">
        <v>794</v>
      </c>
      <c r="B7" s="75">
        <f>+SUM(B97:B132)</f>
        <v>130.05000000000001</v>
      </c>
      <c r="C7" s="75">
        <f>1.6+2*1.5</f>
        <v>4.5999999999999996</v>
      </c>
      <c r="D7" s="77"/>
      <c r="E7" s="76"/>
      <c r="F7" s="75"/>
      <c r="G7" s="78">
        <f>+PRODUCT(B7:F7)</f>
        <v>598.23</v>
      </c>
      <c r="H7" s="76" t="s">
        <v>393</v>
      </c>
      <c r="I7" s="78">
        <f>+G7*1.1</f>
        <v>658.05300000000011</v>
      </c>
      <c r="J7" s="127">
        <f>+I7</f>
        <v>658.05300000000011</v>
      </c>
      <c r="L7" s="79"/>
    </row>
    <row r="8" spans="1:12" ht="15">
      <c r="A8" s="83"/>
      <c r="B8" s="75"/>
      <c r="C8" s="75"/>
      <c r="D8" s="77"/>
      <c r="E8" s="76"/>
      <c r="F8" s="75"/>
      <c r="G8" s="78"/>
      <c r="H8" s="76"/>
      <c r="I8" s="78"/>
      <c r="J8" s="127"/>
      <c r="L8" s="79"/>
    </row>
    <row r="9" spans="1:12" ht="15">
      <c r="A9" s="83"/>
      <c r="B9" s="75"/>
      <c r="C9" s="75"/>
      <c r="D9" s="77"/>
      <c r="E9" s="76"/>
      <c r="F9" s="75"/>
      <c r="G9" s="76"/>
      <c r="H9" s="76"/>
      <c r="I9" s="78"/>
      <c r="J9" s="102">
        <f>+SUM(J5:J7)</f>
        <v>1419.5280000000002</v>
      </c>
    </row>
    <row r="10" spans="1:12" ht="15">
      <c r="A10" s="83"/>
      <c r="B10" s="75"/>
      <c r="C10" s="75"/>
      <c r="D10" s="77"/>
      <c r="E10" s="76"/>
      <c r="F10" s="75"/>
      <c r="G10" s="76"/>
      <c r="H10" s="76"/>
      <c r="I10" s="78"/>
      <c r="J10" s="100"/>
    </row>
    <row r="11" spans="1:12" ht="15">
      <c r="A11" s="742" t="s">
        <v>101</v>
      </c>
      <c r="B11" s="743"/>
      <c r="C11" s="743"/>
      <c r="D11" s="743"/>
      <c r="E11" s="743"/>
      <c r="F11" s="743"/>
      <c r="G11" s="743"/>
      <c r="H11" s="743"/>
      <c r="I11" s="743"/>
      <c r="J11" s="744"/>
    </row>
    <row r="12" spans="1:12" ht="15">
      <c r="A12" s="748" t="s">
        <v>102</v>
      </c>
      <c r="B12" s="749"/>
      <c r="C12" s="749"/>
      <c r="D12" s="749"/>
      <c r="E12" s="749"/>
      <c r="F12" s="750"/>
      <c r="G12" s="72"/>
      <c r="H12" s="73"/>
      <c r="I12" s="73"/>
      <c r="J12" s="72"/>
      <c r="K12" s="93"/>
    </row>
    <row r="13" spans="1:12" ht="15">
      <c r="A13" s="748" t="s">
        <v>103</v>
      </c>
      <c r="B13" s="749"/>
      <c r="C13" s="749"/>
      <c r="D13" s="749"/>
      <c r="E13" s="749"/>
      <c r="F13" s="750"/>
      <c r="G13" s="72"/>
      <c r="H13" s="73"/>
      <c r="I13" s="72"/>
      <c r="J13" s="72"/>
      <c r="L13" s="79"/>
    </row>
    <row r="14" spans="1:12" ht="15">
      <c r="A14" s="748" t="s">
        <v>104</v>
      </c>
      <c r="B14" s="749"/>
      <c r="C14" s="749"/>
      <c r="D14" s="749"/>
      <c r="E14" s="749"/>
      <c r="F14" s="750"/>
      <c r="G14" s="94"/>
      <c r="H14" s="95"/>
      <c r="I14" s="94"/>
      <c r="J14" s="94"/>
      <c r="L14" s="79"/>
    </row>
    <row r="15" spans="1:12" ht="15">
      <c r="A15" s="97" t="s">
        <v>795</v>
      </c>
      <c r="B15" s="75"/>
      <c r="C15" s="77"/>
      <c r="D15" s="77"/>
      <c r="E15" s="76"/>
      <c r="F15" s="75"/>
      <c r="G15" s="76"/>
      <c r="H15" s="76"/>
      <c r="I15" s="78"/>
      <c r="J15" s="78"/>
      <c r="L15" s="79"/>
    </row>
    <row r="16" spans="1:12" ht="15">
      <c r="A16" s="521" t="s">
        <v>796</v>
      </c>
      <c r="B16" s="109"/>
      <c r="C16" s="77"/>
      <c r="D16" s="77"/>
      <c r="E16" s="76"/>
      <c r="F16" s="109"/>
      <c r="G16" s="128"/>
      <c r="H16" s="76"/>
      <c r="I16" s="78"/>
      <c r="J16" s="78"/>
      <c r="L16" s="79"/>
    </row>
    <row r="17" spans="1:12" ht="15">
      <c r="A17" s="134" t="s">
        <v>797</v>
      </c>
      <c r="B17" s="522">
        <v>8.32</v>
      </c>
      <c r="C17" s="77">
        <v>0.155</v>
      </c>
      <c r="D17" s="77"/>
      <c r="E17" s="78"/>
      <c r="F17" s="87">
        <f>PRODUCT(B17:E17)</f>
        <v>1.2896000000000001</v>
      </c>
      <c r="G17" s="101">
        <f>F17</f>
        <v>1.2896000000000001</v>
      </c>
      <c r="H17" s="76" t="s">
        <v>100</v>
      </c>
      <c r="I17" s="78">
        <f>G17*1.1</f>
        <v>1.4185600000000003</v>
      </c>
      <c r="J17" s="102"/>
      <c r="L17" s="79"/>
    </row>
    <row r="18" spans="1:12" ht="15">
      <c r="A18" s="134" t="s">
        <v>798</v>
      </c>
      <c r="B18" s="522">
        <v>10.567</v>
      </c>
      <c r="C18" s="77">
        <v>0.71399999999999997</v>
      </c>
      <c r="D18" s="77"/>
      <c r="E18" s="78"/>
      <c r="F18" s="87">
        <f t="shared" ref="F18:F19" si="0">PRODUCT(B18:E18)</f>
        <v>7.5448379999999995</v>
      </c>
      <c r="G18" s="101">
        <f t="shared" ref="G18:G19" si="1">F18</f>
        <v>7.5448379999999995</v>
      </c>
      <c r="H18" s="76" t="s">
        <v>100</v>
      </c>
      <c r="I18" s="78">
        <f>G18*1.1</f>
        <v>8.2993217999999995</v>
      </c>
      <c r="J18" s="102"/>
      <c r="L18" s="79"/>
    </row>
    <row r="19" spans="1:12" ht="15">
      <c r="A19" s="86"/>
      <c r="B19" s="522"/>
      <c r="C19" s="77"/>
      <c r="D19" s="77"/>
      <c r="E19" s="76"/>
      <c r="F19" s="87">
        <f t="shared" si="0"/>
        <v>0</v>
      </c>
      <c r="G19" s="101">
        <f t="shared" si="1"/>
        <v>0</v>
      </c>
      <c r="H19" s="76"/>
      <c r="I19" s="78"/>
      <c r="J19" s="102"/>
      <c r="L19" s="79"/>
    </row>
    <row r="20" spans="1:12" ht="15">
      <c r="A20" s="97" t="s">
        <v>799</v>
      </c>
      <c r="B20" s="75"/>
      <c r="C20" s="77"/>
      <c r="D20" s="77"/>
      <c r="E20" s="76"/>
      <c r="F20" s="75"/>
      <c r="G20" s="76"/>
      <c r="H20" s="76"/>
      <c r="I20" s="78"/>
      <c r="J20" s="78"/>
      <c r="L20" s="79"/>
    </row>
    <row r="21" spans="1:12" ht="15">
      <c r="A21" s="521" t="s">
        <v>800</v>
      </c>
      <c r="B21" s="109"/>
      <c r="C21" s="77"/>
      <c r="D21" s="77"/>
      <c r="E21" s="76"/>
      <c r="F21" s="109"/>
      <c r="G21" s="128"/>
      <c r="H21" s="76"/>
      <c r="I21" s="78"/>
      <c r="J21" s="78"/>
      <c r="L21" s="79"/>
    </row>
    <row r="22" spans="1:12" ht="15">
      <c r="A22" s="134" t="s">
        <v>801</v>
      </c>
      <c r="B22" s="522">
        <v>2.3660000000000001</v>
      </c>
      <c r="C22" s="77">
        <v>4.569</v>
      </c>
      <c r="D22" s="77"/>
      <c r="E22" s="78"/>
      <c r="F22" s="87">
        <f>PRODUCT(B22:E22)</f>
        <v>10.810254</v>
      </c>
      <c r="G22" s="101">
        <f>F22</f>
        <v>10.810254</v>
      </c>
      <c r="H22" s="76" t="s">
        <v>100</v>
      </c>
      <c r="I22" s="78">
        <f>G22*1.1</f>
        <v>11.891279400000002</v>
      </c>
      <c r="J22" s="102"/>
      <c r="L22" s="79"/>
    </row>
    <row r="23" spans="1:12" ht="15">
      <c r="A23" s="134" t="s">
        <v>802</v>
      </c>
      <c r="B23" s="522">
        <v>8.532</v>
      </c>
      <c r="C23" s="77">
        <v>0.11799999999999999</v>
      </c>
      <c r="D23" s="77"/>
      <c r="E23" s="78"/>
      <c r="F23" s="87">
        <f t="shared" ref="F23" si="2">PRODUCT(B23:E23)</f>
        <v>1.0067759999999999</v>
      </c>
      <c r="G23" s="101">
        <f t="shared" ref="G23" si="3">F23</f>
        <v>1.0067759999999999</v>
      </c>
      <c r="H23" s="76" t="s">
        <v>100</v>
      </c>
      <c r="I23" s="78">
        <f>G23*1.1</f>
        <v>1.1074535999999999</v>
      </c>
      <c r="J23" s="102"/>
      <c r="L23" s="79"/>
    </row>
    <row r="24" spans="1:12" ht="15">
      <c r="A24" s="134" t="s">
        <v>803</v>
      </c>
      <c r="B24" s="522">
        <v>5.8659999999999997</v>
      </c>
      <c r="C24" s="77">
        <v>0.36899999999999999</v>
      </c>
      <c r="D24" s="77"/>
      <c r="E24" s="78"/>
      <c r="F24" s="87">
        <f>PRODUCT(B24:E24)</f>
        <v>2.1645539999999999</v>
      </c>
      <c r="G24" s="101">
        <f>F24</f>
        <v>2.1645539999999999</v>
      </c>
      <c r="H24" s="76" t="s">
        <v>100</v>
      </c>
      <c r="I24" s="78">
        <f>G24*1.1</f>
        <v>2.3810093999999999</v>
      </c>
      <c r="J24" s="102"/>
      <c r="L24" s="79"/>
    </row>
    <row r="25" spans="1:12" ht="15">
      <c r="A25" s="134" t="s">
        <v>804</v>
      </c>
      <c r="B25" s="522">
        <v>2.9729999999999999</v>
      </c>
      <c r="C25" s="77">
        <v>0.36899999999999999</v>
      </c>
      <c r="D25" s="77"/>
      <c r="E25" s="78"/>
      <c r="F25" s="87">
        <f>PRODUCT(B25:E25)</f>
        <v>1.097037</v>
      </c>
      <c r="G25" s="101">
        <f>F25</f>
        <v>1.097037</v>
      </c>
      <c r="H25" s="76" t="s">
        <v>100</v>
      </c>
      <c r="I25" s="78">
        <f>G25*1.1</f>
        <v>1.2067407000000001</v>
      </c>
      <c r="J25" s="102"/>
      <c r="L25" s="79"/>
    </row>
    <row r="26" spans="1:12" ht="15">
      <c r="A26" s="523"/>
      <c r="B26" s="524"/>
      <c r="C26" s="77"/>
      <c r="D26" s="77"/>
      <c r="E26" s="76"/>
      <c r="F26" s="109"/>
      <c r="G26" s="525"/>
      <c r="H26" s="76"/>
      <c r="I26" s="78"/>
      <c r="J26" s="102"/>
      <c r="L26" s="79"/>
    </row>
    <row r="27" spans="1:12" ht="15">
      <c r="A27" s="97" t="s">
        <v>805</v>
      </c>
      <c r="B27" s="75"/>
      <c r="C27" s="77"/>
      <c r="D27" s="77"/>
      <c r="E27" s="76"/>
      <c r="F27" s="75"/>
      <c r="G27" s="76"/>
      <c r="H27" s="76"/>
      <c r="I27" s="78"/>
      <c r="J27" s="78"/>
      <c r="L27" s="79"/>
    </row>
    <row r="28" spans="1:12" ht="15">
      <c r="A28" s="521" t="s">
        <v>806</v>
      </c>
      <c r="B28" s="109"/>
      <c r="C28" s="77"/>
      <c r="D28" s="77"/>
      <c r="E28" s="76"/>
      <c r="F28" s="109"/>
      <c r="G28" s="128"/>
      <c r="H28" s="76"/>
      <c r="I28" s="78"/>
      <c r="J28" s="78"/>
      <c r="L28" s="79"/>
    </row>
    <row r="29" spans="1:12" ht="15">
      <c r="A29" s="134" t="s">
        <v>807</v>
      </c>
      <c r="B29" s="522">
        <v>9.1940000000000008</v>
      </c>
      <c r="C29" s="77">
        <v>0</v>
      </c>
      <c r="D29" s="77"/>
      <c r="E29" s="78"/>
      <c r="F29" s="87">
        <f>PRODUCT(B29:E29)</f>
        <v>0</v>
      </c>
      <c r="G29" s="101">
        <f>F29</f>
        <v>0</v>
      </c>
      <c r="H29" s="76" t="s">
        <v>100</v>
      </c>
      <c r="I29" s="78">
        <f>G29*1.1</f>
        <v>0</v>
      </c>
      <c r="J29" s="102"/>
      <c r="L29" s="79"/>
    </row>
    <row r="30" spans="1:12" ht="15">
      <c r="A30" s="134" t="s">
        <v>808</v>
      </c>
      <c r="B30" s="522">
        <v>7.7469999999999999</v>
      </c>
      <c r="C30" s="77">
        <v>0</v>
      </c>
      <c r="D30" s="77"/>
      <c r="E30" s="78"/>
      <c r="F30" s="87">
        <f t="shared" ref="F30:F32" si="4">PRODUCT(B30:E30)</f>
        <v>0</v>
      </c>
      <c r="G30" s="101">
        <f t="shared" ref="G30" si="5">F30</f>
        <v>0</v>
      </c>
      <c r="H30" s="76" t="s">
        <v>100</v>
      </c>
      <c r="I30" s="78">
        <f>G30*1.1</f>
        <v>0</v>
      </c>
      <c r="J30" s="102"/>
      <c r="L30" s="79"/>
    </row>
    <row r="31" spans="1:12" ht="15">
      <c r="A31" s="134" t="s">
        <v>809</v>
      </c>
      <c r="B31" s="522">
        <v>5.7009999999999996</v>
      </c>
      <c r="C31" s="77">
        <v>0.52400000000000002</v>
      </c>
      <c r="D31" s="77"/>
      <c r="E31" s="78"/>
      <c r="F31" s="87">
        <f t="shared" si="4"/>
        <v>2.9873240000000001</v>
      </c>
      <c r="G31" s="101">
        <f>F31</f>
        <v>2.9873240000000001</v>
      </c>
      <c r="H31" s="76" t="s">
        <v>100</v>
      </c>
      <c r="I31" s="78">
        <f>G31*1.1</f>
        <v>3.2860564000000005</v>
      </c>
      <c r="J31" s="102"/>
      <c r="L31" s="79"/>
    </row>
    <row r="32" spans="1:12" ht="15">
      <c r="A32" s="134" t="s">
        <v>810</v>
      </c>
      <c r="B32" s="522">
        <v>4.66</v>
      </c>
      <c r="C32" s="77">
        <v>0.52400000000000002</v>
      </c>
      <c r="D32" s="77"/>
      <c r="E32" s="78"/>
      <c r="F32" s="87">
        <f t="shared" si="4"/>
        <v>2.44184</v>
      </c>
      <c r="G32" s="101">
        <f>F32</f>
        <v>2.44184</v>
      </c>
      <c r="H32" s="76" t="s">
        <v>100</v>
      </c>
      <c r="I32" s="78">
        <f>G32*1.1</f>
        <v>2.6860240000000002</v>
      </c>
      <c r="J32" s="102"/>
      <c r="L32" s="79"/>
    </row>
    <row r="33" spans="1:12" ht="15">
      <c r="A33" s="86"/>
      <c r="B33" s="522"/>
      <c r="C33" s="77"/>
      <c r="D33" s="77"/>
      <c r="E33" s="76"/>
      <c r="F33" s="87"/>
      <c r="G33" s="101"/>
      <c r="H33" s="76"/>
      <c r="I33" s="78"/>
      <c r="J33" s="102"/>
      <c r="L33" s="79">
        <f>30.2-17</f>
        <v>13.2</v>
      </c>
    </row>
    <row r="34" spans="1:12" ht="15">
      <c r="A34" s="97" t="s">
        <v>811</v>
      </c>
      <c r="B34" s="75"/>
      <c r="C34" s="77"/>
      <c r="D34" s="77"/>
      <c r="E34" s="76"/>
      <c r="F34" s="75"/>
      <c r="G34" s="76"/>
      <c r="H34" s="76"/>
      <c r="I34" s="78"/>
      <c r="J34" s="78"/>
      <c r="L34" s="79"/>
    </row>
    <row r="35" spans="1:12" ht="15">
      <c r="A35" s="521" t="s">
        <v>812</v>
      </c>
      <c r="B35" s="109"/>
      <c r="C35" s="77"/>
      <c r="D35" s="77"/>
      <c r="E35" s="76"/>
      <c r="F35" s="109"/>
      <c r="G35" s="128"/>
      <c r="H35" s="76"/>
      <c r="I35" s="78"/>
      <c r="J35" s="78"/>
      <c r="L35" s="79"/>
    </row>
    <row r="36" spans="1:12" ht="15">
      <c r="A36" s="134" t="s">
        <v>813</v>
      </c>
      <c r="B36" s="522">
        <v>8.7579999999999991</v>
      </c>
      <c r="C36" s="77">
        <v>0.30099999999999999</v>
      </c>
      <c r="D36" s="77"/>
      <c r="E36" s="78"/>
      <c r="F36" s="87">
        <f>PRODUCT(B36:E36)</f>
        <v>2.6361579999999996</v>
      </c>
      <c r="G36" s="101">
        <f>F36</f>
        <v>2.6361579999999996</v>
      </c>
      <c r="H36" s="76" t="s">
        <v>100</v>
      </c>
      <c r="I36" s="78">
        <f t="shared" ref="I36:I41" si="6">G36*1.1</f>
        <v>2.8997737999999997</v>
      </c>
      <c r="J36" s="102"/>
      <c r="L36" s="79"/>
    </row>
    <row r="37" spans="1:12" ht="15">
      <c r="A37" s="134" t="s">
        <v>814</v>
      </c>
      <c r="B37" s="522">
        <v>11.368</v>
      </c>
      <c r="C37" s="77">
        <v>0.92100000000000004</v>
      </c>
      <c r="D37" s="77"/>
      <c r="E37" s="78"/>
      <c r="F37" s="87">
        <f t="shared" ref="F37:F41" si="7">PRODUCT(B37:E37)</f>
        <v>10.469928000000001</v>
      </c>
      <c r="G37" s="101">
        <f t="shared" ref="G37" si="8">F37</f>
        <v>10.469928000000001</v>
      </c>
      <c r="H37" s="76" t="s">
        <v>100</v>
      </c>
      <c r="I37" s="78">
        <f t="shared" si="6"/>
        <v>11.516920800000003</v>
      </c>
      <c r="J37" s="102"/>
      <c r="L37" s="79"/>
    </row>
    <row r="38" spans="1:12" ht="15">
      <c r="A38" s="134" t="s">
        <v>815</v>
      </c>
      <c r="B38" s="522">
        <v>8.8800000000000008</v>
      </c>
      <c r="C38" s="77">
        <v>1.6060000000000001</v>
      </c>
      <c r="D38" s="77"/>
      <c r="E38" s="78"/>
      <c r="F38" s="87">
        <f t="shared" si="7"/>
        <v>14.261280000000003</v>
      </c>
      <c r="G38" s="101">
        <f>F38</f>
        <v>14.261280000000003</v>
      </c>
      <c r="H38" s="76" t="s">
        <v>100</v>
      </c>
      <c r="I38" s="78">
        <f t="shared" si="6"/>
        <v>15.687408000000005</v>
      </c>
      <c r="J38" s="102"/>
      <c r="L38" s="79"/>
    </row>
    <row r="39" spans="1:12" ht="15">
      <c r="A39" s="134" t="s">
        <v>816</v>
      </c>
      <c r="B39" s="522">
        <v>11.641</v>
      </c>
      <c r="C39" s="77">
        <v>0</v>
      </c>
      <c r="D39" s="77"/>
      <c r="E39" s="78"/>
      <c r="F39" s="87">
        <f t="shared" si="7"/>
        <v>0</v>
      </c>
      <c r="G39" s="101">
        <f>F39</f>
        <v>0</v>
      </c>
      <c r="H39" s="76" t="s">
        <v>100</v>
      </c>
      <c r="I39" s="78">
        <f t="shared" si="6"/>
        <v>0</v>
      </c>
      <c r="J39" s="102"/>
      <c r="L39" s="79"/>
    </row>
    <row r="40" spans="1:12" ht="15">
      <c r="A40" s="134" t="s">
        <v>817</v>
      </c>
      <c r="B40" s="522">
        <v>13.425000000000001</v>
      </c>
      <c r="C40" s="77">
        <v>0.97499999999999998</v>
      </c>
      <c r="D40" s="77"/>
      <c r="E40" s="78"/>
      <c r="F40" s="87">
        <f t="shared" si="7"/>
        <v>13.089375</v>
      </c>
      <c r="G40" s="101">
        <f>F40</f>
        <v>13.089375</v>
      </c>
      <c r="H40" s="76" t="s">
        <v>100</v>
      </c>
      <c r="I40" s="78">
        <f t="shared" si="6"/>
        <v>14.398312500000001</v>
      </c>
      <c r="J40" s="102"/>
      <c r="L40" s="79"/>
    </row>
    <row r="41" spans="1:12" ht="15">
      <c r="A41" s="134" t="s">
        <v>818</v>
      </c>
      <c r="B41" s="522">
        <v>7.5250000000000004</v>
      </c>
      <c r="C41" s="77">
        <v>0.97499999999999998</v>
      </c>
      <c r="D41" s="77"/>
      <c r="E41" s="78"/>
      <c r="F41" s="87">
        <f t="shared" si="7"/>
        <v>7.336875</v>
      </c>
      <c r="G41" s="101">
        <f>F41</f>
        <v>7.336875</v>
      </c>
      <c r="H41" s="76" t="s">
        <v>100</v>
      </c>
      <c r="I41" s="78">
        <f t="shared" si="6"/>
        <v>8.0705625000000012</v>
      </c>
      <c r="J41" s="102">
        <f>+SUM(I17:I41)</f>
        <v>84.849422900000008</v>
      </c>
      <c r="L41" s="79"/>
    </row>
    <row r="42" spans="1:12" ht="15">
      <c r="A42" s="134"/>
      <c r="B42" s="522"/>
      <c r="C42" s="77"/>
      <c r="D42" s="77"/>
      <c r="E42" s="78"/>
      <c r="F42" s="87"/>
      <c r="G42" s="101"/>
      <c r="H42" s="76"/>
      <c r="I42" s="78"/>
      <c r="J42" s="102"/>
      <c r="L42" s="79"/>
    </row>
    <row r="43" spans="1:12" ht="15">
      <c r="A43" s="83"/>
      <c r="B43" s="75"/>
      <c r="C43" s="75"/>
      <c r="D43" s="77"/>
      <c r="E43" s="76"/>
      <c r="F43" s="75"/>
      <c r="G43" s="76"/>
      <c r="H43" s="76"/>
      <c r="I43" s="78"/>
      <c r="J43" s="127"/>
      <c r="L43" s="79"/>
    </row>
    <row r="44" spans="1:12" ht="15">
      <c r="A44" s="83"/>
      <c r="B44" s="75"/>
      <c r="C44" s="75"/>
      <c r="D44" s="77"/>
      <c r="E44" s="76"/>
      <c r="F44" s="75"/>
      <c r="G44" s="76"/>
      <c r="H44" s="76"/>
      <c r="I44" s="78"/>
      <c r="J44" s="78"/>
    </row>
    <row r="45" spans="1:12" ht="15">
      <c r="A45" s="748" t="s">
        <v>819</v>
      </c>
      <c r="B45" s="749"/>
      <c r="C45" s="749"/>
      <c r="D45" s="749"/>
      <c r="E45" s="749"/>
      <c r="F45" s="750"/>
      <c r="G45" s="94"/>
      <c r="H45" s="95"/>
      <c r="I45" s="94"/>
      <c r="J45" s="94"/>
      <c r="L45" s="79"/>
    </row>
    <row r="46" spans="1:12" ht="15">
      <c r="A46" s="83"/>
      <c r="B46" s="75"/>
      <c r="C46" s="75"/>
      <c r="D46" s="77"/>
      <c r="E46" s="76"/>
      <c r="F46" s="75"/>
      <c r="G46" s="76"/>
      <c r="H46" s="76"/>
      <c r="I46" s="78"/>
      <c r="J46" s="78"/>
      <c r="L46" s="79"/>
    </row>
    <row r="47" spans="1:12" ht="15">
      <c r="A47" s="748" t="s">
        <v>106</v>
      </c>
      <c r="B47" s="749"/>
      <c r="C47" s="749"/>
      <c r="D47" s="749"/>
      <c r="E47" s="749"/>
      <c r="F47" s="750"/>
      <c r="G47" s="96"/>
      <c r="H47" s="73"/>
      <c r="I47" s="72"/>
      <c r="J47" s="72"/>
      <c r="K47" s="79"/>
      <c r="L47" s="79"/>
    </row>
    <row r="48" spans="1:12" ht="15">
      <c r="A48" s="748" t="s">
        <v>107</v>
      </c>
      <c r="B48" s="749"/>
      <c r="C48" s="749"/>
      <c r="D48" s="749"/>
      <c r="E48" s="749"/>
      <c r="F48" s="750"/>
      <c r="G48" s="96"/>
      <c r="H48" s="73"/>
      <c r="I48" s="72"/>
      <c r="J48" s="72"/>
      <c r="K48" s="79"/>
      <c r="L48" s="79"/>
    </row>
    <row r="49" spans="1:12" ht="15">
      <c r="A49" s="748" t="s">
        <v>108</v>
      </c>
      <c r="B49" s="749"/>
      <c r="C49" s="749"/>
      <c r="D49" s="749"/>
      <c r="E49" s="749"/>
      <c r="F49" s="750"/>
      <c r="G49" s="94"/>
      <c r="H49" s="95"/>
      <c r="I49" s="94"/>
      <c r="J49" s="94"/>
      <c r="K49" s="79"/>
      <c r="L49" s="79"/>
    </row>
    <row r="50" spans="1:12" ht="15">
      <c r="A50" s="97" t="s">
        <v>795</v>
      </c>
      <c r="B50" s="75"/>
      <c r="C50" s="77"/>
      <c r="D50" s="77"/>
      <c r="E50" s="76"/>
      <c r="F50" s="75"/>
      <c r="G50" s="76"/>
      <c r="H50" s="76"/>
      <c r="I50" s="78"/>
      <c r="J50" s="78"/>
      <c r="L50" s="79"/>
    </row>
    <row r="51" spans="1:12" ht="15">
      <c r="A51" s="521" t="s">
        <v>796</v>
      </c>
      <c r="B51" s="109"/>
      <c r="C51" s="77"/>
      <c r="D51" s="77"/>
      <c r="E51" s="76"/>
      <c r="F51" s="109"/>
      <c r="G51" s="128"/>
      <c r="H51" s="76"/>
      <c r="I51" s="78"/>
      <c r="J51" s="78"/>
      <c r="L51" s="79"/>
    </row>
    <row r="52" spans="1:12" ht="15">
      <c r="A52" s="134" t="s">
        <v>797</v>
      </c>
      <c r="B52" s="522">
        <v>8.32</v>
      </c>
      <c r="C52" s="77">
        <v>2.9409999999999998</v>
      </c>
      <c r="D52" s="77"/>
      <c r="E52" s="78"/>
      <c r="F52" s="87">
        <f>PRODUCT(B52:E52)</f>
        <v>24.46912</v>
      </c>
      <c r="G52" s="101">
        <f>F52</f>
        <v>24.46912</v>
      </c>
      <c r="H52" s="76" t="s">
        <v>100</v>
      </c>
      <c r="I52" s="78">
        <f>G52*1.1</f>
        <v>26.916032000000001</v>
      </c>
      <c r="J52" s="102"/>
      <c r="L52" s="79"/>
    </row>
    <row r="53" spans="1:12" ht="15">
      <c r="A53" s="134" t="s">
        <v>798</v>
      </c>
      <c r="B53" s="522">
        <v>10.567</v>
      </c>
      <c r="C53" s="77">
        <v>3.7650000000000001</v>
      </c>
      <c r="D53" s="77"/>
      <c r="E53" s="78"/>
      <c r="F53" s="87">
        <f t="shared" ref="F53:F54" si="9">PRODUCT(B53:E53)</f>
        <v>39.784755000000004</v>
      </c>
      <c r="G53" s="101">
        <f t="shared" ref="G53:G54" si="10">F53</f>
        <v>39.784755000000004</v>
      </c>
      <c r="H53" s="76" t="s">
        <v>100</v>
      </c>
      <c r="I53" s="78">
        <f>G53*1.1</f>
        <v>43.763230500000006</v>
      </c>
      <c r="J53" s="102"/>
      <c r="L53" s="79"/>
    </row>
    <row r="54" spans="1:12" ht="15">
      <c r="A54" s="86"/>
      <c r="B54" s="522"/>
      <c r="C54" s="77"/>
      <c r="D54" s="77"/>
      <c r="E54" s="76"/>
      <c r="F54" s="87">
        <f t="shared" si="9"/>
        <v>0</v>
      </c>
      <c r="G54" s="101">
        <f t="shared" si="10"/>
        <v>0</v>
      </c>
      <c r="H54" s="76"/>
      <c r="I54" s="78"/>
      <c r="J54" s="102"/>
      <c r="L54" s="79"/>
    </row>
    <row r="55" spans="1:12" ht="15">
      <c r="A55" s="97" t="s">
        <v>799</v>
      </c>
      <c r="B55" s="75"/>
      <c r="C55" s="77"/>
      <c r="D55" s="77"/>
      <c r="E55" s="76"/>
      <c r="F55" s="75"/>
      <c r="G55" s="76"/>
      <c r="H55" s="76"/>
      <c r="I55" s="78"/>
      <c r="J55" s="78"/>
      <c r="L55" s="79"/>
    </row>
    <row r="56" spans="1:12" ht="15">
      <c r="A56" s="521" t="s">
        <v>800</v>
      </c>
      <c r="B56" s="109"/>
      <c r="C56" s="77"/>
      <c r="D56" s="77"/>
      <c r="E56" s="76"/>
      <c r="F56" s="109"/>
      <c r="G56" s="128"/>
      <c r="H56" s="76"/>
      <c r="I56" s="78"/>
      <c r="J56" s="78"/>
      <c r="L56" s="79"/>
    </row>
    <row r="57" spans="1:12" ht="15">
      <c r="A57" s="134" t="s">
        <v>801</v>
      </c>
      <c r="B57" s="522">
        <v>2.3660000000000001</v>
      </c>
      <c r="C57" s="77">
        <v>11.106</v>
      </c>
      <c r="D57" s="77"/>
      <c r="E57" s="78"/>
      <c r="F57" s="87">
        <f>PRODUCT(B57:E57)</f>
        <v>26.276796000000001</v>
      </c>
      <c r="G57" s="101">
        <f>F57</f>
        <v>26.276796000000001</v>
      </c>
      <c r="H57" s="76" t="s">
        <v>100</v>
      </c>
      <c r="I57" s="78">
        <f>G57*1.1</f>
        <v>28.904475600000005</v>
      </c>
      <c r="J57" s="102"/>
      <c r="L57" s="79"/>
    </row>
    <row r="58" spans="1:12" ht="15">
      <c r="A58" s="134" t="s">
        <v>802</v>
      </c>
      <c r="B58" s="522">
        <v>8.532</v>
      </c>
      <c r="C58" s="77">
        <v>5.1440000000000001</v>
      </c>
      <c r="D58" s="77"/>
      <c r="E58" s="78"/>
      <c r="F58" s="87">
        <f t="shared" ref="F58" si="11">PRODUCT(B58:E58)</f>
        <v>43.888607999999998</v>
      </c>
      <c r="G58" s="101">
        <f t="shared" ref="G58" si="12">F58</f>
        <v>43.888607999999998</v>
      </c>
      <c r="H58" s="76" t="s">
        <v>100</v>
      </c>
      <c r="I58" s="78">
        <f>G58*1.1</f>
        <v>48.277468800000001</v>
      </c>
      <c r="J58" s="102"/>
      <c r="L58" s="79"/>
    </row>
    <row r="59" spans="1:12" ht="15">
      <c r="A59" s="134" t="s">
        <v>803</v>
      </c>
      <c r="B59" s="522">
        <v>5.8659999999999997</v>
      </c>
      <c r="C59" s="77">
        <v>4.2</v>
      </c>
      <c r="D59" s="77"/>
      <c r="E59" s="78"/>
      <c r="F59" s="87">
        <f>PRODUCT(B59:E59)</f>
        <v>24.6372</v>
      </c>
      <c r="G59" s="101">
        <f>F59</f>
        <v>24.6372</v>
      </c>
      <c r="H59" s="76" t="s">
        <v>100</v>
      </c>
      <c r="I59" s="78">
        <f>G59*1.1</f>
        <v>27.100920000000002</v>
      </c>
      <c r="J59" s="102"/>
      <c r="L59" s="79"/>
    </row>
    <row r="60" spans="1:12" ht="15">
      <c r="A60" s="134" t="s">
        <v>804</v>
      </c>
      <c r="B60" s="522">
        <v>2.9729999999999999</v>
      </c>
      <c r="C60" s="77">
        <v>4.2</v>
      </c>
      <c r="D60" s="77"/>
      <c r="E60" s="78"/>
      <c r="F60" s="87">
        <f>PRODUCT(B60:E60)</f>
        <v>12.486599999999999</v>
      </c>
      <c r="G60" s="101">
        <f>F60</f>
        <v>12.486599999999999</v>
      </c>
      <c r="H60" s="76" t="s">
        <v>100</v>
      </c>
      <c r="I60" s="78">
        <f>G60*1.1</f>
        <v>13.73526</v>
      </c>
      <c r="J60" s="102"/>
      <c r="L60" s="79"/>
    </row>
    <row r="61" spans="1:12" ht="15">
      <c r="A61" s="523"/>
      <c r="B61" s="524"/>
      <c r="C61" s="77"/>
      <c r="D61" s="77"/>
      <c r="E61" s="76"/>
      <c r="F61" s="109"/>
      <c r="G61" s="525"/>
      <c r="H61" s="76"/>
      <c r="I61" s="78"/>
      <c r="J61" s="102"/>
      <c r="L61" s="79"/>
    </row>
    <row r="62" spans="1:12" ht="15">
      <c r="A62" s="97" t="s">
        <v>805</v>
      </c>
      <c r="B62" s="75"/>
      <c r="C62" s="77"/>
      <c r="D62" s="77"/>
      <c r="E62" s="76"/>
      <c r="F62" s="75"/>
      <c r="G62" s="76"/>
      <c r="H62" s="76"/>
      <c r="I62" s="78"/>
      <c r="J62" s="78"/>
      <c r="L62" s="79"/>
    </row>
    <row r="63" spans="1:12" ht="15">
      <c r="A63" s="521" t="s">
        <v>806</v>
      </c>
      <c r="B63" s="109"/>
      <c r="C63" s="77"/>
      <c r="D63" s="77"/>
      <c r="E63" s="76"/>
      <c r="F63" s="109"/>
      <c r="G63" s="128"/>
      <c r="H63" s="76"/>
      <c r="I63" s="78"/>
      <c r="J63" s="78"/>
      <c r="L63" s="79"/>
    </row>
    <row r="64" spans="1:12" ht="15">
      <c r="A64" s="134" t="s">
        <v>807</v>
      </c>
      <c r="B64" s="522">
        <v>9.1940000000000008</v>
      </c>
      <c r="C64" s="77">
        <v>1.294</v>
      </c>
      <c r="D64" s="77"/>
      <c r="E64" s="78"/>
      <c r="F64" s="87">
        <f>PRODUCT(B64:E64)</f>
        <v>11.897036000000002</v>
      </c>
      <c r="G64" s="101">
        <f>F64</f>
        <v>11.897036000000002</v>
      </c>
      <c r="H64" s="76" t="s">
        <v>100</v>
      </c>
      <c r="I64" s="78">
        <f>G64*1.1</f>
        <v>13.086739600000003</v>
      </c>
      <c r="J64" s="102"/>
      <c r="L64" s="79"/>
    </row>
    <row r="65" spans="1:12" ht="15">
      <c r="A65" s="134" t="s">
        <v>808</v>
      </c>
      <c r="B65" s="522">
        <v>7.7469999999999999</v>
      </c>
      <c r="C65" s="77">
        <v>2.3260000000000001</v>
      </c>
      <c r="D65" s="77"/>
      <c r="E65" s="78"/>
      <c r="F65" s="87">
        <f t="shared" ref="F65:F67" si="13">PRODUCT(B65:E65)</f>
        <v>18.019521999999998</v>
      </c>
      <c r="G65" s="101">
        <f t="shared" ref="G65" si="14">F65</f>
        <v>18.019521999999998</v>
      </c>
      <c r="H65" s="76" t="s">
        <v>100</v>
      </c>
      <c r="I65" s="78">
        <f>G65*1.1</f>
        <v>19.821474200000001</v>
      </c>
      <c r="J65" s="102"/>
      <c r="L65" s="79"/>
    </row>
    <row r="66" spans="1:12" ht="15">
      <c r="A66" s="134" t="s">
        <v>809</v>
      </c>
      <c r="B66" s="522">
        <v>5.7009999999999996</v>
      </c>
      <c r="C66" s="77">
        <v>7.6349999999999998</v>
      </c>
      <c r="D66" s="77"/>
      <c r="E66" s="78"/>
      <c r="F66" s="87">
        <f t="shared" si="13"/>
        <v>43.527134999999994</v>
      </c>
      <c r="G66" s="101">
        <f>F66</f>
        <v>43.527134999999994</v>
      </c>
      <c r="H66" s="76" t="s">
        <v>100</v>
      </c>
      <c r="I66" s="78">
        <f>G66*1.1</f>
        <v>47.879848499999994</v>
      </c>
      <c r="J66" s="102"/>
      <c r="L66" s="79"/>
    </row>
    <row r="67" spans="1:12" ht="15">
      <c r="A67" s="134" t="s">
        <v>810</v>
      </c>
      <c r="B67" s="522">
        <v>4.66</v>
      </c>
      <c r="C67" s="77">
        <v>7.6349999999999998</v>
      </c>
      <c r="D67" s="77"/>
      <c r="E67" s="78"/>
      <c r="F67" s="87">
        <f t="shared" si="13"/>
        <v>35.579099999999997</v>
      </c>
      <c r="G67" s="101">
        <f>F67</f>
        <v>35.579099999999997</v>
      </c>
      <c r="H67" s="76" t="s">
        <v>100</v>
      </c>
      <c r="I67" s="78">
        <f>G67*1.1</f>
        <v>39.137009999999997</v>
      </c>
      <c r="J67" s="102"/>
      <c r="L67" s="79"/>
    </row>
    <row r="68" spans="1:12" ht="15">
      <c r="A68" s="86"/>
      <c r="B68" s="522"/>
      <c r="C68" s="77"/>
      <c r="D68" s="77"/>
      <c r="E68" s="76"/>
      <c r="F68" s="87"/>
      <c r="G68" s="101"/>
      <c r="H68" s="76"/>
      <c r="I68" s="78"/>
      <c r="J68" s="102"/>
      <c r="L68" s="79">
        <f>30.2-17</f>
        <v>13.2</v>
      </c>
    </row>
    <row r="69" spans="1:12" ht="15">
      <c r="A69" s="97" t="s">
        <v>811</v>
      </c>
      <c r="B69" s="75"/>
      <c r="C69" s="77"/>
      <c r="D69" s="77"/>
      <c r="E69" s="76"/>
      <c r="F69" s="75"/>
      <c r="G69" s="76"/>
      <c r="H69" s="76"/>
      <c r="I69" s="78"/>
      <c r="J69" s="78"/>
      <c r="L69" s="79"/>
    </row>
    <row r="70" spans="1:12" ht="15">
      <c r="A70" s="521" t="s">
        <v>812</v>
      </c>
      <c r="B70" s="109"/>
      <c r="C70" s="77"/>
      <c r="D70" s="77"/>
      <c r="E70" s="76"/>
      <c r="F70" s="109"/>
      <c r="G70" s="128"/>
      <c r="H70" s="76"/>
      <c r="I70" s="78"/>
      <c r="J70" s="78"/>
      <c r="L70" s="79"/>
    </row>
    <row r="71" spans="1:12" ht="15">
      <c r="A71" s="134" t="s">
        <v>813</v>
      </c>
      <c r="B71" s="522">
        <v>8.7579999999999991</v>
      </c>
      <c r="C71" s="77">
        <v>4.6050000000000004</v>
      </c>
      <c r="D71" s="77"/>
      <c r="E71" s="78"/>
      <c r="F71" s="87">
        <f>PRODUCT(B71:E71)</f>
        <v>40.330590000000001</v>
      </c>
      <c r="G71" s="101">
        <f>F71</f>
        <v>40.330590000000001</v>
      </c>
      <c r="H71" s="76" t="s">
        <v>100</v>
      </c>
      <c r="I71" s="78">
        <f t="shared" ref="I71:I76" si="15">G71*1.1</f>
        <v>44.363649000000002</v>
      </c>
      <c r="J71" s="102"/>
      <c r="L71" s="79"/>
    </row>
    <row r="72" spans="1:12" ht="15">
      <c r="A72" s="134" t="s">
        <v>814</v>
      </c>
      <c r="B72" s="522">
        <v>11.368</v>
      </c>
      <c r="C72" s="77">
        <v>10.135999999999999</v>
      </c>
      <c r="D72" s="77"/>
      <c r="E72" s="78"/>
      <c r="F72" s="87">
        <f t="shared" ref="F72:F76" si="16">PRODUCT(B72:E72)</f>
        <v>115.22604799999999</v>
      </c>
      <c r="G72" s="101">
        <f t="shared" ref="G72" si="17">F72</f>
        <v>115.22604799999999</v>
      </c>
      <c r="H72" s="76" t="s">
        <v>100</v>
      </c>
      <c r="I72" s="78">
        <f t="shared" si="15"/>
        <v>126.7486528</v>
      </c>
      <c r="J72" s="102"/>
      <c r="L72" s="79"/>
    </row>
    <row r="73" spans="1:12" ht="15">
      <c r="A73" s="134" t="s">
        <v>815</v>
      </c>
      <c r="B73" s="522">
        <v>8.8800000000000008</v>
      </c>
      <c r="C73" s="77">
        <v>9.8759999999999994</v>
      </c>
      <c r="D73" s="77"/>
      <c r="E73" s="78"/>
      <c r="F73" s="87">
        <f t="shared" si="16"/>
        <v>87.698880000000003</v>
      </c>
      <c r="G73" s="101">
        <f>F73</f>
        <v>87.698880000000003</v>
      </c>
      <c r="H73" s="76" t="s">
        <v>100</v>
      </c>
      <c r="I73" s="78">
        <f t="shared" si="15"/>
        <v>96.468768000000011</v>
      </c>
      <c r="J73" s="102"/>
      <c r="L73" s="79"/>
    </row>
    <row r="74" spans="1:12" ht="15">
      <c r="A74" s="134" t="s">
        <v>816</v>
      </c>
      <c r="B74" s="522">
        <v>11.641</v>
      </c>
      <c r="C74" s="77">
        <v>11.396000000000001</v>
      </c>
      <c r="D74" s="77"/>
      <c r="E74" s="78"/>
      <c r="F74" s="87">
        <f t="shared" si="16"/>
        <v>132.66083600000002</v>
      </c>
      <c r="G74" s="101">
        <f>F74</f>
        <v>132.66083600000002</v>
      </c>
      <c r="H74" s="76" t="s">
        <v>100</v>
      </c>
      <c r="I74" s="78">
        <f t="shared" si="15"/>
        <v>145.92691960000002</v>
      </c>
      <c r="J74" s="102"/>
      <c r="L74" s="79"/>
    </row>
    <row r="75" spans="1:12" ht="15">
      <c r="A75" s="134" t="s">
        <v>817</v>
      </c>
      <c r="B75" s="522">
        <v>13.425000000000001</v>
      </c>
      <c r="C75" s="77">
        <v>7.3609999999999998</v>
      </c>
      <c r="D75" s="77"/>
      <c r="E75" s="78"/>
      <c r="F75" s="87">
        <f t="shared" si="16"/>
        <v>98.821425000000005</v>
      </c>
      <c r="G75" s="101">
        <f>F75</f>
        <v>98.821425000000005</v>
      </c>
      <c r="H75" s="76" t="s">
        <v>100</v>
      </c>
      <c r="I75" s="78">
        <f t="shared" si="15"/>
        <v>108.70356750000002</v>
      </c>
      <c r="J75" s="102"/>
      <c r="L75" s="79"/>
    </row>
    <row r="76" spans="1:12" ht="15">
      <c r="A76" s="134" t="s">
        <v>818</v>
      </c>
      <c r="B76" s="522">
        <v>7.5250000000000004</v>
      </c>
      <c r="C76" s="77">
        <v>7.3609999999999998</v>
      </c>
      <c r="D76" s="77"/>
      <c r="E76" s="78"/>
      <c r="F76" s="87">
        <f t="shared" si="16"/>
        <v>55.391525000000001</v>
      </c>
      <c r="G76" s="101">
        <f>F76</f>
        <v>55.391525000000001</v>
      </c>
      <c r="H76" s="76" t="s">
        <v>100</v>
      </c>
      <c r="I76" s="78">
        <f t="shared" si="15"/>
        <v>60.930677500000009</v>
      </c>
      <c r="J76" s="127">
        <f>+SUM(I52:I76)</f>
        <v>891.7646936000001</v>
      </c>
      <c r="L76" s="79"/>
    </row>
    <row r="77" spans="1:12" ht="15">
      <c r="A77" s="134"/>
      <c r="B77" s="522"/>
      <c r="C77" s="77"/>
      <c r="D77" s="77"/>
      <c r="E77" s="78"/>
      <c r="F77" s="87"/>
      <c r="G77" s="101"/>
      <c r="H77" s="76"/>
      <c r="I77" s="78"/>
      <c r="J77" s="102"/>
      <c r="L77" s="79"/>
    </row>
    <row r="78" spans="1:12" ht="15">
      <c r="A78" s="287" t="s">
        <v>793</v>
      </c>
      <c r="B78" s="87"/>
      <c r="C78" s="89"/>
      <c r="D78" s="89"/>
      <c r="E78" s="90"/>
      <c r="F78" s="87"/>
      <c r="G78" s="101"/>
      <c r="H78" s="76" t="s">
        <v>100</v>
      </c>
      <c r="I78" s="78">
        <f>+'Drain Qty89'!H120</f>
        <v>132.69300000000001</v>
      </c>
      <c r="J78" s="127">
        <f>+I78</f>
        <v>132.69300000000001</v>
      </c>
      <c r="K78" s="79"/>
      <c r="L78" s="79"/>
    </row>
    <row r="79" spans="1:12" ht="15">
      <c r="A79" s="287"/>
      <c r="B79" s="87"/>
      <c r="C79" s="89"/>
      <c r="D79" s="89"/>
      <c r="E79" s="90"/>
      <c r="F79" s="87"/>
      <c r="G79" s="101"/>
      <c r="H79" s="76"/>
      <c r="I79" s="78"/>
      <c r="J79" s="127"/>
      <c r="K79" s="79"/>
      <c r="L79" s="79"/>
    </row>
    <row r="80" spans="1:12" ht="15">
      <c r="A80" s="287"/>
      <c r="B80" s="87"/>
      <c r="C80" s="89"/>
      <c r="D80" s="89"/>
      <c r="E80" s="90"/>
      <c r="F80" s="87"/>
      <c r="G80" s="101"/>
      <c r="H80" s="76"/>
      <c r="I80" s="78"/>
      <c r="J80" s="102">
        <f>+J76+J78</f>
        <v>1024.4576936000001</v>
      </c>
      <c r="K80" s="79"/>
      <c r="L80" s="79"/>
    </row>
    <row r="81" spans="1:12" ht="15">
      <c r="A81" s="751" t="s">
        <v>109</v>
      </c>
      <c r="B81" s="752"/>
      <c r="C81" s="752"/>
      <c r="D81" s="752"/>
      <c r="E81" s="752"/>
      <c r="F81" s="752"/>
      <c r="G81" s="752"/>
      <c r="H81" s="752"/>
      <c r="I81" s="752"/>
      <c r="J81" s="753"/>
      <c r="K81" s="79"/>
      <c r="L81" s="79"/>
    </row>
    <row r="82" spans="1:12" ht="15">
      <c r="A82" s="97" t="s">
        <v>811</v>
      </c>
      <c r="B82" s="81"/>
      <c r="C82" s="98"/>
      <c r="D82" s="98"/>
      <c r="E82" s="99"/>
      <c r="F82" s="81"/>
      <c r="G82" s="99"/>
      <c r="H82" s="99"/>
      <c r="I82" s="78"/>
      <c r="J82" s="100"/>
      <c r="K82" s="79"/>
      <c r="L82" s="79"/>
    </row>
    <row r="83" spans="1:12" ht="19.5" customHeight="1">
      <c r="A83" s="129" t="s">
        <v>820</v>
      </c>
      <c r="B83" s="522">
        <f>+B37</f>
        <v>11.368</v>
      </c>
      <c r="C83" s="77">
        <v>0.224</v>
      </c>
      <c r="D83" s="77"/>
      <c r="E83" s="78"/>
      <c r="F83" s="87">
        <f>PRODUCT(B83:E83)</f>
        <v>2.5464320000000003</v>
      </c>
      <c r="G83" s="101">
        <f>F83</f>
        <v>2.5464320000000003</v>
      </c>
      <c r="H83" s="76" t="s">
        <v>100</v>
      </c>
      <c r="I83" s="78">
        <f>G83*1.1</f>
        <v>2.8010752000000005</v>
      </c>
      <c r="J83" s="102">
        <f>+I83</f>
        <v>2.8010752000000005</v>
      </c>
      <c r="L83" s="79"/>
    </row>
    <row r="84" spans="1:12" ht="15">
      <c r="A84" s="83"/>
      <c r="B84" s="75"/>
      <c r="C84" s="77"/>
      <c r="D84" s="77"/>
      <c r="E84" s="76"/>
      <c r="F84" s="75"/>
      <c r="G84" s="76"/>
      <c r="H84" s="76"/>
      <c r="I84" s="78"/>
      <c r="J84" s="78"/>
      <c r="K84" s="79"/>
      <c r="L84" s="79"/>
    </row>
    <row r="85" spans="1:12" ht="15">
      <c r="A85" s="751" t="s">
        <v>821</v>
      </c>
      <c r="B85" s="752"/>
      <c r="C85" s="752"/>
      <c r="D85" s="752"/>
      <c r="E85" s="752"/>
      <c r="F85" s="752"/>
      <c r="G85" s="752"/>
      <c r="H85" s="752"/>
      <c r="I85" s="752"/>
      <c r="J85" s="753"/>
      <c r="K85" s="79"/>
      <c r="L85" s="79"/>
    </row>
    <row r="86" spans="1:12" ht="15">
      <c r="A86" s="83"/>
      <c r="B86" s="75"/>
      <c r="C86" s="77"/>
      <c r="D86" s="77"/>
      <c r="E86" s="76"/>
      <c r="F86" s="75"/>
      <c r="G86" s="76"/>
      <c r="H86" s="76"/>
      <c r="I86" s="78"/>
      <c r="J86" s="100">
        <f>+J80-J83</f>
        <v>1021.6566184000001</v>
      </c>
      <c r="K86" s="79"/>
      <c r="L86" s="79"/>
    </row>
    <row r="87" spans="1:12" ht="15">
      <c r="A87" s="736"/>
      <c r="B87" s="737"/>
      <c r="C87" s="737"/>
      <c r="D87" s="737"/>
      <c r="E87" s="737"/>
      <c r="F87" s="737"/>
      <c r="G87" s="737"/>
      <c r="H87" s="737"/>
      <c r="I87" s="737"/>
      <c r="J87" s="738"/>
      <c r="L87" s="79"/>
    </row>
    <row r="88" spans="1:12" ht="15">
      <c r="A88" s="754" t="s">
        <v>110</v>
      </c>
      <c r="B88" s="755"/>
      <c r="C88" s="755"/>
      <c r="D88" s="755"/>
      <c r="E88" s="755"/>
      <c r="F88" s="755"/>
      <c r="G88" s="755"/>
      <c r="H88" s="755"/>
      <c r="I88" s="755"/>
      <c r="J88" s="756"/>
      <c r="L88" s="79"/>
    </row>
    <row r="89" spans="1:12" ht="15">
      <c r="A89" s="74"/>
      <c r="B89" s="81"/>
      <c r="C89" s="98"/>
      <c r="D89" s="103"/>
      <c r="E89" s="104"/>
      <c r="F89" s="81"/>
      <c r="G89" s="105"/>
      <c r="H89" s="99"/>
      <c r="I89" s="78"/>
      <c r="J89" s="100"/>
      <c r="L89" s="106"/>
    </row>
    <row r="90" spans="1:12" ht="15">
      <c r="A90" s="241"/>
      <c r="B90" s="242"/>
      <c r="C90" s="242"/>
      <c r="D90" s="242"/>
      <c r="E90" s="242"/>
      <c r="F90" s="242"/>
      <c r="G90" s="526"/>
      <c r="H90" s="237"/>
      <c r="I90" s="526"/>
      <c r="J90" s="527"/>
    </row>
    <row r="91" spans="1:12" ht="15">
      <c r="A91" s="241"/>
      <c r="B91" s="242"/>
      <c r="C91" s="242"/>
      <c r="D91" s="242"/>
      <c r="E91" s="242"/>
      <c r="F91" s="242"/>
      <c r="G91" s="526"/>
      <c r="H91" s="237"/>
      <c r="I91" s="526"/>
      <c r="J91" s="527"/>
    </row>
    <row r="92" spans="1:12" ht="15">
      <c r="A92" s="820" t="s">
        <v>822</v>
      </c>
      <c r="B92" s="821"/>
      <c r="C92" s="821"/>
      <c r="D92" s="821"/>
      <c r="E92" s="821"/>
      <c r="F92" s="821"/>
      <c r="G92" s="821"/>
      <c r="H92" s="821"/>
      <c r="I92" s="821"/>
      <c r="J92" s="822"/>
      <c r="L92" s="79"/>
    </row>
    <row r="93" spans="1:12" ht="15">
      <c r="A93" s="528"/>
      <c r="B93" s="529"/>
      <c r="C93" s="529"/>
      <c r="D93" s="529"/>
      <c r="E93" s="529"/>
      <c r="F93" s="529"/>
      <c r="G93" s="529"/>
      <c r="H93" s="529"/>
      <c r="I93" s="529"/>
      <c r="J93" s="530"/>
      <c r="L93" s="79"/>
    </row>
    <row r="94" spans="1:12" ht="15">
      <c r="A94" s="97" t="s">
        <v>795</v>
      </c>
      <c r="B94" s="75"/>
      <c r="C94" s="77"/>
      <c r="D94" s="77"/>
      <c r="E94" s="76"/>
      <c r="F94" s="75"/>
      <c r="G94" s="76"/>
      <c r="H94" s="76"/>
      <c r="I94" s="78"/>
      <c r="J94" s="78"/>
      <c r="L94" s="79"/>
    </row>
    <row r="95" spans="1:12" ht="15">
      <c r="A95" s="86" t="s">
        <v>794</v>
      </c>
      <c r="B95" s="522"/>
      <c r="C95" s="77"/>
      <c r="D95" s="77"/>
      <c r="E95" s="76"/>
      <c r="F95" s="87"/>
      <c r="G95" s="101"/>
      <c r="H95" s="76"/>
      <c r="I95" s="78"/>
      <c r="J95" s="102"/>
      <c r="L95" s="79" t="s">
        <v>823</v>
      </c>
    </row>
    <row r="96" spans="1:12" ht="15">
      <c r="A96" s="521" t="s">
        <v>824</v>
      </c>
      <c r="B96" s="109"/>
      <c r="C96" s="77"/>
      <c r="D96" s="77"/>
      <c r="E96" s="76"/>
      <c r="F96" s="109"/>
      <c r="G96" s="128"/>
      <c r="H96" s="76"/>
      <c r="I96" s="78"/>
      <c r="J96" s="78"/>
      <c r="L96" s="79"/>
    </row>
    <row r="97" spans="1:12" ht="15">
      <c r="A97" s="134" t="s">
        <v>825</v>
      </c>
      <c r="B97" s="522">
        <v>3.5</v>
      </c>
      <c r="C97" s="77">
        <v>2.36</v>
      </c>
      <c r="D97" s="77"/>
      <c r="E97" s="76"/>
      <c r="F97" s="87">
        <f>PRODUCT(B97:E97)</f>
        <v>8.26</v>
      </c>
      <c r="G97" s="101">
        <f>F97</f>
        <v>8.26</v>
      </c>
      <c r="H97" s="76" t="s">
        <v>100</v>
      </c>
      <c r="I97" s="78">
        <f>G97*1.1</f>
        <v>9.0860000000000003</v>
      </c>
      <c r="J97" s="102"/>
      <c r="L97" s="79"/>
    </row>
    <row r="98" spans="1:12" ht="15">
      <c r="A98" s="134" t="s">
        <v>826</v>
      </c>
      <c r="B98" s="522">
        <v>5</v>
      </c>
      <c r="C98" s="77">
        <v>2.36</v>
      </c>
      <c r="D98" s="77"/>
      <c r="E98" s="76"/>
      <c r="F98" s="87">
        <f>PRODUCT(B98:E98)</f>
        <v>11.799999999999999</v>
      </c>
      <c r="G98" s="101">
        <f>F98</f>
        <v>11.799999999999999</v>
      </c>
      <c r="H98" s="76" t="s">
        <v>100</v>
      </c>
      <c r="I98" s="78">
        <f>G98*1.1</f>
        <v>12.98</v>
      </c>
      <c r="J98" s="102"/>
      <c r="L98" s="79"/>
    </row>
    <row r="99" spans="1:12" ht="15">
      <c r="A99" s="521" t="s">
        <v>827</v>
      </c>
      <c r="B99" s="109"/>
      <c r="C99" s="77"/>
      <c r="D99" s="77"/>
      <c r="E99" s="76"/>
      <c r="F99" s="109"/>
      <c r="G99" s="128"/>
      <c r="H99" s="76"/>
      <c r="I99" s="78"/>
      <c r="J99" s="78"/>
      <c r="L99" s="79"/>
    </row>
    <row r="100" spans="1:12" ht="15">
      <c r="A100" s="134" t="s">
        <v>828</v>
      </c>
      <c r="B100" s="522">
        <v>4</v>
      </c>
      <c r="C100" s="77">
        <v>2.9340000000000002</v>
      </c>
      <c r="D100" s="77"/>
      <c r="E100" s="76"/>
      <c r="F100" s="87">
        <f>PRODUCT(B100:E100)</f>
        <v>11.736000000000001</v>
      </c>
      <c r="G100" s="101">
        <f>F100</f>
        <v>11.736000000000001</v>
      </c>
      <c r="H100" s="76" t="s">
        <v>100</v>
      </c>
      <c r="I100" s="78">
        <f>G100*1.1</f>
        <v>12.909600000000001</v>
      </c>
      <c r="J100" s="102"/>
      <c r="L100" s="79"/>
    </row>
    <row r="101" spans="1:12" ht="15">
      <c r="A101" s="134" t="s">
        <v>829</v>
      </c>
      <c r="B101" s="522">
        <v>6.5</v>
      </c>
      <c r="C101" s="77">
        <v>2.9340000000000002</v>
      </c>
      <c r="D101" s="77"/>
      <c r="E101" s="76"/>
      <c r="F101" s="87">
        <f>PRODUCT(B101:E101)</f>
        <v>19.071000000000002</v>
      </c>
      <c r="G101" s="101">
        <f>F101</f>
        <v>19.071000000000002</v>
      </c>
      <c r="H101" s="76" t="s">
        <v>100</v>
      </c>
      <c r="I101" s="78">
        <f>G101*1.1</f>
        <v>20.978100000000005</v>
      </c>
      <c r="J101" s="102"/>
      <c r="L101" s="79"/>
    </row>
    <row r="102" spans="1:12" ht="15">
      <c r="A102" s="86"/>
      <c r="B102" s="522"/>
      <c r="C102" s="77"/>
      <c r="D102" s="77"/>
      <c r="E102" s="76"/>
      <c r="F102" s="87"/>
      <c r="G102" s="101"/>
      <c r="H102" s="76"/>
      <c r="I102" s="78"/>
      <c r="J102" s="102"/>
      <c r="L102" s="79"/>
    </row>
    <row r="103" spans="1:12" ht="15">
      <c r="A103" s="97" t="s">
        <v>799</v>
      </c>
      <c r="B103" s="75"/>
      <c r="C103" s="77"/>
      <c r="D103" s="77"/>
      <c r="E103" s="76"/>
      <c r="F103" s="75"/>
      <c r="G103" s="76"/>
      <c r="H103" s="76"/>
      <c r="I103" s="78"/>
      <c r="J103" s="78"/>
      <c r="L103" s="79"/>
    </row>
    <row r="104" spans="1:12" ht="15">
      <c r="A104" s="86"/>
      <c r="B104" s="522"/>
      <c r="C104" s="77"/>
      <c r="D104" s="77"/>
      <c r="E104" s="76"/>
      <c r="F104" s="87"/>
      <c r="G104" s="101"/>
      <c r="H104" s="76"/>
      <c r="I104" s="78"/>
      <c r="J104" s="102"/>
      <c r="L104" s="79"/>
    </row>
    <row r="105" spans="1:12" ht="15">
      <c r="A105" s="521" t="s">
        <v>830</v>
      </c>
      <c r="B105" s="109"/>
      <c r="C105" s="77"/>
      <c r="D105" s="77"/>
      <c r="E105" s="76"/>
      <c r="F105" s="109"/>
      <c r="G105" s="128"/>
      <c r="H105" s="76"/>
      <c r="I105" s="78"/>
      <c r="J105" s="78"/>
      <c r="L105" s="79"/>
    </row>
    <row r="106" spans="1:12" ht="15">
      <c r="A106" s="134" t="s">
        <v>831</v>
      </c>
      <c r="B106" s="522">
        <v>3</v>
      </c>
      <c r="C106" s="77">
        <v>4.2450000000000001</v>
      </c>
      <c r="D106" s="77"/>
      <c r="E106" s="76"/>
      <c r="F106" s="87">
        <f>PRODUCT(B106:E106)</f>
        <v>12.734999999999999</v>
      </c>
      <c r="G106" s="101">
        <f>F106</f>
        <v>12.734999999999999</v>
      </c>
      <c r="H106" s="76" t="s">
        <v>100</v>
      </c>
      <c r="I106" s="78">
        <f>G106*1.1</f>
        <v>14.0085</v>
      </c>
      <c r="J106" s="102"/>
      <c r="L106" s="79"/>
    </row>
    <row r="107" spans="1:12" ht="15">
      <c r="A107" s="521" t="s">
        <v>832</v>
      </c>
      <c r="B107" s="109"/>
      <c r="C107" s="77"/>
      <c r="D107" s="77"/>
      <c r="E107" s="76"/>
      <c r="F107" s="109"/>
      <c r="G107" s="128"/>
      <c r="H107" s="76"/>
      <c r="I107" s="78"/>
      <c r="J107" s="78"/>
      <c r="L107" s="79"/>
    </row>
    <row r="108" spans="1:12" ht="15">
      <c r="A108" s="134" t="s">
        <v>833</v>
      </c>
      <c r="B108" s="522">
        <v>6</v>
      </c>
      <c r="C108" s="77">
        <v>5.8710000000000004</v>
      </c>
      <c r="D108" s="77"/>
      <c r="E108" s="76"/>
      <c r="F108" s="87">
        <f>PRODUCT(B108:E108)</f>
        <v>35.225999999999999</v>
      </c>
      <c r="G108" s="101">
        <f>F108</f>
        <v>35.225999999999999</v>
      </c>
      <c r="H108" s="76" t="s">
        <v>100</v>
      </c>
      <c r="I108" s="78">
        <f>G108*1.1</f>
        <v>38.748600000000003</v>
      </c>
      <c r="J108" s="102"/>
      <c r="L108" s="79"/>
    </row>
    <row r="109" spans="1:12" ht="15">
      <c r="A109" s="521" t="s">
        <v>834</v>
      </c>
      <c r="B109" s="109"/>
      <c r="C109" s="77"/>
      <c r="D109" s="77"/>
      <c r="E109" s="76"/>
      <c r="F109" s="109"/>
      <c r="G109" s="128"/>
      <c r="H109" s="76"/>
      <c r="I109" s="78"/>
      <c r="J109" s="78"/>
      <c r="L109" s="79"/>
    </row>
    <row r="110" spans="1:12" ht="15">
      <c r="A110" s="134" t="s">
        <v>835</v>
      </c>
      <c r="B110" s="522">
        <v>10.5</v>
      </c>
      <c r="C110" s="77">
        <v>6</v>
      </c>
      <c r="D110" s="77"/>
      <c r="E110" s="76"/>
      <c r="F110" s="87">
        <f>PRODUCT(B110:E110)</f>
        <v>63</v>
      </c>
      <c r="G110" s="101">
        <f>F110</f>
        <v>63</v>
      </c>
      <c r="H110" s="76" t="s">
        <v>100</v>
      </c>
      <c r="I110" s="78">
        <f>G110*1.1</f>
        <v>69.300000000000011</v>
      </c>
      <c r="J110" s="102"/>
      <c r="L110" s="79"/>
    </row>
    <row r="111" spans="1:12" ht="15">
      <c r="A111" s="523"/>
      <c r="B111" s="524"/>
      <c r="C111" s="77"/>
      <c r="D111" s="77"/>
      <c r="E111" s="76"/>
      <c r="F111" s="109"/>
      <c r="G111" s="525"/>
      <c r="H111" s="76"/>
      <c r="I111" s="78"/>
      <c r="J111" s="102"/>
      <c r="L111" s="79"/>
    </row>
    <row r="112" spans="1:12" ht="15">
      <c r="A112" s="97" t="s">
        <v>805</v>
      </c>
      <c r="B112" s="75"/>
      <c r="C112" s="77"/>
      <c r="D112" s="77"/>
      <c r="E112" s="76"/>
      <c r="F112" s="75"/>
      <c r="G112" s="76"/>
      <c r="H112" s="76"/>
      <c r="I112" s="78"/>
      <c r="J112" s="78"/>
      <c r="L112" s="79"/>
    </row>
    <row r="113" spans="1:12" ht="15">
      <c r="A113" s="86"/>
      <c r="B113" s="522"/>
      <c r="C113" s="77"/>
      <c r="D113" s="77"/>
      <c r="E113" s="76"/>
      <c r="F113" s="87"/>
      <c r="G113" s="101"/>
      <c r="H113" s="76"/>
      <c r="I113" s="78"/>
      <c r="J113" s="102"/>
      <c r="L113" s="79"/>
    </row>
    <row r="114" spans="1:12" ht="15">
      <c r="A114" s="521" t="s">
        <v>836</v>
      </c>
      <c r="B114" s="109"/>
      <c r="C114" s="77"/>
      <c r="D114" s="77"/>
      <c r="E114" s="76"/>
      <c r="F114" s="109"/>
      <c r="G114" s="128"/>
      <c r="H114" s="76"/>
      <c r="I114" s="78"/>
      <c r="J114" s="78"/>
      <c r="L114" s="79"/>
    </row>
    <row r="115" spans="1:12" ht="15">
      <c r="A115" s="134" t="s">
        <v>837</v>
      </c>
      <c r="B115" s="522">
        <v>9.1999999999999993</v>
      </c>
      <c r="C115" s="77">
        <v>1.625</v>
      </c>
      <c r="D115" s="77"/>
      <c r="E115" s="76"/>
      <c r="F115" s="87">
        <f>PRODUCT(B115:E115)</f>
        <v>14.95</v>
      </c>
      <c r="G115" s="101">
        <f>F115</f>
        <v>14.95</v>
      </c>
      <c r="H115" s="76" t="s">
        <v>100</v>
      </c>
      <c r="I115" s="78">
        <f>G115*1.1</f>
        <v>16.445</v>
      </c>
      <c r="J115" s="102"/>
      <c r="L115" s="79"/>
    </row>
    <row r="116" spans="1:12" ht="15">
      <c r="A116" s="521" t="s">
        <v>838</v>
      </c>
      <c r="B116" s="109"/>
      <c r="C116" s="77"/>
      <c r="D116" s="77"/>
      <c r="E116" s="76"/>
      <c r="F116" s="109"/>
      <c r="G116" s="128"/>
      <c r="H116" s="76"/>
      <c r="I116" s="78"/>
      <c r="J116" s="78"/>
      <c r="L116" s="79"/>
    </row>
    <row r="117" spans="1:12" ht="15">
      <c r="A117" s="134" t="s">
        <v>839</v>
      </c>
      <c r="B117" s="522">
        <v>7.8</v>
      </c>
      <c r="C117" s="77">
        <v>1.919</v>
      </c>
      <c r="D117" s="77"/>
      <c r="E117" s="76"/>
      <c r="F117" s="87">
        <f>PRODUCT(B117:E117)</f>
        <v>14.9682</v>
      </c>
      <c r="G117" s="101">
        <f>F117</f>
        <v>14.9682</v>
      </c>
      <c r="H117" s="76" t="s">
        <v>100</v>
      </c>
      <c r="I117" s="78">
        <f>G117*1.1</f>
        <v>16.465019999999999</v>
      </c>
      <c r="J117" s="102"/>
      <c r="L117" s="79"/>
    </row>
    <row r="118" spans="1:12" ht="15">
      <c r="A118" s="521" t="s">
        <v>840</v>
      </c>
      <c r="B118" s="109"/>
      <c r="C118" s="77"/>
      <c r="D118" s="77"/>
      <c r="E118" s="76"/>
      <c r="F118" s="109"/>
      <c r="G118" s="128"/>
      <c r="H118" s="76"/>
      <c r="I118" s="78"/>
      <c r="J118" s="78"/>
      <c r="L118" s="79"/>
    </row>
    <row r="119" spans="1:12" ht="15">
      <c r="A119" s="134" t="s">
        <v>841</v>
      </c>
      <c r="B119" s="522">
        <v>13.2</v>
      </c>
      <c r="C119" s="77">
        <v>3.895</v>
      </c>
      <c r="D119" s="77"/>
      <c r="E119" s="76"/>
      <c r="F119" s="87">
        <f>PRODUCT(B119:E119)</f>
        <v>51.413999999999994</v>
      </c>
      <c r="G119" s="101">
        <f>F119</f>
        <v>51.413999999999994</v>
      </c>
      <c r="H119" s="76" t="s">
        <v>100</v>
      </c>
      <c r="I119" s="78">
        <f>G119*1.1</f>
        <v>56.555399999999999</v>
      </c>
      <c r="J119" s="102"/>
      <c r="L119" s="79"/>
    </row>
    <row r="120" spans="1:12" ht="15">
      <c r="A120" s="86"/>
      <c r="B120" s="522"/>
      <c r="C120" s="77"/>
      <c r="D120" s="77"/>
      <c r="E120" s="76"/>
      <c r="F120" s="87"/>
      <c r="G120" s="101"/>
      <c r="H120" s="76"/>
      <c r="I120" s="78"/>
      <c r="J120" s="102"/>
      <c r="L120" s="79">
        <f>30.2-17</f>
        <v>13.2</v>
      </c>
    </row>
    <row r="121" spans="1:12" ht="15">
      <c r="A121" s="97" t="s">
        <v>811</v>
      </c>
      <c r="B121" s="75"/>
      <c r="C121" s="77"/>
      <c r="D121" s="77"/>
      <c r="E121" s="76"/>
      <c r="F121" s="75"/>
      <c r="G121" s="76"/>
      <c r="H121" s="76"/>
      <c r="I121" s="78"/>
      <c r="J121" s="78"/>
      <c r="L121" s="79"/>
    </row>
    <row r="122" spans="1:12" ht="15">
      <c r="A122" s="86"/>
      <c r="B122" s="522"/>
      <c r="C122" s="77"/>
      <c r="D122" s="77"/>
      <c r="E122" s="76"/>
      <c r="F122" s="87"/>
      <c r="G122" s="101"/>
      <c r="H122" s="76"/>
      <c r="I122" s="78"/>
      <c r="J122" s="102"/>
      <c r="L122" s="79"/>
    </row>
    <row r="123" spans="1:12" ht="15">
      <c r="A123" s="521" t="s">
        <v>842</v>
      </c>
      <c r="B123" s="109"/>
      <c r="C123" s="77"/>
      <c r="D123" s="77"/>
      <c r="E123" s="76"/>
      <c r="F123" s="109"/>
      <c r="G123" s="128"/>
      <c r="H123" s="76"/>
      <c r="I123" s="78"/>
      <c r="J123" s="78"/>
      <c r="L123" s="79"/>
    </row>
    <row r="124" spans="1:12" ht="15">
      <c r="A124" s="134" t="s">
        <v>843</v>
      </c>
      <c r="B124" s="522">
        <v>8.6</v>
      </c>
      <c r="C124" s="77">
        <v>3.53</v>
      </c>
      <c r="D124" s="77"/>
      <c r="E124" s="76"/>
      <c r="F124" s="87">
        <f>PRODUCT(B124:E124)</f>
        <v>30.357999999999997</v>
      </c>
      <c r="G124" s="101">
        <f>F124</f>
        <v>30.357999999999997</v>
      </c>
      <c r="H124" s="76" t="s">
        <v>100</v>
      </c>
      <c r="I124" s="78">
        <f>G124*1.1</f>
        <v>33.393799999999999</v>
      </c>
      <c r="J124" s="102"/>
      <c r="L124" s="79"/>
    </row>
    <row r="125" spans="1:12" ht="15">
      <c r="A125" s="521" t="s">
        <v>844</v>
      </c>
      <c r="B125" s="109"/>
      <c r="C125" s="77"/>
      <c r="D125" s="77"/>
      <c r="E125" s="76"/>
      <c r="F125" s="109"/>
      <c r="G125" s="128"/>
      <c r="H125" s="76"/>
      <c r="I125" s="78"/>
      <c r="J125" s="78"/>
      <c r="L125" s="79"/>
    </row>
    <row r="126" spans="1:12" ht="15">
      <c r="A126" s="134" t="s">
        <v>845</v>
      </c>
      <c r="B126" s="522">
        <v>11</v>
      </c>
      <c r="C126" s="77">
        <v>5.2270000000000003</v>
      </c>
      <c r="D126" s="77"/>
      <c r="E126" s="76"/>
      <c r="F126" s="87">
        <f>PRODUCT(B126:E126)</f>
        <v>57.497</v>
      </c>
      <c r="G126" s="101">
        <f>F126</f>
        <v>57.497</v>
      </c>
      <c r="H126" s="76" t="s">
        <v>100</v>
      </c>
      <c r="I126" s="78">
        <f>G126*1.1</f>
        <v>63.246700000000004</v>
      </c>
      <c r="J126" s="102"/>
      <c r="L126" s="79"/>
    </row>
    <row r="127" spans="1:12" ht="15">
      <c r="A127" s="521" t="s">
        <v>846</v>
      </c>
      <c r="B127" s="109"/>
      <c r="C127" s="77"/>
      <c r="D127" s="77"/>
      <c r="E127" s="76"/>
      <c r="F127" s="109"/>
      <c r="G127" s="128"/>
      <c r="H127" s="76"/>
      <c r="I127" s="78"/>
      <c r="J127" s="78"/>
      <c r="L127" s="79"/>
    </row>
    <row r="128" spans="1:12" ht="15">
      <c r="A128" s="134" t="s">
        <v>847</v>
      </c>
      <c r="B128" s="522">
        <v>9</v>
      </c>
      <c r="C128" s="77">
        <v>6.5629999999999997</v>
      </c>
      <c r="D128" s="77"/>
      <c r="E128" s="76"/>
      <c r="F128" s="87">
        <f>PRODUCT(B128:E128)</f>
        <v>59.067</v>
      </c>
      <c r="G128" s="101">
        <f>F128</f>
        <v>59.067</v>
      </c>
      <c r="H128" s="76" t="s">
        <v>100</v>
      </c>
      <c r="I128" s="78">
        <f>G128*1.1</f>
        <v>64.973700000000008</v>
      </c>
      <c r="J128" s="102"/>
      <c r="L128" s="79"/>
    </row>
    <row r="129" spans="1:13" ht="15">
      <c r="A129" s="521" t="s">
        <v>848</v>
      </c>
      <c r="B129" s="109"/>
      <c r="C129" s="77"/>
      <c r="D129" s="77"/>
      <c r="E129" s="76"/>
      <c r="F129" s="109"/>
      <c r="G129" s="128"/>
      <c r="H129" s="76"/>
      <c r="I129" s="78"/>
      <c r="J129" s="78"/>
      <c r="L129" s="79"/>
    </row>
    <row r="130" spans="1:13" ht="15">
      <c r="A130" s="134" t="s">
        <v>849</v>
      </c>
      <c r="B130" s="522">
        <v>12.25</v>
      </c>
      <c r="C130" s="77">
        <v>6.8140000000000001</v>
      </c>
      <c r="D130" s="77"/>
      <c r="E130" s="76"/>
      <c r="F130" s="87">
        <f>PRODUCT(B130:E130)</f>
        <v>83.471500000000006</v>
      </c>
      <c r="G130" s="101">
        <f>F130</f>
        <v>83.471500000000006</v>
      </c>
      <c r="H130" s="76" t="s">
        <v>100</v>
      </c>
      <c r="I130" s="78">
        <f>G130*1.1</f>
        <v>91.818650000000019</v>
      </c>
      <c r="J130" s="102"/>
      <c r="L130" s="79"/>
      <c r="M130" s="67">
        <f>32.75-20.5</f>
        <v>12.25</v>
      </c>
    </row>
    <row r="131" spans="1:13" ht="15">
      <c r="A131" s="521" t="s">
        <v>850</v>
      </c>
      <c r="B131" s="109"/>
      <c r="C131" s="77"/>
      <c r="D131" s="77"/>
      <c r="E131" s="76"/>
      <c r="F131" s="109"/>
      <c r="G131" s="128"/>
      <c r="H131" s="76"/>
      <c r="I131" s="78"/>
      <c r="J131" s="78"/>
      <c r="L131" s="79"/>
    </row>
    <row r="132" spans="1:13" ht="15">
      <c r="A132" s="134" t="s">
        <v>851</v>
      </c>
      <c r="B132" s="522">
        <v>20.5</v>
      </c>
      <c r="C132" s="77">
        <v>4.2430000000000003</v>
      </c>
      <c r="D132" s="77"/>
      <c r="E132" s="76"/>
      <c r="F132" s="87">
        <f>PRODUCT(B132:E132)</f>
        <v>86.981500000000011</v>
      </c>
      <c r="G132" s="101">
        <f>F132</f>
        <v>86.981500000000011</v>
      </c>
      <c r="H132" s="76" t="s">
        <v>100</v>
      </c>
      <c r="I132" s="78">
        <f>G132*1.1</f>
        <v>95.679650000000024</v>
      </c>
      <c r="J132" s="102">
        <f>+SUM(I97:I132)</f>
        <v>616.58872000000008</v>
      </c>
      <c r="L132" s="79"/>
    </row>
    <row r="133" spans="1:13" ht="15">
      <c r="A133" s="134"/>
      <c r="B133" s="522"/>
      <c r="C133" s="77"/>
      <c r="D133" s="77"/>
      <c r="E133" s="76"/>
      <c r="F133" s="87"/>
      <c r="G133" s="101"/>
      <c r="H133" s="76"/>
      <c r="I133" s="78"/>
      <c r="J133" s="102"/>
      <c r="L133" s="79"/>
    </row>
    <row r="134" spans="1:13" ht="15">
      <c r="A134" s="86" t="s">
        <v>852</v>
      </c>
      <c r="B134" s="522"/>
      <c r="C134" s="77"/>
      <c r="D134" s="77"/>
      <c r="E134" s="76"/>
      <c r="F134" s="87"/>
      <c r="G134" s="101"/>
      <c r="H134" s="76"/>
      <c r="I134" s="78"/>
      <c r="J134" s="102"/>
      <c r="L134" s="79"/>
    </row>
    <row r="135" spans="1:13" ht="15">
      <c r="A135" s="97" t="s">
        <v>795</v>
      </c>
      <c r="B135" s="75"/>
      <c r="C135" s="77"/>
      <c r="D135" s="77"/>
      <c r="E135" s="76"/>
      <c r="F135" s="75"/>
      <c r="G135" s="76"/>
      <c r="H135" s="76"/>
      <c r="I135" s="78"/>
      <c r="J135" s="78"/>
      <c r="L135" s="79"/>
    </row>
    <row r="136" spans="1:13" ht="15">
      <c r="A136" s="86" t="s">
        <v>794</v>
      </c>
      <c r="B136" s="522"/>
      <c r="C136" s="77"/>
      <c r="D136" s="77"/>
      <c r="E136" s="76"/>
      <c r="F136" s="87"/>
      <c r="G136" s="101"/>
      <c r="H136" s="76"/>
      <c r="I136" s="78"/>
      <c r="J136" s="102"/>
      <c r="L136" s="79" t="s">
        <v>823</v>
      </c>
    </row>
    <row r="137" spans="1:13" ht="15">
      <c r="A137" s="521" t="s">
        <v>824</v>
      </c>
      <c r="B137" s="109"/>
      <c r="C137" s="77"/>
      <c r="D137" s="77"/>
      <c r="E137" s="76"/>
      <c r="F137" s="109"/>
      <c r="G137" s="128"/>
      <c r="H137" s="76"/>
      <c r="I137" s="78"/>
      <c r="J137" s="78"/>
      <c r="L137" s="79"/>
    </row>
    <row r="138" spans="1:13" ht="15">
      <c r="A138" s="134" t="s">
        <v>825</v>
      </c>
      <c r="B138" s="522">
        <v>3.5</v>
      </c>
      <c r="C138" s="77">
        <v>1.4</v>
      </c>
      <c r="D138" s="77">
        <v>0.05</v>
      </c>
      <c r="E138" s="76"/>
      <c r="F138" s="87">
        <f>PRODUCT(B138:E138)</f>
        <v>0.245</v>
      </c>
      <c r="G138" s="101">
        <f>F138</f>
        <v>0.245</v>
      </c>
      <c r="H138" s="76" t="s">
        <v>100</v>
      </c>
      <c r="I138" s="78">
        <f>G138*1.1</f>
        <v>0.26950000000000002</v>
      </c>
      <c r="J138" s="102"/>
      <c r="L138" s="79"/>
    </row>
    <row r="139" spans="1:13" ht="15">
      <c r="A139" s="134" t="s">
        <v>826</v>
      </c>
      <c r="B139" s="522">
        <v>5</v>
      </c>
      <c r="C139" s="77">
        <v>1.6</v>
      </c>
      <c r="D139" s="77">
        <v>0.05</v>
      </c>
      <c r="E139" s="76"/>
      <c r="F139" s="87">
        <f>PRODUCT(B139:E139)</f>
        <v>0.4</v>
      </c>
      <c r="G139" s="101">
        <f>F139</f>
        <v>0.4</v>
      </c>
      <c r="H139" s="76" t="s">
        <v>100</v>
      </c>
      <c r="I139" s="78">
        <f>G139*1.1</f>
        <v>0.44000000000000006</v>
      </c>
      <c r="J139" s="102"/>
      <c r="L139" s="79"/>
    </row>
    <row r="140" spans="1:13" ht="15">
      <c r="A140" s="521" t="s">
        <v>827</v>
      </c>
      <c r="B140" s="109"/>
      <c r="C140" s="77"/>
      <c r="D140" s="77"/>
      <c r="E140" s="76"/>
      <c r="F140" s="109"/>
      <c r="G140" s="128"/>
      <c r="H140" s="76"/>
      <c r="I140" s="78"/>
      <c r="J140" s="78"/>
      <c r="L140" s="79"/>
    </row>
    <row r="141" spans="1:13" ht="15">
      <c r="A141" s="134" t="s">
        <v>828</v>
      </c>
      <c r="B141" s="522">
        <v>4</v>
      </c>
      <c r="C141" s="77">
        <v>1.6</v>
      </c>
      <c r="D141" s="77">
        <v>0.05</v>
      </c>
      <c r="E141" s="76"/>
      <c r="F141" s="87">
        <f>PRODUCT(B141:E141)</f>
        <v>0.32000000000000006</v>
      </c>
      <c r="G141" s="101">
        <f>F141</f>
        <v>0.32000000000000006</v>
      </c>
      <c r="H141" s="76" t="s">
        <v>100</v>
      </c>
      <c r="I141" s="78">
        <f>G141*1.1</f>
        <v>0.35200000000000009</v>
      </c>
      <c r="J141" s="102"/>
      <c r="L141" s="79"/>
    </row>
    <row r="142" spans="1:13" ht="15">
      <c r="A142" s="134" t="s">
        <v>829</v>
      </c>
      <c r="B142" s="522">
        <v>6.5</v>
      </c>
      <c r="C142" s="77">
        <v>1.6</v>
      </c>
      <c r="D142" s="77">
        <v>0.05</v>
      </c>
      <c r="E142" s="76"/>
      <c r="F142" s="87">
        <f>PRODUCT(B142:E142)</f>
        <v>0.52</v>
      </c>
      <c r="G142" s="101">
        <f>F142</f>
        <v>0.52</v>
      </c>
      <c r="H142" s="76" t="s">
        <v>100</v>
      </c>
      <c r="I142" s="78">
        <f>G142*1.1</f>
        <v>0.57200000000000006</v>
      </c>
      <c r="J142" s="102"/>
      <c r="L142" s="79"/>
    </row>
    <row r="143" spans="1:13" ht="15">
      <c r="A143" s="86"/>
      <c r="B143" s="522"/>
      <c r="C143" s="77"/>
      <c r="D143" s="77"/>
      <c r="E143" s="76"/>
      <c r="F143" s="87"/>
      <c r="G143" s="101"/>
      <c r="H143" s="76"/>
      <c r="I143" s="78"/>
      <c r="J143" s="102"/>
      <c r="L143" s="79"/>
    </row>
    <row r="144" spans="1:13" ht="15">
      <c r="A144" s="97" t="s">
        <v>799</v>
      </c>
      <c r="B144" s="75"/>
      <c r="C144" s="77"/>
      <c r="D144" s="77"/>
      <c r="E144" s="76"/>
      <c r="F144" s="75"/>
      <c r="G144" s="76"/>
      <c r="H144" s="76"/>
      <c r="I144" s="78"/>
      <c r="J144" s="78"/>
      <c r="L144" s="79"/>
    </row>
    <row r="145" spans="1:12" ht="15">
      <c r="A145" s="86"/>
      <c r="B145" s="522"/>
      <c r="C145" s="77"/>
      <c r="D145" s="77"/>
      <c r="E145" s="76"/>
      <c r="F145" s="87"/>
      <c r="G145" s="101"/>
      <c r="H145" s="76"/>
      <c r="I145" s="78"/>
      <c r="J145" s="102"/>
      <c r="L145" s="79"/>
    </row>
    <row r="146" spans="1:12" ht="15">
      <c r="A146" s="521" t="s">
        <v>830</v>
      </c>
      <c r="B146" s="109"/>
      <c r="C146" s="77"/>
      <c r="D146" s="77"/>
      <c r="E146" s="76"/>
      <c r="F146" s="109"/>
      <c r="G146" s="128"/>
      <c r="H146" s="76"/>
      <c r="I146" s="78"/>
      <c r="J146" s="78"/>
      <c r="L146" s="79"/>
    </row>
    <row r="147" spans="1:12" ht="15">
      <c r="A147" s="134" t="s">
        <v>831</v>
      </c>
      <c r="B147" s="522">
        <v>3</v>
      </c>
      <c r="C147" s="77">
        <v>2</v>
      </c>
      <c r="D147" s="77">
        <v>0.05</v>
      </c>
      <c r="E147" s="76"/>
      <c r="F147" s="87">
        <f>PRODUCT(B147:E147)</f>
        <v>0.30000000000000004</v>
      </c>
      <c r="G147" s="101">
        <f>F147</f>
        <v>0.30000000000000004</v>
      </c>
      <c r="H147" s="76" t="s">
        <v>100</v>
      </c>
      <c r="I147" s="78">
        <f>G147*1.1</f>
        <v>0.33000000000000007</v>
      </c>
      <c r="J147" s="102"/>
      <c r="L147" s="79"/>
    </row>
    <row r="148" spans="1:12" ht="15">
      <c r="A148" s="521" t="s">
        <v>832</v>
      </c>
      <c r="B148" s="109"/>
      <c r="C148" s="77"/>
      <c r="D148" s="77"/>
      <c r="E148" s="76"/>
      <c r="F148" s="109"/>
      <c r="G148" s="128"/>
      <c r="H148" s="76"/>
      <c r="I148" s="78"/>
      <c r="J148" s="78"/>
      <c r="L148" s="79"/>
    </row>
    <row r="149" spans="1:12" ht="15">
      <c r="A149" s="134" t="s">
        <v>833</v>
      </c>
      <c r="B149" s="522">
        <v>6</v>
      </c>
      <c r="C149" s="77">
        <v>2</v>
      </c>
      <c r="D149" s="77">
        <v>0.05</v>
      </c>
      <c r="E149" s="76"/>
      <c r="F149" s="87">
        <f>PRODUCT(B149:E149)</f>
        <v>0.60000000000000009</v>
      </c>
      <c r="G149" s="101">
        <f>F149</f>
        <v>0.60000000000000009</v>
      </c>
      <c r="H149" s="76" t="s">
        <v>100</v>
      </c>
      <c r="I149" s="78">
        <f>G149*1.1</f>
        <v>0.66000000000000014</v>
      </c>
      <c r="J149" s="102"/>
      <c r="L149" s="79"/>
    </row>
    <row r="150" spans="1:12" ht="15">
      <c r="A150" s="521" t="s">
        <v>834</v>
      </c>
      <c r="B150" s="109"/>
      <c r="C150" s="77"/>
      <c r="D150" s="77"/>
      <c r="E150" s="76"/>
      <c r="F150" s="109"/>
      <c r="G150" s="128"/>
      <c r="H150" s="76"/>
      <c r="I150" s="78"/>
      <c r="J150" s="78"/>
      <c r="L150" s="79"/>
    </row>
    <row r="151" spans="1:12" ht="15">
      <c r="A151" s="134" t="s">
        <v>835</v>
      </c>
      <c r="B151" s="522">
        <v>10.5</v>
      </c>
      <c r="C151" s="77">
        <v>1.8</v>
      </c>
      <c r="D151" s="77">
        <v>0.05</v>
      </c>
      <c r="E151" s="76"/>
      <c r="F151" s="87">
        <f>PRODUCT(B151:E151)</f>
        <v>0.94500000000000017</v>
      </c>
      <c r="G151" s="101">
        <f>F151</f>
        <v>0.94500000000000017</v>
      </c>
      <c r="H151" s="76" t="s">
        <v>100</v>
      </c>
      <c r="I151" s="78">
        <f>G151*1.1</f>
        <v>1.0395000000000003</v>
      </c>
      <c r="J151" s="102"/>
      <c r="L151" s="79"/>
    </row>
    <row r="152" spans="1:12" ht="15">
      <c r="A152" s="523"/>
      <c r="B152" s="524"/>
      <c r="C152" s="77"/>
      <c r="D152" s="77"/>
      <c r="E152" s="76"/>
      <c r="F152" s="109"/>
      <c r="G152" s="525"/>
      <c r="H152" s="76"/>
      <c r="I152" s="78"/>
      <c r="J152" s="102"/>
      <c r="L152" s="79"/>
    </row>
    <row r="153" spans="1:12" ht="15">
      <c r="A153" s="97" t="s">
        <v>805</v>
      </c>
      <c r="B153" s="75"/>
      <c r="C153" s="77"/>
      <c r="D153" s="77"/>
      <c r="E153" s="76"/>
      <c r="F153" s="75"/>
      <c r="G153" s="76"/>
      <c r="H153" s="76"/>
      <c r="I153" s="78"/>
      <c r="J153" s="78"/>
      <c r="L153" s="79"/>
    </row>
    <row r="154" spans="1:12" ht="15">
      <c r="A154" s="86"/>
      <c r="B154" s="522"/>
      <c r="C154" s="77"/>
      <c r="D154" s="77"/>
      <c r="E154" s="76"/>
      <c r="F154" s="87"/>
      <c r="G154" s="101"/>
      <c r="H154" s="76"/>
      <c r="I154" s="78"/>
      <c r="J154" s="102"/>
      <c r="L154" s="79"/>
    </row>
    <row r="155" spans="1:12" ht="15">
      <c r="A155" s="521" t="s">
        <v>836</v>
      </c>
      <c r="B155" s="109"/>
      <c r="C155" s="77"/>
      <c r="D155" s="77"/>
      <c r="E155" s="76"/>
      <c r="F155" s="109"/>
      <c r="G155" s="128"/>
      <c r="H155" s="76"/>
      <c r="I155" s="78"/>
      <c r="J155" s="78"/>
      <c r="L155" s="79"/>
    </row>
    <row r="156" spans="1:12" ht="15">
      <c r="A156" s="134" t="s">
        <v>837</v>
      </c>
      <c r="B156" s="522">
        <v>9.1999999999999993</v>
      </c>
      <c r="C156" s="77">
        <v>1.4</v>
      </c>
      <c r="D156" s="77">
        <v>0.05</v>
      </c>
      <c r="E156" s="76"/>
      <c r="F156" s="87">
        <f>PRODUCT(B156:E156)</f>
        <v>0.64400000000000002</v>
      </c>
      <c r="G156" s="101">
        <f>F156</f>
        <v>0.64400000000000002</v>
      </c>
      <c r="H156" s="76" t="s">
        <v>100</v>
      </c>
      <c r="I156" s="78">
        <f>G156*1.1</f>
        <v>0.70840000000000003</v>
      </c>
      <c r="J156" s="102"/>
      <c r="L156" s="79"/>
    </row>
    <row r="157" spans="1:12" ht="15">
      <c r="A157" s="521" t="s">
        <v>838</v>
      </c>
      <c r="B157" s="109"/>
      <c r="C157" s="77"/>
      <c r="D157" s="77"/>
      <c r="E157" s="76"/>
      <c r="F157" s="109"/>
      <c r="G157" s="128"/>
      <c r="H157" s="76"/>
      <c r="I157" s="78"/>
      <c r="J157" s="78"/>
      <c r="L157" s="79"/>
    </row>
    <row r="158" spans="1:12" ht="15">
      <c r="A158" s="134" t="s">
        <v>839</v>
      </c>
      <c r="B158" s="522">
        <v>7.8</v>
      </c>
      <c r="C158" s="77">
        <v>1.4</v>
      </c>
      <c r="D158" s="77">
        <v>0.05</v>
      </c>
      <c r="E158" s="76"/>
      <c r="F158" s="87">
        <f>PRODUCT(B158:E158)</f>
        <v>0.54600000000000004</v>
      </c>
      <c r="G158" s="101">
        <f>F158</f>
        <v>0.54600000000000004</v>
      </c>
      <c r="H158" s="76" t="s">
        <v>100</v>
      </c>
      <c r="I158" s="78">
        <f>G158*1.1</f>
        <v>0.60060000000000013</v>
      </c>
      <c r="J158" s="102"/>
      <c r="L158" s="79"/>
    </row>
    <row r="159" spans="1:12" ht="15">
      <c r="A159" s="521" t="s">
        <v>840</v>
      </c>
      <c r="B159" s="109"/>
      <c r="C159" s="77"/>
      <c r="D159" s="77"/>
      <c r="E159" s="76"/>
      <c r="F159" s="109"/>
      <c r="G159" s="128"/>
      <c r="H159" s="76"/>
      <c r="I159" s="78"/>
      <c r="J159" s="78"/>
      <c r="L159" s="79"/>
    </row>
    <row r="160" spans="1:12" ht="15">
      <c r="A160" s="134" t="s">
        <v>841</v>
      </c>
      <c r="B160" s="522">
        <v>13.2</v>
      </c>
      <c r="C160" s="77">
        <v>1.6</v>
      </c>
      <c r="D160" s="77">
        <v>0.05</v>
      </c>
      <c r="E160" s="76"/>
      <c r="F160" s="87">
        <f>PRODUCT(B160:E160)</f>
        <v>1.056</v>
      </c>
      <c r="G160" s="101">
        <f>F160</f>
        <v>1.056</v>
      </c>
      <c r="H160" s="76" t="s">
        <v>100</v>
      </c>
      <c r="I160" s="78">
        <f>G160*1.1</f>
        <v>1.1616000000000002</v>
      </c>
      <c r="J160" s="102"/>
      <c r="L160" s="79"/>
    </row>
    <row r="161" spans="1:13" ht="15">
      <c r="A161" s="86"/>
      <c r="B161" s="522"/>
      <c r="C161" s="77"/>
      <c r="D161" s="77"/>
      <c r="E161" s="76"/>
      <c r="F161" s="87"/>
      <c r="G161" s="101"/>
      <c r="H161" s="76"/>
      <c r="I161" s="78"/>
      <c r="J161" s="102"/>
      <c r="L161" s="79">
        <f>30.2-17</f>
        <v>13.2</v>
      </c>
    </row>
    <row r="162" spans="1:13" ht="15">
      <c r="A162" s="97" t="s">
        <v>811</v>
      </c>
      <c r="B162" s="75"/>
      <c r="C162" s="77"/>
      <c r="D162" s="77"/>
      <c r="E162" s="76"/>
      <c r="F162" s="75"/>
      <c r="G162" s="76"/>
      <c r="H162" s="76"/>
      <c r="I162" s="78"/>
      <c r="J162" s="78"/>
      <c r="L162" s="79"/>
    </row>
    <row r="163" spans="1:13" ht="15">
      <c r="A163" s="86"/>
      <c r="B163" s="522"/>
      <c r="C163" s="77"/>
      <c r="D163" s="77"/>
      <c r="E163" s="76"/>
      <c r="F163" s="87"/>
      <c r="G163" s="101"/>
      <c r="H163" s="76"/>
      <c r="I163" s="78"/>
      <c r="J163" s="102"/>
      <c r="L163" s="79"/>
    </row>
    <row r="164" spans="1:13" ht="15">
      <c r="A164" s="521" t="s">
        <v>842</v>
      </c>
      <c r="B164" s="109"/>
      <c r="C164" s="77"/>
      <c r="D164" s="77"/>
      <c r="E164" s="76"/>
      <c r="F164" s="109"/>
      <c r="G164" s="128"/>
      <c r="H164" s="76"/>
      <c r="I164" s="78"/>
      <c r="J164" s="78"/>
      <c r="L164" s="79"/>
    </row>
    <row r="165" spans="1:13" ht="15">
      <c r="A165" s="134" t="s">
        <v>843</v>
      </c>
      <c r="B165" s="522">
        <v>8.6</v>
      </c>
      <c r="C165" s="77">
        <v>1.6</v>
      </c>
      <c r="D165" s="77">
        <v>0.05</v>
      </c>
      <c r="E165" s="76"/>
      <c r="F165" s="87">
        <f>PRODUCT(B165:E165)</f>
        <v>0.68800000000000006</v>
      </c>
      <c r="G165" s="101">
        <f>F165</f>
        <v>0.68800000000000006</v>
      </c>
      <c r="H165" s="76" t="s">
        <v>100</v>
      </c>
      <c r="I165" s="78">
        <f>G165*1.1</f>
        <v>0.75680000000000014</v>
      </c>
      <c r="J165" s="102"/>
      <c r="L165" s="79"/>
    </row>
    <row r="166" spans="1:13" ht="15">
      <c r="A166" s="521" t="s">
        <v>844</v>
      </c>
      <c r="B166" s="109"/>
      <c r="C166" s="77"/>
      <c r="D166" s="77"/>
      <c r="E166" s="76"/>
      <c r="F166" s="109"/>
      <c r="G166" s="128"/>
      <c r="H166" s="76"/>
      <c r="I166" s="78"/>
      <c r="J166" s="78"/>
      <c r="L166" s="79"/>
    </row>
    <row r="167" spans="1:13" ht="15">
      <c r="A167" s="134" t="s">
        <v>845</v>
      </c>
      <c r="B167" s="522">
        <v>11</v>
      </c>
      <c r="C167" s="77">
        <v>1.8</v>
      </c>
      <c r="D167" s="77">
        <v>0.05</v>
      </c>
      <c r="E167" s="76"/>
      <c r="F167" s="87">
        <f>PRODUCT(B167:E167)</f>
        <v>0.9900000000000001</v>
      </c>
      <c r="G167" s="101">
        <f>F167</f>
        <v>0.9900000000000001</v>
      </c>
      <c r="H167" s="76" t="s">
        <v>100</v>
      </c>
      <c r="I167" s="78">
        <f>G167*1.1</f>
        <v>1.0890000000000002</v>
      </c>
      <c r="J167" s="102"/>
      <c r="L167" s="79"/>
    </row>
    <row r="168" spans="1:13" ht="15">
      <c r="A168" s="521" t="s">
        <v>846</v>
      </c>
      <c r="B168" s="109"/>
      <c r="C168" s="77"/>
      <c r="D168" s="77"/>
      <c r="E168" s="76"/>
      <c r="F168" s="109"/>
      <c r="G168" s="128"/>
      <c r="H168" s="76"/>
      <c r="I168" s="78"/>
      <c r="J168" s="78"/>
      <c r="L168" s="79"/>
    </row>
    <row r="169" spans="1:13" ht="15">
      <c r="A169" s="134" t="s">
        <v>847</v>
      </c>
      <c r="B169" s="522">
        <v>9</v>
      </c>
      <c r="C169" s="77">
        <v>2</v>
      </c>
      <c r="D169" s="77">
        <v>0.05</v>
      </c>
      <c r="E169" s="76"/>
      <c r="F169" s="87">
        <f>PRODUCT(B169:E169)</f>
        <v>0.9</v>
      </c>
      <c r="G169" s="101">
        <f>F169</f>
        <v>0.9</v>
      </c>
      <c r="H169" s="76" t="s">
        <v>100</v>
      </c>
      <c r="I169" s="78">
        <f>G169*1.1</f>
        <v>0.9900000000000001</v>
      </c>
      <c r="J169" s="102"/>
      <c r="L169" s="79"/>
    </row>
    <row r="170" spans="1:13" ht="15">
      <c r="A170" s="521" t="s">
        <v>848</v>
      </c>
      <c r="B170" s="109"/>
      <c r="C170" s="77"/>
      <c r="D170" s="77"/>
      <c r="E170" s="76"/>
      <c r="F170" s="109"/>
      <c r="G170" s="128"/>
      <c r="H170" s="76"/>
      <c r="I170" s="78"/>
      <c r="J170" s="78"/>
      <c r="L170" s="79"/>
    </row>
    <row r="171" spans="1:13" ht="15">
      <c r="A171" s="134" t="s">
        <v>849</v>
      </c>
      <c r="B171" s="522">
        <v>12.25</v>
      </c>
      <c r="C171" s="77">
        <v>2</v>
      </c>
      <c r="D171" s="77">
        <v>0.05</v>
      </c>
      <c r="E171" s="76"/>
      <c r="F171" s="87">
        <f>PRODUCT(B171:E171)</f>
        <v>1.2250000000000001</v>
      </c>
      <c r="G171" s="101">
        <f>F171</f>
        <v>1.2250000000000001</v>
      </c>
      <c r="H171" s="76" t="s">
        <v>100</v>
      </c>
      <c r="I171" s="78">
        <f>G171*1.1</f>
        <v>1.3475000000000001</v>
      </c>
      <c r="J171" s="102"/>
      <c r="L171" s="79"/>
      <c r="M171" s="67">
        <f>32.75-20.5</f>
        <v>12.25</v>
      </c>
    </row>
    <row r="172" spans="1:13" ht="15">
      <c r="A172" s="521" t="s">
        <v>850</v>
      </c>
      <c r="B172" s="109"/>
      <c r="C172" s="77"/>
      <c r="D172" s="77"/>
      <c r="E172" s="76"/>
      <c r="F172" s="109"/>
      <c r="G172" s="128"/>
      <c r="H172" s="76"/>
      <c r="I172" s="78"/>
      <c r="J172" s="78"/>
      <c r="L172" s="79"/>
    </row>
    <row r="173" spans="1:13" ht="15">
      <c r="A173" s="134" t="s">
        <v>851</v>
      </c>
      <c r="B173" s="522">
        <v>20.5</v>
      </c>
      <c r="C173" s="77">
        <f>+(2+1.6)/2</f>
        <v>1.8</v>
      </c>
      <c r="D173" s="77">
        <v>0.05</v>
      </c>
      <c r="E173" s="76"/>
      <c r="F173" s="87">
        <f>PRODUCT(B173:E173)</f>
        <v>1.845</v>
      </c>
      <c r="G173" s="101">
        <f>F173</f>
        <v>1.845</v>
      </c>
      <c r="H173" s="76" t="s">
        <v>100</v>
      </c>
      <c r="I173" s="78">
        <f>G173*1.1</f>
        <v>2.0295000000000001</v>
      </c>
      <c r="J173" s="102">
        <f>+SUM(I138:I173)</f>
        <v>12.346400000000001</v>
      </c>
      <c r="L173" s="79"/>
    </row>
    <row r="174" spans="1:13" ht="15">
      <c r="A174" s="134"/>
      <c r="B174" s="522"/>
      <c r="C174" s="77"/>
      <c r="D174" s="77"/>
      <c r="E174" s="76"/>
      <c r="F174" s="87"/>
      <c r="G174" s="101"/>
      <c r="H174" s="76"/>
      <c r="I174" s="78"/>
      <c r="J174" s="102"/>
      <c r="L174" s="79"/>
    </row>
    <row r="175" spans="1:13" ht="15">
      <c r="A175" s="86" t="s">
        <v>853</v>
      </c>
      <c r="B175" s="522"/>
      <c r="C175" s="77"/>
      <c r="D175" s="77"/>
      <c r="E175" s="76"/>
      <c r="F175" s="87"/>
      <c r="G175" s="101"/>
      <c r="H175" s="76"/>
      <c r="I175" s="78"/>
      <c r="J175" s="102"/>
      <c r="L175" s="79"/>
    </row>
    <row r="176" spans="1:13" ht="15">
      <c r="A176" s="97" t="s">
        <v>795</v>
      </c>
      <c r="B176" s="75"/>
      <c r="C176" s="77"/>
      <c r="D176" s="77"/>
      <c r="E176" s="76"/>
      <c r="F176" s="75"/>
      <c r="G176" s="76"/>
      <c r="H176" s="76"/>
      <c r="I176" s="78"/>
      <c r="J176" s="78"/>
      <c r="L176" s="79"/>
    </row>
    <row r="177" spans="1:12" ht="15">
      <c r="A177" s="86"/>
      <c r="B177" s="522"/>
      <c r="C177" s="77"/>
      <c r="D177" s="77"/>
      <c r="E177" s="76"/>
      <c r="F177" s="87"/>
      <c r="G177" s="101"/>
      <c r="H177" s="76"/>
      <c r="I177" s="78"/>
      <c r="J177" s="102"/>
      <c r="L177" s="79" t="s">
        <v>823</v>
      </c>
    </row>
    <row r="178" spans="1:12" ht="15">
      <c r="A178" s="521" t="s">
        <v>824</v>
      </c>
      <c r="B178" s="109"/>
      <c r="C178" s="77"/>
      <c r="D178" s="77"/>
      <c r="E178" s="76"/>
      <c r="F178" s="109"/>
      <c r="G178" s="128"/>
      <c r="H178" s="76"/>
      <c r="I178" s="78"/>
      <c r="J178" s="78"/>
      <c r="L178" s="79"/>
    </row>
    <row r="179" spans="1:12" ht="15">
      <c r="A179" s="134" t="s">
        <v>825</v>
      </c>
      <c r="B179" s="522">
        <v>3.5</v>
      </c>
      <c r="C179" s="77">
        <v>1.4</v>
      </c>
      <c r="D179" s="77">
        <v>0.2</v>
      </c>
      <c r="E179" s="76"/>
      <c r="F179" s="87">
        <f>PRODUCT(B179:E179)</f>
        <v>0.98</v>
      </c>
      <c r="G179" s="101">
        <f>F179</f>
        <v>0.98</v>
      </c>
      <c r="H179" s="76" t="s">
        <v>100</v>
      </c>
      <c r="I179" s="78">
        <f>G179*1.1</f>
        <v>1.0780000000000001</v>
      </c>
      <c r="J179" s="102"/>
      <c r="L179" s="79"/>
    </row>
    <row r="180" spans="1:12" ht="15">
      <c r="A180" s="134" t="s">
        <v>826</v>
      </c>
      <c r="B180" s="522">
        <v>5</v>
      </c>
      <c r="C180" s="77">
        <v>1.6</v>
      </c>
      <c r="D180" s="77">
        <v>0.2</v>
      </c>
      <c r="E180" s="76"/>
      <c r="F180" s="87">
        <f>PRODUCT(B180:E180)</f>
        <v>1.6</v>
      </c>
      <c r="G180" s="101">
        <f>F180</f>
        <v>1.6</v>
      </c>
      <c r="H180" s="76" t="s">
        <v>100</v>
      </c>
      <c r="I180" s="78">
        <f>G180*1.1</f>
        <v>1.7600000000000002</v>
      </c>
      <c r="J180" s="102"/>
      <c r="L180" s="79"/>
    </row>
    <row r="181" spans="1:12" ht="15">
      <c r="A181" s="521" t="s">
        <v>827</v>
      </c>
      <c r="B181" s="109"/>
      <c r="C181" s="77"/>
      <c r="D181" s="77"/>
      <c r="E181" s="76"/>
      <c r="F181" s="109"/>
      <c r="G181" s="128"/>
      <c r="H181" s="76"/>
      <c r="I181" s="78"/>
      <c r="J181" s="78"/>
      <c r="L181" s="79"/>
    </row>
    <row r="182" spans="1:12" ht="15">
      <c r="A182" s="134" t="s">
        <v>828</v>
      </c>
      <c r="B182" s="522">
        <v>4</v>
      </c>
      <c r="C182" s="77">
        <v>1.6</v>
      </c>
      <c r="D182" s="77">
        <v>0.2</v>
      </c>
      <c r="E182" s="76"/>
      <c r="F182" s="87">
        <f>PRODUCT(B182:E182)</f>
        <v>1.2800000000000002</v>
      </c>
      <c r="G182" s="101">
        <f>F182</f>
        <v>1.2800000000000002</v>
      </c>
      <c r="H182" s="76" t="s">
        <v>100</v>
      </c>
      <c r="I182" s="78">
        <f>G182*1.1</f>
        <v>1.4080000000000004</v>
      </c>
      <c r="J182" s="102"/>
      <c r="L182" s="79"/>
    </row>
    <row r="183" spans="1:12" ht="15">
      <c r="A183" s="134" t="s">
        <v>829</v>
      </c>
      <c r="B183" s="522">
        <v>6.5</v>
      </c>
      <c r="C183" s="77">
        <v>1.6</v>
      </c>
      <c r="D183" s="77">
        <v>0.2</v>
      </c>
      <c r="E183" s="76"/>
      <c r="F183" s="87">
        <f>PRODUCT(B183:E183)</f>
        <v>2.08</v>
      </c>
      <c r="G183" s="101">
        <f>F183</f>
        <v>2.08</v>
      </c>
      <c r="H183" s="76" t="s">
        <v>100</v>
      </c>
      <c r="I183" s="78">
        <f>G183*1.1</f>
        <v>2.2880000000000003</v>
      </c>
      <c r="J183" s="102"/>
      <c r="L183" s="79"/>
    </row>
    <row r="184" spans="1:12" ht="15">
      <c r="A184" s="86"/>
      <c r="B184" s="522"/>
      <c r="C184" s="77"/>
      <c r="D184" s="77"/>
      <c r="E184" s="76"/>
      <c r="F184" s="87"/>
      <c r="G184" s="101"/>
      <c r="H184" s="76"/>
      <c r="I184" s="78"/>
      <c r="J184" s="102"/>
      <c r="L184" s="79"/>
    </row>
    <row r="185" spans="1:12" ht="15">
      <c r="A185" s="97" t="s">
        <v>799</v>
      </c>
      <c r="B185" s="75"/>
      <c r="C185" s="77"/>
      <c r="D185" s="77"/>
      <c r="E185" s="76"/>
      <c r="F185" s="75"/>
      <c r="G185" s="76"/>
      <c r="H185" s="76"/>
      <c r="I185" s="78"/>
      <c r="J185" s="78"/>
      <c r="L185" s="79"/>
    </row>
    <row r="186" spans="1:12" ht="15">
      <c r="A186" s="86"/>
      <c r="B186" s="522"/>
      <c r="C186" s="77"/>
      <c r="D186" s="77"/>
      <c r="E186" s="76"/>
      <c r="F186" s="87"/>
      <c r="G186" s="101"/>
      <c r="H186" s="76"/>
      <c r="I186" s="78"/>
      <c r="J186" s="102"/>
      <c r="L186" s="79"/>
    </row>
    <row r="187" spans="1:12" ht="15">
      <c r="A187" s="521" t="s">
        <v>830</v>
      </c>
      <c r="B187" s="109"/>
      <c r="C187" s="77"/>
      <c r="D187" s="77"/>
      <c r="E187" s="76"/>
      <c r="F187" s="109"/>
      <c r="G187" s="128"/>
      <c r="H187" s="76"/>
      <c r="I187" s="78"/>
      <c r="J187" s="78"/>
      <c r="L187" s="79"/>
    </row>
    <row r="188" spans="1:12" ht="15">
      <c r="A188" s="134" t="s">
        <v>831</v>
      </c>
      <c r="B188" s="522">
        <v>3</v>
      </c>
      <c r="C188" s="77">
        <v>2</v>
      </c>
      <c r="D188" s="77">
        <v>0.2</v>
      </c>
      <c r="E188" s="76"/>
      <c r="F188" s="87">
        <f>PRODUCT(B188:E188)</f>
        <v>1.2000000000000002</v>
      </c>
      <c r="G188" s="101">
        <f>F188</f>
        <v>1.2000000000000002</v>
      </c>
      <c r="H188" s="76" t="s">
        <v>100</v>
      </c>
      <c r="I188" s="78">
        <f>G188*1.1</f>
        <v>1.3200000000000003</v>
      </c>
      <c r="J188" s="102"/>
      <c r="L188" s="79"/>
    </row>
    <row r="189" spans="1:12" ht="15">
      <c r="A189" s="521" t="s">
        <v>832</v>
      </c>
      <c r="B189" s="109"/>
      <c r="C189" s="77"/>
      <c r="D189" s="77"/>
      <c r="E189" s="76"/>
      <c r="F189" s="109"/>
      <c r="G189" s="128"/>
      <c r="H189" s="76"/>
      <c r="I189" s="78"/>
      <c r="J189" s="78"/>
      <c r="L189" s="79"/>
    </row>
    <row r="190" spans="1:12" ht="15">
      <c r="A190" s="134" t="s">
        <v>833</v>
      </c>
      <c r="B190" s="522">
        <v>6</v>
      </c>
      <c r="C190" s="77">
        <v>2</v>
      </c>
      <c r="D190" s="77">
        <v>0.2</v>
      </c>
      <c r="E190" s="76"/>
      <c r="F190" s="87">
        <f>PRODUCT(B190:E190)</f>
        <v>2.4000000000000004</v>
      </c>
      <c r="G190" s="101">
        <f>F190</f>
        <v>2.4000000000000004</v>
      </c>
      <c r="H190" s="76" t="s">
        <v>100</v>
      </c>
      <c r="I190" s="78">
        <f>G190*1.1</f>
        <v>2.6400000000000006</v>
      </c>
      <c r="J190" s="102"/>
      <c r="L190" s="79"/>
    </row>
    <row r="191" spans="1:12" ht="15">
      <c r="A191" s="521" t="s">
        <v>834</v>
      </c>
      <c r="B191" s="109"/>
      <c r="C191" s="77"/>
      <c r="D191" s="77"/>
      <c r="E191" s="76"/>
      <c r="F191" s="109"/>
      <c r="G191" s="128"/>
      <c r="H191" s="76"/>
      <c r="I191" s="78"/>
      <c r="J191" s="78"/>
      <c r="L191" s="79"/>
    </row>
    <row r="192" spans="1:12" ht="15">
      <c r="A192" s="134" t="s">
        <v>835</v>
      </c>
      <c r="B192" s="522">
        <v>10.5</v>
      </c>
      <c r="C192" s="77">
        <v>1.8</v>
      </c>
      <c r="D192" s="77">
        <v>0.2</v>
      </c>
      <c r="E192" s="76"/>
      <c r="F192" s="87">
        <f>PRODUCT(B192:E192)</f>
        <v>3.7800000000000007</v>
      </c>
      <c r="G192" s="101">
        <f>F192</f>
        <v>3.7800000000000007</v>
      </c>
      <c r="H192" s="76" t="s">
        <v>100</v>
      </c>
      <c r="I192" s="78">
        <f>G192*1.1</f>
        <v>4.1580000000000013</v>
      </c>
      <c r="J192" s="102"/>
      <c r="L192" s="79"/>
    </row>
    <row r="193" spans="1:12" ht="15">
      <c r="A193" s="523"/>
      <c r="B193" s="524"/>
      <c r="C193" s="77"/>
      <c r="D193" s="77"/>
      <c r="E193" s="76"/>
      <c r="F193" s="109"/>
      <c r="G193" s="525"/>
      <c r="H193" s="76"/>
      <c r="I193" s="78"/>
      <c r="J193" s="102"/>
      <c r="L193" s="79"/>
    </row>
    <row r="194" spans="1:12" ht="15">
      <c r="A194" s="97" t="s">
        <v>805</v>
      </c>
      <c r="B194" s="75"/>
      <c r="C194" s="77"/>
      <c r="D194" s="77"/>
      <c r="E194" s="76"/>
      <c r="F194" s="75"/>
      <c r="G194" s="76"/>
      <c r="H194" s="76"/>
      <c r="I194" s="78"/>
      <c r="J194" s="78"/>
      <c r="L194" s="79"/>
    </row>
    <row r="195" spans="1:12" ht="15">
      <c r="A195" s="86"/>
      <c r="B195" s="522"/>
      <c r="C195" s="77"/>
      <c r="D195" s="77"/>
      <c r="E195" s="76"/>
      <c r="F195" s="87"/>
      <c r="G195" s="101"/>
      <c r="H195" s="76"/>
      <c r="I195" s="78"/>
      <c r="J195" s="102"/>
      <c r="L195" s="79"/>
    </row>
    <row r="196" spans="1:12" ht="15">
      <c r="A196" s="521" t="s">
        <v>836</v>
      </c>
      <c r="B196" s="109"/>
      <c r="C196" s="77"/>
      <c r="D196" s="77"/>
      <c r="E196" s="76"/>
      <c r="F196" s="109"/>
      <c r="G196" s="128"/>
      <c r="H196" s="76"/>
      <c r="I196" s="78"/>
      <c r="J196" s="78"/>
      <c r="L196" s="79"/>
    </row>
    <row r="197" spans="1:12" ht="15">
      <c r="A197" s="134" t="s">
        <v>837</v>
      </c>
      <c r="B197" s="522">
        <v>9.1999999999999993</v>
      </c>
      <c r="C197" s="77">
        <v>1.4</v>
      </c>
      <c r="D197" s="77">
        <v>0.2</v>
      </c>
      <c r="E197" s="76"/>
      <c r="F197" s="87">
        <f>PRODUCT(B197:E197)</f>
        <v>2.5760000000000001</v>
      </c>
      <c r="G197" s="101">
        <f>F197</f>
        <v>2.5760000000000001</v>
      </c>
      <c r="H197" s="76" t="s">
        <v>100</v>
      </c>
      <c r="I197" s="78">
        <f>G197*1.1</f>
        <v>2.8336000000000001</v>
      </c>
      <c r="J197" s="102"/>
      <c r="L197" s="79"/>
    </row>
    <row r="198" spans="1:12" ht="15">
      <c r="A198" s="521" t="s">
        <v>838</v>
      </c>
      <c r="B198" s="109"/>
      <c r="C198" s="77"/>
      <c r="D198" s="77"/>
      <c r="E198" s="76"/>
      <c r="F198" s="109"/>
      <c r="G198" s="128"/>
      <c r="H198" s="76"/>
      <c r="I198" s="78"/>
      <c r="J198" s="78"/>
      <c r="L198" s="79"/>
    </row>
    <row r="199" spans="1:12" ht="15">
      <c r="A199" s="134" t="s">
        <v>839</v>
      </c>
      <c r="B199" s="522">
        <v>7.8</v>
      </c>
      <c r="C199" s="77">
        <v>1.4</v>
      </c>
      <c r="D199" s="77">
        <v>0.2</v>
      </c>
      <c r="E199" s="76"/>
      <c r="F199" s="87">
        <f>PRODUCT(B199:E199)</f>
        <v>2.1840000000000002</v>
      </c>
      <c r="G199" s="101">
        <f>F199</f>
        <v>2.1840000000000002</v>
      </c>
      <c r="H199" s="76" t="s">
        <v>100</v>
      </c>
      <c r="I199" s="78">
        <f>G199*1.1</f>
        <v>2.4024000000000005</v>
      </c>
      <c r="J199" s="102"/>
      <c r="L199" s="79"/>
    </row>
    <row r="200" spans="1:12" ht="15">
      <c r="A200" s="521" t="s">
        <v>840</v>
      </c>
      <c r="B200" s="109"/>
      <c r="C200" s="77"/>
      <c r="D200" s="77"/>
      <c r="E200" s="76"/>
      <c r="F200" s="109"/>
      <c r="G200" s="128"/>
      <c r="H200" s="76"/>
      <c r="I200" s="78"/>
      <c r="J200" s="78"/>
      <c r="L200" s="79"/>
    </row>
    <row r="201" spans="1:12" ht="15">
      <c r="A201" s="134" t="s">
        <v>841</v>
      </c>
      <c r="B201" s="522">
        <v>13.2</v>
      </c>
      <c r="C201" s="77">
        <v>1.6</v>
      </c>
      <c r="D201" s="77">
        <v>0.2</v>
      </c>
      <c r="E201" s="76"/>
      <c r="F201" s="87">
        <f>PRODUCT(B201:E201)</f>
        <v>4.2240000000000002</v>
      </c>
      <c r="G201" s="101">
        <f>F201</f>
        <v>4.2240000000000002</v>
      </c>
      <c r="H201" s="76" t="s">
        <v>100</v>
      </c>
      <c r="I201" s="78">
        <f>G201*1.1</f>
        <v>4.6464000000000008</v>
      </c>
      <c r="J201" s="102"/>
      <c r="L201" s="79"/>
    </row>
    <row r="202" spans="1:12" ht="15">
      <c r="A202" s="86"/>
      <c r="B202" s="522"/>
      <c r="C202" s="77"/>
      <c r="D202" s="77"/>
      <c r="E202" s="76"/>
      <c r="F202" s="87"/>
      <c r="G202" s="101"/>
      <c r="H202" s="76"/>
      <c r="I202" s="78"/>
      <c r="J202" s="102"/>
      <c r="L202" s="79">
        <f>30.2-17</f>
        <v>13.2</v>
      </c>
    </row>
    <row r="203" spans="1:12" ht="15">
      <c r="A203" s="97" t="s">
        <v>811</v>
      </c>
      <c r="B203" s="75"/>
      <c r="C203" s="77"/>
      <c r="D203" s="77"/>
      <c r="E203" s="76"/>
      <c r="F203" s="75"/>
      <c r="G203" s="76"/>
      <c r="H203" s="76"/>
      <c r="I203" s="78"/>
      <c r="J203" s="78"/>
      <c r="L203" s="79"/>
    </row>
    <row r="204" spans="1:12" ht="15">
      <c r="A204" s="86"/>
      <c r="B204" s="522"/>
      <c r="C204" s="77"/>
      <c r="D204" s="77"/>
      <c r="E204" s="76"/>
      <c r="F204" s="87"/>
      <c r="G204" s="101"/>
      <c r="H204" s="76"/>
      <c r="I204" s="78"/>
      <c r="J204" s="102"/>
      <c r="L204" s="79"/>
    </row>
    <row r="205" spans="1:12" ht="15">
      <c r="A205" s="521" t="s">
        <v>842</v>
      </c>
      <c r="B205" s="109"/>
      <c r="C205" s="77"/>
      <c r="D205" s="77"/>
      <c r="E205" s="76"/>
      <c r="F205" s="109"/>
      <c r="G205" s="128"/>
      <c r="H205" s="76"/>
      <c r="I205" s="78"/>
      <c r="J205" s="78"/>
      <c r="L205" s="79"/>
    </row>
    <row r="206" spans="1:12" ht="15">
      <c r="A206" s="134" t="s">
        <v>843</v>
      </c>
      <c r="B206" s="522">
        <v>8.6</v>
      </c>
      <c r="C206" s="77">
        <v>1.6</v>
      </c>
      <c r="D206" s="77">
        <v>0.2</v>
      </c>
      <c r="E206" s="76"/>
      <c r="F206" s="87">
        <f>PRODUCT(B206:E206)</f>
        <v>2.7520000000000002</v>
      </c>
      <c r="G206" s="101">
        <f>F206</f>
        <v>2.7520000000000002</v>
      </c>
      <c r="H206" s="76" t="s">
        <v>100</v>
      </c>
      <c r="I206" s="78">
        <f>G206*1.1</f>
        <v>3.0272000000000006</v>
      </c>
      <c r="J206" s="102"/>
      <c r="L206" s="79"/>
    </row>
    <row r="207" spans="1:12" ht="15">
      <c r="A207" s="521" t="s">
        <v>844</v>
      </c>
      <c r="B207" s="109"/>
      <c r="C207" s="77"/>
      <c r="D207" s="77"/>
      <c r="E207" s="76"/>
      <c r="F207" s="109"/>
      <c r="G207" s="128"/>
      <c r="H207" s="76"/>
      <c r="I207" s="78"/>
      <c r="J207" s="78"/>
      <c r="L207" s="79"/>
    </row>
    <row r="208" spans="1:12" ht="15">
      <c r="A208" s="134" t="s">
        <v>845</v>
      </c>
      <c r="B208" s="522">
        <v>11</v>
      </c>
      <c r="C208" s="77">
        <v>1.8</v>
      </c>
      <c r="D208" s="77">
        <v>0.2</v>
      </c>
      <c r="E208" s="76"/>
      <c r="F208" s="87">
        <f>PRODUCT(B208:E208)</f>
        <v>3.9600000000000004</v>
      </c>
      <c r="G208" s="101">
        <f>F208</f>
        <v>3.9600000000000004</v>
      </c>
      <c r="H208" s="76" t="s">
        <v>100</v>
      </c>
      <c r="I208" s="78">
        <f>G208*1.1</f>
        <v>4.3560000000000008</v>
      </c>
      <c r="J208" s="102"/>
      <c r="L208" s="79"/>
    </row>
    <row r="209" spans="1:13" ht="15">
      <c r="A209" s="521" t="s">
        <v>846</v>
      </c>
      <c r="B209" s="109"/>
      <c r="C209" s="77"/>
      <c r="D209" s="77"/>
      <c r="E209" s="76"/>
      <c r="F209" s="109"/>
      <c r="G209" s="128"/>
      <c r="H209" s="76"/>
      <c r="I209" s="78"/>
      <c r="J209" s="78"/>
      <c r="L209" s="79"/>
    </row>
    <row r="210" spans="1:13" ht="15">
      <c r="A210" s="134" t="s">
        <v>847</v>
      </c>
      <c r="B210" s="522">
        <v>9</v>
      </c>
      <c r="C210" s="77">
        <v>2</v>
      </c>
      <c r="D210" s="77">
        <v>0.2</v>
      </c>
      <c r="E210" s="76"/>
      <c r="F210" s="87">
        <f>PRODUCT(B210:E210)</f>
        <v>3.6</v>
      </c>
      <c r="G210" s="101">
        <f>F210</f>
        <v>3.6</v>
      </c>
      <c r="H210" s="76" t="s">
        <v>100</v>
      </c>
      <c r="I210" s="78">
        <f>G210*1.1</f>
        <v>3.9600000000000004</v>
      </c>
      <c r="J210" s="102"/>
      <c r="L210" s="79"/>
    </row>
    <row r="211" spans="1:13" ht="15">
      <c r="A211" s="521" t="s">
        <v>848</v>
      </c>
      <c r="B211" s="109"/>
      <c r="C211" s="77"/>
      <c r="D211" s="77"/>
      <c r="E211" s="76"/>
      <c r="F211" s="109"/>
      <c r="G211" s="128"/>
      <c r="H211" s="76"/>
      <c r="I211" s="78"/>
      <c r="J211" s="78"/>
      <c r="L211" s="79"/>
    </row>
    <row r="212" spans="1:13" ht="15">
      <c r="A212" s="134" t="s">
        <v>849</v>
      </c>
      <c r="B212" s="522">
        <v>12.25</v>
      </c>
      <c r="C212" s="77">
        <v>2</v>
      </c>
      <c r="D212" s="77">
        <v>0.2</v>
      </c>
      <c r="E212" s="76"/>
      <c r="F212" s="87">
        <f>PRODUCT(B212:E212)</f>
        <v>4.9000000000000004</v>
      </c>
      <c r="G212" s="101">
        <f>F212</f>
        <v>4.9000000000000004</v>
      </c>
      <c r="H212" s="76" t="s">
        <v>100</v>
      </c>
      <c r="I212" s="78">
        <f>G212*1.1</f>
        <v>5.3900000000000006</v>
      </c>
      <c r="J212" s="102"/>
      <c r="L212" s="79"/>
      <c r="M212" s="67">
        <f>32.75-20.5</f>
        <v>12.25</v>
      </c>
    </row>
    <row r="213" spans="1:13" ht="15">
      <c r="A213" s="521" t="s">
        <v>850</v>
      </c>
      <c r="B213" s="109"/>
      <c r="C213" s="77"/>
      <c r="D213" s="77"/>
      <c r="E213" s="76"/>
      <c r="F213" s="109"/>
      <c r="G213" s="128"/>
      <c r="H213" s="76"/>
      <c r="I213" s="78"/>
      <c r="J213" s="78"/>
      <c r="L213" s="79"/>
    </row>
    <row r="214" spans="1:13" ht="15">
      <c r="A214" s="134" t="s">
        <v>851</v>
      </c>
      <c r="B214" s="522">
        <v>20.5</v>
      </c>
      <c r="C214" s="77">
        <f>+(2+1.6)/2</f>
        <v>1.8</v>
      </c>
      <c r="D214" s="77">
        <v>0.2</v>
      </c>
      <c r="E214" s="76"/>
      <c r="F214" s="87">
        <f>PRODUCT(B214:E214)</f>
        <v>7.38</v>
      </c>
      <c r="G214" s="101">
        <f>F214</f>
        <v>7.38</v>
      </c>
      <c r="H214" s="76" t="s">
        <v>100</v>
      </c>
      <c r="I214" s="78">
        <f>G214*1.1</f>
        <v>8.1180000000000003</v>
      </c>
      <c r="J214" s="102">
        <f>+SUM(I179:I214)</f>
        <v>49.385600000000004</v>
      </c>
      <c r="L214" s="79"/>
    </row>
    <row r="215" spans="1:13" ht="15">
      <c r="A215" s="134"/>
      <c r="B215" s="522"/>
      <c r="C215" s="77"/>
      <c r="D215" s="77"/>
      <c r="E215" s="76"/>
      <c r="F215" s="87"/>
      <c r="G215" s="101"/>
      <c r="H215" s="76"/>
      <c r="I215" s="78"/>
      <c r="J215" s="102"/>
      <c r="L215" s="79"/>
    </row>
    <row r="216" spans="1:13" ht="15">
      <c r="A216" s="86" t="s">
        <v>854</v>
      </c>
      <c r="B216" s="522"/>
      <c r="C216" s="77"/>
      <c r="D216" s="77"/>
      <c r="E216" s="76"/>
      <c r="F216" s="87"/>
      <c r="G216" s="101"/>
      <c r="H216" s="76"/>
      <c r="I216" s="78"/>
      <c r="J216" s="102"/>
      <c r="L216" s="79"/>
    </row>
    <row r="217" spans="1:13" ht="15">
      <c r="A217" s="521" t="s">
        <v>824</v>
      </c>
      <c r="B217" s="109"/>
      <c r="C217" s="77"/>
      <c r="D217" s="77"/>
      <c r="E217" s="76"/>
      <c r="F217" s="109"/>
      <c r="G217" s="128"/>
      <c r="H217" s="76"/>
      <c r="I217" s="78"/>
      <c r="J217" s="78"/>
      <c r="L217" s="79"/>
    </row>
    <row r="218" spans="1:13" ht="15">
      <c r="A218" s="134" t="s">
        <v>825</v>
      </c>
      <c r="B218" s="522">
        <v>3.5</v>
      </c>
      <c r="C218" s="77">
        <v>0.55100000000000005</v>
      </c>
      <c r="D218" s="77"/>
      <c r="E218" s="76"/>
      <c r="F218" s="87">
        <f>PRODUCT(B218:E218)</f>
        <v>1.9285000000000001</v>
      </c>
      <c r="G218" s="101">
        <f>F218</f>
        <v>1.9285000000000001</v>
      </c>
      <c r="H218" s="76" t="s">
        <v>100</v>
      </c>
      <c r="I218" s="78">
        <f>G218*1.1</f>
        <v>2.1213500000000001</v>
      </c>
      <c r="J218" s="102"/>
      <c r="L218" s="79"/>
    </row>
    <row r="219" spans="1:13" ht="15">
      <c r="A219" s="134" t="s">
        <v>826</v>
      </c>
      <c r="B219" s="522">
        <v>5</v>
      </c>
      <c r="C219" s="77">
        <v>0.55100000000000005</v>
      </c>
      <c r="D219" s="77"/>
      <c r="E219" s="76"/>
      <c r="F219" s="87">
        <f>PRODUCT(B219:E219)</f>
        <v>2.7550000000000003</v>
      </c>
      <c r="G219" s="101">
        <f>F219</f>
        <v>2.7550000000000003</v>
      </c>
      <c r="H219" s="76" t="s">
        <v>100</v>
      </c>
      <c r="I219" s="78">
        <f>G219*1.1</f>
        <v>3.0305000000000004</v>
      </c>
      <c r="J219" s="102"/>
      <c r="L219" s="79"/>
    </row>
    <row r="220" spans="1:13" ht="15">
      <c r="A220" s="521" t="s">
        <v>827</v>
      </c>
      <c r="B220" s="109"/>
      <c r="C220" s="77"/>
      <c r="D220" s="77"/>
      <c r="E220" s="76"/>
      <c r="F220" s="109"/>
      <c r="G220" s="128"/>
      <c r="H220" s="76"/>
      <c r="I220" s="78"/>
      <c r="J220" s="78"/>
      <c r="L220" s="79"/>
    </row>
    <row r="221" spans="1:13" ht="15">
      <c r="A221" s="134" t="s">
        <v>828</v>
      </c>
      <c r="B221" s="522">
        <v>4</v>
      </c>
      <c r="C221" s="77">
        <v>0.72899999999999998</v>
      </c>
      <c r="D221" s="77"/>
      <c r="E221" s="76"/>
      <c r="F221" s="87">
        <f>PRODUCT(B221:E221)</f>
        <v>2.9159999999999999</v>
      </c>
      <c r="G221" s="101">
        <f>F221</f>
        <v>2.9159999999999999</v>
      </c>
      <c r="H221" s="76" t="s">
        <v>100</v>
      </c>
      <c r="I221" s="78">
        <f>G221*1.1</f>
        <v>3.2076000000000002</v>
      </c>
      <c r="J221" s="102"/>
      <c r="L221" s="79"/>
    </row>
    <row r="222" spans="1:13" ht="15">
      <c r="A222" s="134" t="s">
        <v>829</v>
      </c>
      <c r="B222" s="522">
        <v>6.5</v>
      </c>
      <c r="C222" s="77">
        <v>0.72899999999999998</v>
      </c>
      <c r="D222" s="77"/>
      <c r="E222" s="76"/>
      <c r="F222" s="87">
        <f>PRODUCT(B222:E222)</f>
        <v>4.7385000000000002</v>
      </c>
      <c r="G222" s="101">
        <f>F222</f>
        <v>4.7385000000000002</v>
      </c>
      <c r="H222" s="76" t="s">
        <v>100</v>
      </c>
      <c r="I222" s="78">
        <f>G222*1.1</f>
        <v>5.2123500000000007</v>
      </c>
      <c r="J222" s="102"/>
      <c r="L222" s="79"/>
    </row>
    <row r="223" spans="1:13" ht="15">
      <c r="A223" s="86"/>
      <c r="B223" s="522"/>
      <c r="C223" s="77"/>
      <c r="D223" s="77"/>
      <c r="E223" s="76"/>
      <c r="F223" s="87"/>
      <c r="G223" s="101"/>
      <c r="H223" s="76"/>
      <c r="I223" s="78"/>
      <c r="J223" s="102"/>
      <c r="L223" s="79"/>
    </row>
    <row r="224" spans="1:13" ht="15">
      <c r="A224" s="97" t="s">
        <v>799</v>
      </c>
      <c r="B224" s="75"/>
      <c r="C224" s="77"/>
      <c r="D224" s="77"/>
      <c r="E224" s="76"/>
      <c r="F224" s="75"/>
      <c r="G224" s="76"/>
      <c r="H224" s="76"/>
      <c r="I224" s="78"/>
      <c r="J224" s="78"/>
      <c r="L224" s="79"/>
    </row>
    <row r="225" spans="1:12" ht="15">
      <c r="A225" s="86"/>
      <c r="B225" s="522"/>
      <c r="C225" s="77"/>
      <c r="D225" s="77"/>
      <c r="E225" s="76"/>
      <c r="F225" s="87"/>
      <c r="G225" s="101"/>
      <c r="H225" s="76"/>
      <c r="I225" s="78"/>
      <c r="J225" s="102"/>
      <c r="L225" s="79"/>
    </row>
    <row r="226" spans="1:12" ht="15">
      <c r="A226" s="521" t="s">
        <v>830</v>
      </c>
      <c r="B226" s="109"/>
      <c r="C226" s="77"/>
      <c r="D226" s="77"/>
      <c r="E226" s="76"/>
      <c r="F226" s="109"/>
      <c r="G226" s="128"/>
      <c r="H226" s="76"/>
      <c r="I226" s="78"/>
      <c r="J226" s="78"/>
      <c r="L226" s="79"/>
    </row>
    <row r="227" spans="1:12" ht="15">
      <c r="A227" s="134" t="s">
        <v>831</v>
      </c>
      <c r="B227" s="522">
        <v>3</v>
      </c>
      <c r="C227" s="77">
        <v>1.5289999999999999</v>
      </c>
      <c r="D227" s="77"/>
      <c r="E227" s="76"/>
      <c r="F227" s="87">
        <f>PRODUCT(B227:E227)</f>
        <v>4.5869999999999997</v>
      </c>
      <c r="G227" s="101">
        <f>F227</f>
        <v>4.5869999999999997</v>
      </c>
      <c r="H227" s="76" t="s">
        <v>100</v>
      </c>
      <c r="I227" s="78">
        <f>G227*1.1</f>
        <v>5.0457000000000001</v>
      </c>
      <c r="J227" s="102"/>
      <c r="L227" s="79"/>
    </row>
    <row r="228" spans="1:12" ht="15">
      <c r="A228" s="521" t="s">
        <v>832</v>
      </c>
      <c r="B228" s="109"/>
      <c r="C228" s="77"/>
      <c r="D228" s="77"/>
      <c r="E228" s="76"/>
      <c r="F228" s="109"/>
      <c r="G228" s="128"/>
      <c r="H228" s="76"/>
      <c r="I228" s="78"/>
      <c r="J228" s="78"/>
      <c r="L228" s="79"/>
    </row>
    <row r="229" spans="1:12" ht="15">
      <c r="A229" s="134" t="s">
        <v>833</v>
      </c>
      <c r="B229" s="522">
        <v>6</v>
      </c>
      <c r="C229" s="77">
        <v>1.468</v>
      </c>
      <c r="D229" s="77"/>
      <c r="E229" s="76"/>
      <c r="F229" s="87">
        <f>PRODUCT(B229:E229)</f>
        <v>8.8079999999999998</v>
      </c>
      <c r="G229" s="101">
        <f>F229</f>
        <v>8.8079999999999998</v>
      </c>
      <c r="H229" s="76" t="s">
        <v>100</v>
      </c>
      <c r="I229" s="78">
        <f>G229*1.1</f>
        <v>9.6888000000000005</v>
      </c>
      <c r="J229" s="102"/>
      <c r="L229" s="79"/>
    </row>
    <row r="230" spans="1:12" ht="15">
      <c r="A230" s="521" t="s">
        <v>834</v>
      </c>
      <c r="B230" s="109"/>
      <c r="C230" s="77"/>
      <c r="D230" s="77"/>
      <c r="E230" s="76"/>
      <c r="F230" s="109"/>
      <c r="G230" s="128"/>
      <c r="H230" s="76"/>
      <c r="I230" s="78"/>
      <c r="J230" s="78"/>
      <c r="L230" s="79"/>
    </row>
    <row r="231" spans="1:12" ht="15">
      <c r="A231" s="134" t="s">
        <v>835</v>
      </c>
      <c r="B231" s="522">
        <v>10.5</v>
      </c>
      <c r="C231" s="77">
        <v>1.0780000000000001</v>
      </c>
      <c r="D231" s="77"/>
      <c r="E231" s="76"/>
      <c r="F231" s="87">
        <f>PRODUCT(B231:E231)</f>
        <v>11.319000000000001</v>
      </c>
      <c r="G231" s="101">
        <f>F231</f>
        <v>11.319000000000001</v>
      </c>
      <c r="H231" s="76" t="s">
        <v>100</v>
      </c>
      <c r="I231" s="78">
        <f>G231*1.1</f>
        <v>12.450900000000003</v>
      </c>
      <c r="J231" s="102"/>
      <c r="L231" s="79"/>
    </row>
    <row r="232" spans="1:12" ht="15">
      <c r="A232" s="523"/>
      <c r="B232" s="524"/>
      <c r="C232" s="77"/>
      <c r="D232" s="77"/>
      <c r="E232" s="76"/>
      <c r="F232" s="109"/>
      <c r="G232" s="525"/>
      <c r="H232" s="76"/>
      <c r="I232" s="78"/>
      <c r="J232" s="102"/>
      <c r="L232" s="79"/>
    </row>
    <row r="233" spans="1:12" ht="15">
      <c r="A233" s="97" t="s">
        <v>805</v>
      </c>
      <c r="B233" s="75"/>
      <c r="C233" s="77"/>
      <c r="D233" s="77"/>
      <c r="E233" s="76"/>
      <c r="F233" s="75"/>
      <c r="G233" s="76"/>
      <c r="H233" s="76"/>
      <c r="I233" s="78"/>
      <c r="J233" s="78"/>
      <c r="L233" s="79"/>
    </row>
    <row r="234" spans="1:12" ht="15">
      <c r="A234" s="86"/>
      <c r="B234" s="522"/>
      <c r="C234" s="77"/>
      <c r="D234" s="77"/>
      <c r="E234" s="76"/>
      <c r="F234" s="87"/>
      <c r="G234" s="101"/>
      <c r="H234" s="76"/>
      <c r="I234" s="78"/>
      <c r="J234" s="102"/>
      <c r="L234" s="79"/>
    </row>
    <row r="235" spans="1:12" ht="15">
      <c r="A235" s="521" t="s">
        <v>836</v>
      </c>
      <c r="B235" s="109"/>
      <c r="C235" s="77"/>
      <c r="D235" s="77"/>
      <c r="E235" s="76"/>
      <c r="F235" s="109"/>
      <c r="G235" s="128"/>
      <c r="H235" s="76"/>
      <c r="I235" s="78"/>
      <c r="J235" s="78"/>
      <c r="L235" s="79"/>
    </row>
    <row r="236" spans="1:12" ht="15">
      <c r="A236" s="134" t="s">
        <v>837</v>
      </c>
      <c r="B236" s="522">
        <v>9.1999999999999993</v>
      </c>
      <c r="C236" s="77">
        <v>0.34799999999999998</v>
      </c>
      <c r="D236" s="77"/>
      <c r="E236" s="76"/>
      <c r="F236" s="87">
        <f>PRODUCT(B236:E236)</f>
        <v>3.2015999999999996</v>
      </c>
      <c r="G236" s="101">
        <f>F236</f>
        <v>3.2015999999999996</v>
      </c>
      <c r="H236" s="76" t="s">
        <v>100</v>
      </c>
      <c r="I236" s="78">
        <f>G236*1.1</f>
        <v>3.52176</v>
      </c>
      <c r="J236" s="102"/>
      <c r="L236" s="79"/>
    </row>
    <row r="237" spans="1:12" ht="15">
      <c r="A237" s="521" t="s">
        <v>838</v>
      </c>
      <c r="B237" s="109"/>
      <c r="C237" s="77"/>
      <c r="D237" s="77"/>
      <c r="E237" s="76"/>
      <c r="F237" s="109"/>
      <c r="G237" s="128"/>
      <c r="H237" s="76"/>
      <c r="I237" s="78"/>
      <c r="J237" s="78"/>
      <c r="L237" s="79"/>
    </row>
    <row r="238" spans="1:12" ht="15">
      <c r="A238" s="134" t="s">
        <v>839</v>
      </c>
      <c r="B238" s="522">
        <v>7.8</v>
      </c>
      <c r="C238" s="77">
        <v>0.51600000000000001</v>
      </c>
      <c r="D238" s="77"/>
      <c r="E238" s="76"/>
      <c r="F238" s="87">
        <f>PRODUCT(B238:E238)</f>
        <v>4.0247999999999999</v>
      </c>
      <c r="G238" s="101">
        <f>F238</f>
        <v>4.0247999999999999</v>
      </c>
      <c r="H238" s="76" t="s">
        <v>100</v>
      </c>
      <c r="I238" s="78">
        <f>G238*1.1</f>
        <v>4.4272800000000005</v>
      </c>
      <c r="J238" s="102"/>
      <c r="L238" s="79"/>
    </row>
    <row r="239" spans="1:12" ht="15">
      <c r="A239" s="521" t="s">
        <v>840</v>
      </c>
      <c r="B239" s="109"/>
      <c r="C239" s="77"/>
      <c r="D239" s="77"/>
      <c r="E239" s="76"/>
      <c r="F239" s="109"/>
      <c r="G239" s="128"/>
      <c r="H239" s="76"/>
      <c r="I239" s="78"/>
      <c r="J239" s="78"/>
      <c r="L239" s="79"/>
    </row>
    <row r="240" spans="1:12" ht="15">
      <c r="A240" s="134" t="s">
        <v>841</v>
      </c>
      <c r="B240" s="522">
        <v>13.2</v>
      </c>
      <c r="C240" s="77">
        <v>1.0029999999999999</v>
      </c>
      <c r="D240" s="77"/>
      <c r="E240" s="76"/>
      <c r="F240" s="87">
        <f>PRODUCT(B240:E240)</f>
        <v>13.239599999999998</v>
      </c>
      <c r="G240" s="101">
        <f>F240</f>
        <v>13.239599999999998</v>
      </c>
      <c r="H240" s="76" t="s">
        <v>100</v>
      </c>
      <c r="I240" s="78">
        <f>G240*1.1</f>
        <v>14.563559999999999</v>
      </c>
      <c r="J240" s="102"/>
      <c r="L240" s="79"/>
    </row>
    <row r="241" spans="1:13" ht="15">
      <c r="A241" s="86"/>
      <c r="B241" s="522"/>
      <c r="C241" s="77"/>
      <c r="D241" s="77"/>
      <c r="E241" s="76"/>
      <c r="F241" s="87"/>
      <c r="G241" s="101"/>
      <c r="H241" s="76"/>
      <c r="I241" s="78"/>
      <c r="J241" s="102"/>
      <c r="L241" s="79">
        <f>30.2-17</f>
        <v>13.2</v>
      </c>
    </row>
    <row r="242" spans="1:13" ht="15">
      <c r="A242" s="97" t="s">
        <v>811</v>
      </c>
      <c r="B242" s="75"/>
      <c r="C242" s="77"/>
      <c r="D242" s="77"/>
      <c r="E242" s="76"/>
      <c r="F242" s="75"/>
      <c r="G242" s="76"/>
      <c r="H242" s="76"/>
      <c r="I242" s="78"/>
      <c r="J242" s="78"/>
      <c r="L242" s="79"/>
    </row>
    <row r="243" spans="1:13" ht="15">
      <c r="A243" s="86"/>
      <c r="B243" s="522"/>
      <c r="C243" s="77"/>
      <c r="D243" s="77"/>
      <c r="E243" s="76"/>
      <c r="F243" s="87"/>
      <c r="G243" s="101"/>
      <c r="H243" s="76"/>
      <c r="I243" s="78"/>
      <c r="J243" s="102"/>
      <c r="L243" s="79"/>
    </row>
    <row r="244" spans="1:13" ht="15">
      <c r="A244" s="521" t="s">
        <v>842</v>
      </c>
      <c r="B244" s="109"/>
      <c r="C244" s="77"/>
      <c r="D244" s="77"/>
      <c r="E244" s="76"/>
      <c r="F244" s="109"/>
      <c r="G244" s="128"/>
      <c r="H244" s="76"/>
      <c r="I244" s="78"/>
      <c r="J244" s="78"/>
      <c r="L244" s="79"/>
    </row>
    <row r="245" spans="1:13" ht="15">
      <c r="A245" s="134" t="s">
        <v>843</v>
      </c>
      <c r="B245" s="522">
        <v>8.6</v>
      </c>
      <c r="C245" s="77">
        <v>0.80500000000000005</v>
      </c>
      <c r="D245" s="77"/>
      <c r="E245" s="76"/>
      <c r="F245" s="87">
        <f>PRODUCT(B245:E245)</f>
        <v>6.923</v>
      </c>
      <c r="G245" s="101">
        <f>F245</f>
        <v>6.923</v>
      </c>
      <c r="H245" s="76" t="s">
        <v>100</v>
      </c>
      <c r="I245" s="78">
        <f>G245*1.1</f>
        <v>7.6153000000000004</v>
      </c>
      <c r="J245" s="102"/>
      <c r="L245" s="79"/>
    </row>
    <row r="246" spans="1:13" ht="15">
      <c r="A246" s="521" t="s">
        <v>844</v>
      </c>
      <c r="B246" s="109"/>
      <c r="C246" s="77"/>
      <c r="D246" s="77"/>
      <c r="E246" s="76"/>
      <c r="F246" s="109"/>
      <c r="G246" s="128"/>
      <c r="H246" s="76"/>
      <c r="I246" s="78"/>
      <c r="J246" s="78"/>
      <c r="L246" s="79"/>
    </row>
    <row r="247" spans="1:13" ht="15">
      <c r="A247" s="134" t="s">
        <v>845</v>
      </c>
      <c r="B247" s="522">
        <v>11</v>
      </c>
      <c r="C247" s="77">
        <v>0.997</v>
      </c>
      <c r="D247" s="77"/>
      <c r="E247" s="76"/>
      <c r="F247" s="87">
        <f>PRODUCT(B247:E247)</f>
        <v>10.967000000000001</v>
      </c>
      <c r="G247" s="101">
        <f>F247</f>
        <v>10.967000000000001</v>
      </c>
      <c r="H247" s="76" t="s">
        <v>100</v>
      </c>
      <c r="I247" s="78">
        <f>G247*1.1</f>
        <v>12.063700000000001</v>
      </c>
      <c r="J247" s="102"/>
      <c r="L247" s="79"/>
    </row>
    <row r="248" spans="1:13" ht="15">
      <c r="A248" s="521" t="s">
        <v>846</v>
      </c>
      <c r="B248" s="109"/>
      <c r="C248" s="77"/>
      <c r="D248" s="77"/>
      <c r="E248" s="76"/>
      <c r="F248" s="109"/>
      <c r="G248" s="128"/>
      <c r="H248" s="76"/>
      <c r="I248" s="78"/>
      <c r="J248" s="78"/>
      <c r="L248" s="79"/>
    </row>
    <row r="249" spans="1:13" ht="15">
      <c r="A249" s="134" t="s">
        <v>847</v>
      </c>
      <c r="B249" s="522">
        <v>9</v>
      </c>
      <c r="C249" s="77">
        <v>1.444</v>
      </c>
      <c r="D249" s="77"/>
      <c r="E249" s="76"/>
      <c r="F249" s="87">
        <f>PRODUCT(B249:E249)</f>
        <v>12.995999999999999</v>
      </c>
      <c r="G249" s="101">
        <f>F249</f>
        <v>12.995999999999999</v>
      </c>
      <c r="H249" s="76" t="s">
        <v>100</v>
      </c>
      <c r="I249" s="78">
        <f>G249*1.1</f>
        <v>14.2956</v>
      </c>
      <c r="J249" s="102"/>
      <c r="L249" s="79"/>
    </row>
    <row r="250" spans="1:13" ht="15">
      <c r="A250" s="521" t="s">
        <v>848</v>
      </c>
      <c r="B250" s="109"/>
      <c r="C250" s="77"/>
      <c r="D250" s="77"/>
      <c r="E250" s="76"/>
      <c r="F250" s="109"/>
      <c r="G250" s="128"/>
      <c r="H250" s="76"/>
      <c r="I250" s="78"/>
      <c r="J250" s="78"/>
      <c r="L250" s="79"/>
    </row>
    <row r="251" spans="1:13" ht="15">
      <c r="A251" s="134" t="s">
        <v>849</v>
      </c>
      <c r="B251" s="522">
        <v>12.25</v>
      </c>
      <c r="C251" s="77">
        <v>1.504</v>
      </c>
      <c r="D251" s="77"/>
      <c r="E251" s="76"/>
      <c r="F251" s="87">
        <f>PRODUCT(B251:E251)</f>
        <v>18.423999999999999</v>
      </c>
      <c r="G251" s="101">
        <f>F251</f>
        <v>18.423999999999999</v>
      </c>
      <c r="H251" s="76" t="s">
        <v>100</v>
      </c>
      <c r="I251" s="78">
        <f>G251*1.1</f>
        <v>20.266400000000001</v>
      </c>
      <c r="J251" s="102"/>
      <c r="L251" s="79"/>
      <c r="M251" s="67">
        <f>32.75-20.5</f>
        <v>12.25</v>
      </c>
    </row>
    <row r="252" spans="1:13" ht="15">
      <c r="A252" s="521" t="s">
        <v>850</v>
      </c>
      <c r="B252" s="109"/>
      <c r="C252" s="77"/>
      <c r="D252" s="77"/>
      <c r="E252" s="76"/>
      <c r="F252" s="109"/>
      <c r="G252" s="128"/>
      <c r="H252" s="76"/>
      <c r="I252" s="78"/>
      <c r="J252" s="78"/>
      <c r="L252" s="79"/>
    </row>
    <row r="253" spans="1:13" ht="15">
      <c r="A253" s="134" t="s">
        <v>851</v>
      </c>
      <c r="B253" s="522">
        <v>20.5</v>
      </c>
      <c r="C253" s="77">
        <v>0.92200000000000004</v>
      </c>
      <c r="D253" s="77"/>
      <c r="E253" s="76"/>
      <c r="F253" s="87">
        <f>PRODUCT(B253:E253)</f>
        <v>18.901</v>
      </c>
      <c r="G253" s="101">
        <f>F253</f>
        <v>18.901</v>
      </c>
      <c r="H253" s="76" t="s">
        <v>100</v>
      </c>
      <c r="I253" s="78">
        <f>G253*1.1</f>
        <v>20.7911</v>
      </c>
      <c r="J253" s="102">
        <f>+SUM(I218:I253)</f>
        <v>138.30190000000002</v>
      </c>
      <c r="L253" s="79"/>
    </row>
    <row r="254" spans="1:13" ht="15">
      <c r="A254" s="134"/>
      <c r="B254" s="522"/>
      <c r="C254" s="77"/>
      <c r="D254" s="77"/>
      <c r="E254" s="76"/>
      <c r="F254" s="87"/>
      <c r="G254" s="101"/>
      <c r="H254" s="76"/>
      <c r="I254" s="78"/>
      <c r="J254" s="102"/>
      <c r="L254" s="79"/>
    </row>
    <row r="255" spans="1:13" ht="15">
      <c r="A255" s="86" t="s">
        <v>855</v>
      </c>
      <c r="B255" s="522"/>
      <c r="C255" s="77"/>
      <c r="D255" s="77"/>
      <c r="E255" s="76"/>
      <c r="F255" s="87"/>
      <c r="G255" s="101"/>
      <c r="H255" s="76"/>
      <c r="I255" s="78"/>
      <c r="J255" s="102"/>
      <c r="L255" s="79"/>
    </row>
    <row r="256" spans="1:13" ht="15">
      <c r="A256" s="97" t="s">
        <v>795</v>
      </c>
      <c r="B256" s="75"/>
      <c r="C256" s="77"/>
      <c r="D256" s="77"/>
      <c r="E256" s="76"/>
      <c r="F256" s="75"/>
      <c r="G256" s="76"/>
      <c r="H256" s="76"/>
      <c r="I256" s="78"/>
      <c r="J256" s="78"/>
      <c r="L256" s="79"/>
    </row>
    <row r="257" spans="1:12" ht="15">
      <c r="A257" s="521" t="s">
        <v>796</v>
      </c>
      <c r="B257" s="109"/>
      <c r="C257" s="77"/>
      <c r="D257" s="77"/>
      <c r="E257" s="76"/>
      <c r="F257" s="109"/>
      <c r="G257" s="128"/>
      <c r="H257" s="76"/>
      <c r="I257" s="78"/>
      <c r="J257" s="78"/>
      <c r="L257" s="79"/>
    </row>
    <row r="258" spans="1:12" ht="15">
      <c r="A258" s="134"/>
      <c r="B258" s="522">
        <v>0.65</v>
      </c>
      <c r="C258" s="77"/>
      <c r="D258" s="77"/>
      <c r="E258" s="78">
        <f>3*(+SUM(B218:B222)/0.75)</f>
        <v>76</v>
      </c>
      <c r="F258" s="87">
        <f>PRODUCT(B258:E258)</f>
        <v>49.4</v>
      </c>
      <c r="G258" s="101">
        <f>F258</f>
        <v>49.4</v>
      </c>
      <c r="H258" s="76" t="s">
        <v>5</v>
      </c>
      <c r="I258" s="78">
        <f>G258*1.1</f>
        <v>54.34</v>
      </c>
      <c r="J258" s="102"/>
      <c r="L258" s="79"/>
    </row>
    <row r="259" spans="1:12" ht="15">
      <c r="A259" s="86"/>
      <c r="B259" s="522"/>
      <c r="C259" s="77"/>
      <c r="D259" s="77"/>
      <c r="E259" s="76"/>
      <c r="F259" s="87"/>
      <c r="G259" s="101"/>
      <c r="H259" s="76"/>
      <c r="I259" s="78"/>
      <c r="J259" s="102"/>
      <c r="L259" s="79"/>
    </row>
    <row r="260" spans="1:12" ht="15">
      <c r="A260" s="97" t="s">
        <v>799</v>
      </c>
      <c r="B260" s="75"/>
      <c r="C260" s="77"/>
      <c r="D260" s="77"/>
      <c r="E260" s="76"/>
      <c r="F260" s="75"/>
      <c r="G260" s="76"/>
      <c r="H260" s="76"/>
      <c r="I260" s="78"/>
      <c r="J260" s="78"/>
      <c r="L260" s="79"/>
    </row>
    <row r="261" spans="1:12" ht="15">
      <c r="A261" s="521" t="s">
        <v>800</v>
      </c>
      <c r="B261" s="109"/>
      <c r="C261" s="77"/>
      <c r="D261" s="77"/>
      <c r="E261" s="76"/>
      <c r="F261" s="109"/>
      <c r="G261" s="128"/>
      <c r="H261" s="76"/>
      <c r="I261" s="78"/>
      <c r="J261" s="78"/>
      <c r="L261" s="79"/>
    </row>
    <row r="262" spans="1:12" ht="15">
      <c r="A262" s="134"/>
      <c r="B262" s="522">
        <v>0.8</v>
      </c>
      <c r="C262" s="77"/>
      <c r="D262" s="77"/>
      <c r="E262" s="78">
        <f>3*(+SUM(B227:B231)/0.75)</f>
        <v>78</v>
      </c>
      <c r="F262" s="87">
        <f>PRODUCT(B262:E262)</f>
        <v>62.400000000000006</v>
      </c>
      <c r="G262" s="101">
        <f>F262</f>
        <v>62.400000000000006</v>
      </c>
      <c r="H262" s="76" t="s">
        <v>5</v>
      </c>
      <c r="I262" s="78">
        <f>G262*1.1</f>
        <v>68.640000000000015</v>
      </c>
      <c r="J262" s="102"/>
      <c r="L262" s="79"/>
    </row>
    <row r="263" spans="1:12" ht="15">
      <c r="A263" s="523"/>
      <c r="B263" s="524"/>
      <c r="C263" s="77"/>
      <c r="D263" s="77"/>
      <c r="E263" s="76"/>
      <c r="F263" s="109"/>
      <c r="G263" s="525"/>
      <c r="H263" s="76"/>
      <c r="I263" s="78"/>
      <c r="J263" s="102"/>
      <c r="L263" s="79"/>
    </row>
    <row r="264" spans="1:12" ht="15">
      <c r="A264" s="97" t="s">
        <v>805</v>
      </c>
      <c r="B264" s="75"/>
      <c r="C264" s="77"/>
      <c r="D264" s="77"/>
      <c r="E264" s="76"/>
      <c r="F264" s="75"/>
      <c r="G264" s="76"/>
      <c r="H264" s="76"/>
      <c r="I264" s="78"/>
      <c r="J264" s="78"/>
      <c r="L264" s="79"/>
    </row>
    <row r="265" spans="1:12" ht="15">
      <c r="A265" s="521" t="s">
        <v>806</v>
      </c>
      <c r="B265" s="109"/>
      <c r="C265" s="77"/>
      <c r="D265" s="77"/>
      <c r="E265" s="76"/>
      <c r="F265" s="109"/>
      <c r="G265" s="128"/>
      <c r="H265" s="76"/>
      <c r="I265" s="78"/>
      <c r="J265" s="78"/>
      <c r="L265" s="79"/>
    </row>
    <row r="266" spans="1:12" ht="15">
      <c r="A266" s="134"/>
      <c r="B266" s="522">
        <v>0.6</v>
      </c>
      <c r="C266" s="77"/>
      <c r="D266" s="77"/>
      <c r="E266" s="78">
        <f>3*(+SUM(B236:B240)/0.75)</f>
        <v>120.8</v>
      </c>
      <c r="F266" s="87">
        <f>PRODUCT(B266:E266)</f>
        <v>72.47999999999999</v>
      </c>
      <c r="G266" s="101">
        <f>F266</f>
        <v>72.47999999999999</v>
      </c>
      <c r="H266" s="76" t="s">
        <v>5</v>
      </c>
      <c r="I266" s="78">
        <f>G266*1.1</f>
        <v>79.727999999999994</v>
      </c>
      <c r="J266" s="102"/>
      <c r="L266" s="79"/>
    </row>
    <row r="267" spans="1:12" ht="15">
      <c r="A267" s="86"/>
      <c r="B267" s="522"/>
      <c r="C267" s="77"/>
      <c r="D267" s="77"/>
      <c r="E267" s="76"/>
      <c r="F267" s="87"/>
      <c r="G267" s="101"/>
      <c r="H267" s="76"/>
      <c r="I267" s="78"/>
      <c r="J267" s="102"/>
      <c r="L267" s="79">
        <f>30.2-17</f>
        <v>13.2</v>
      </c>
    </row>
    <row r="268" spans="1:12" ht="15">
      <c r="A268" s="97" t="s">
        <v>811</v>
      </c>
      <c r="B268" s="75"/>
      <c r="C268" s="77"/>
      <c r="D268" s="77"/>
      <c r="E268" s="76"/>
      <c r="F268" s="75"/>
      <c r="G268" s="76"/>
      <c r="H268" s="76"/>
      <c r="I268" s="78"/>
      <c r="J268" s="78"/>
      <c r="L268" s="79"/>
    </row>
    <row r="269" spans="1:12" ht="15">
      <c r="A269" s="521" t="s">
        <v>812</v>
      </c>
      <c r="B269" s="109"/>
      <c r="C269" s="77"/>
      <c r="D269" s="77"/>
      <c r="E269" s="76"/>
      <c r="F269" s="109"/>
      <c r="G269" s="128"/>
      <c r="H269" s="76"/>
      <c r="I269" s="78"/>
      <c r="J269" s="78"/>
      <c r="L269" s="79"/>
    </row>
    <row r="270" spans="1:12" ht="15">
      <c r="A270" s="134"/>
      <c r="B270" s="522">
        <v>0.95</v>
      </c>
      <c r="C270" s="77"/>
      <c r="D270" s="77"/>
      <c r="E270" s="78">
        <f>3*(+SUM(B245:B253)/0.75)</f>
        <v>245.39999999999998</v>
      </c>
      <c r="F270" s="87">
        <f>PRODUCT(B270:E270)</f>
        <v>233.12999999999997</v>
      </c>
      <c r="G270" s="101">
        <f>F270</f>
        <v>233.12999999999997</v>
      </c>
      <c r="H270" s="76" t="s">
        <v>5</v>
      </c>
      <c r="I270" s="78">
        <f>G270*1.1</f>
        <v>256.44299999999998</v>
      </c>
      <c r="J270" s="102">
        <f>+SUM(I258:I270)</f>
        <v>459.15100000000001</v>
      </c>
      <c r="L270" s="79"/>
    </row>
    <row r="271" spans="1:12" ht="15">
      <c r="A271" s="134"/>
      <c r="B271" s="522"/>
      <c r="C271" s="77"/>
      <c r="D271" s="77"/>
      <c r="E271" s="76"/>
      <c r="F271" s="87"/>
      <c r="G271" s="101"/>
      <c r="H271" s="76"/>
      <c r="I271" s="78"/>
      <c r="J271" s="102"/>
      <c r="L271" s="79"/>
    </row>
    <row r="272" spans="1:12" ht="15">
      <c r="A272" s="86"/>
      <c r="B272" s="522"/>
      <c r="C272" s="77"/>
      <c r="D272" s="77"/>
      <c r="E272" s="76"/>
      <c r="F272" s="87"/>
      <c r="G272" s="101"/>
      <c r="H272" s="76"/>
      <c r="I272" s="78"/>
      <c r="J272" s="102"/>
      <c r="L272" s="79"/>
    </row>
    <row r="273" spans="1:13" ht="15">
      <c r="A273" s="86" t="s">
        <v>856</v>
      </c>
      <c r="B273" s="522"/>
      <c r="C273" s="77"/>
      <c r="D273" s="77"/>
      <c r="E273" s="76"/>
      <c r="F273" s="87"/>
      <c r="G273" s="101"/>
      <c r="H273" s="76"/>
      <c r="I273" s="78"/>
      <c r="J273" s="102"/>
      <c r="L273" s="79"/>
      <c r="M273" s="79"/>
    </row>
    <row r="274" spans="1:13" ht="15">
      <c r="A274" s="97" t="s">
        <v>795</v>
      </c>
      <c r="B274" s="75"/>
      <c r="C274" s="77"/>
      <c r="D274" s="77"/>
      <c r="E274" s="76"/>
      <c r="F274" s="75"/>
      <c r="G274" s="76"/>
      <c r="H274" s="76"/>
      <c r="I274" s="78"/>
      <c r="J274" s="78"/>
      <c r="L274" s="79"/>
    </row>
    <row r="275" spans="1:13" ht="15">
      <c r="A275" s="521" t="s">
        <v>796</v>
      </c>
      <c r="B275" s="109"/>
      <c r="C275" s="77"/>
      <c r="D275" s="77"/>
      <c r="E275" s="76"/>
      <c r="F275" s="109"/>
      <c r="G275" s="128"/>
      <c r="H275" s="76"/>
      <c r="I275" s="78"/>
      <c r="J275" s="78"/>
      <c r="L275" s="79"/>
    </row>
    <row r="276" spans="1:13" ht="15">
      <c r="A276" s="134"/>
      <c r="B276" s="522">
        <f>+SUM(B218:B222)</f>
        <v>19</v>
      </c>
      <c r="C276" s="77">
        <v>2.15</v>
      </c>
      <c r="D276" s="77"/>
      <c r="E276" s="78"/>
      <c r="F276" s="87">
        <f>PRODUCT(B276:E276)</f>
        <v>40.85</v>
      </c>
      <c r="G276" s="101">
        <f>F276</f>
        <v>40.85</v>
      </c>
      <c r="H276" s="76" t="s">
        <v>393</v>
      </c>
      <c r="I276" s="78">
        <f>G276*1.1</f>
        <v>44.935000000000002</v>
      </c>
      <c r="J276" s="102"/>
      <c r="L276" s="79"/>
    </row>
    <row r="277" spans="1:13" ht="15">
      <c r="A277" s="86"/>
      <c r="B277" s="522"/>
      <c r="C277" s="77"/>
      <c r="D277" s="77"/>
      <c r="E277" s="76"/>
      <c r="F277" s="87"/>
      <c r="G277" s="101"/>
      <c r="H277" s="76"/>
      <c r="I277" s="78"/>
      <c r="J277" s="102"/>
      <c r="L277" s="79"/>
    </row>
    <row r="278" spans="1:13" ht="15">
      <c r="A278" s="97" t="s">
        <v>799</v>
      </c>
      <c r="B278" s="75"/>
      <c r="C278" s="77"/>
      <c r="D278" s="77"/>
      <c r="E278" s="76"/>
      <c r="F278" s="75"/>
      <c r="G278" s="76"/>
      <c r="H278" s="76"/>
      <c r="I278" s="78"/>
      <c r="J278" s="78"/>
      <c r="L278" s="79"/>
    </row>
    <row r="279" spans="1:13" ht="15">
      <c r="A279" s="521" t="s">
        <v>800</v>
      </c>
      <c r="B279" s="109"/>
      <c r="C279" s="77"/>
      <c r="D279" s="77"/>
      <c r="E279" s="76"/>
      <c r="F279" s="109"/>
      <c r="G279" s="128"/>
      <c r="H279" s="76"/>
      <c r="I279" s="78"/>
      <c r="J279" s="78"/>
      <c r="L279" s="79"/>
    </row>
    <row r="280" spans="1:13" ht="15">
      <c r="A280" s="134"/>
      <c r="B280" s="522">
        <f>+SUM(B227:B231)</f>
        <v>19.5</v>
      </c>
      <c r="C280" s="77">
        <v>5.3</v>
      </c>
      <c r="D280" s="77"/>
      <c r="E280" s="78"/>
      <c r="F280" s="87">
        <f>PRODUCT(B280:E280)</f>
        <v>103.35</v>
      </c>
      <c r="G280" s="101">
        <f>F280</f>
        <v>103.35</v>
      </c>
      <c r="H280" s="76" t="s">
        <v>393</v>
      </c>
      <c r="I280" s="78">
        <f>G280*1.1</f>
        <v>113.685</v>
      </c>
      <c r="J280" s="102"/>
      <c r="L280" s="79"/>
    </row>
    <row r="281" spans="1:13" ht="15">
      <c r="A281" s="523"/>
      <c r="B281" s="524"/>
      <c r="C281" s="77"/>
      <c r="D281" s="77"/>
      <c r="E281" s="76"/>
      <c r="F281" s="109"/>
      <c r="G281" s="525"/>
      <c r="H281" s="76"/>
      <c r="I281" s="78"/>
      <c r="J281" s="102"/>
      <c r="L281" s="79"/>
    </row>
    <row r="282" spans="1:13" ht="15">
      <c r="A282" s="97" t="s">
        <v>805</v>
      </c>
      <c r="B282" s="75"/>
      <c r="C282" s="77"/>
      <c r="D282" s="77"/>
      <c r="E282" s="76"/>
      <c r="F282" s="75"/>
      <c r="G282" s="76"/>
      <c r="H282" s="76"/>
      <c r="I282" s="78"/>
      <c r="J282" s="78"/>
      <c r="L282" s="79"/>
    </row>
    <row r="283" spans="1:13" ht="15">
      <c r="A283" s="521" t="s">
        <v>806</v>
      </c>
      <c r="B283" s="109"/>
      <c r="C283" s="77"/>
      <c r="D283" s="77"/>
      <c r="E283" s="76"/>
      <c r="F283" s="109"/>
      <c r="G283" s="128"/>
      <c r="H283" s="76"/>
      <c r="I283" s="78"/>
      <c r="J283" s="78"/>
      <c r="L283" s="79"/>
    </row>
    <row r="284" spans="1:13" ht="15">
      <c r="A284" s="134"/>
      <c r="B284" s="522">
        <f>+SUM(B236:B240)</f>
        <v>30.2</v>
      </c>
      <c r="C284" s="77">
        <v>2</v>
      </c>
      <c r="D284" s="77"/>
      <c r="E284" s="78"/>
      <c r="F284" s="87">
        <f>PRODUCT(B284:E284)</f>
        <v>60.4</v>
      </c>
      <c r="G284" s="101">
        <f>F284</f>
        <v>60.4</v>
      </c>
      <c r="H284" s="76" t="s">
        <v>393</v>
      </c>
      <c r="I284" s="78">
        <f>G284*1.1</f>
        <v>66.44</v>
      </c>
      <c r="J284" s="102"/>
      <c r="L284" s="79"/>
    </row>
    <row r="285" spans="1:13" ht="15">
      <c r="A285" s="86"/>
      <c r="B285" s="522"/>
      <c r="C285" s="77"/>
      <c r="D285" s="77"/>
      <c r="E285" s="76"/>
      <c r="F285" s="87"/>
      <c r="G285" s="101"/>
      <c r="H285" s="76"/>
      <c r="I285" s="78"/>
      <c r="J285" s="102"/>
      <c r="L285" s="79">
        <f>30.2-17</f>
        <v>13.2</v>
      </c>
    </row>
    <row r="286" spans="1:13" ht="15">
      <c r="A286" s="97" t="s">
        <v>811</v>
      </c>
      <c r="B286" s="75"/>
      <c r="C286" s="77"/>
      <c r="D286" s="77"/>
      <c r="E286" s="76"/>
      <c r="F286" s="75"/>
      <c r="G286" s="76"/>
      <c r="H286" s="76"/>
      <c r="I286" s="78"/>
      <c r="J286" s="78"/>
      <c r="L286" s="79"/>
    </row>
    <row r="287" spans="1:13" ht="15">
      <c r="A287" s="521" t="s">
        <v>812</v>
      </c>
      <c r="B287" s="109"/>
      <c r="C287" s="77"/>
      <c r="D287" s="77"/>
      <c r="E287" s="76"/>
      <c r="F287" s="109"/>
      <c r="G287" s="128"/>
      <c r="H287" s="76"/>
      <c r="I287" s="78"/>
      <c r="J287" s="78"/>
      <c r="L287" s="79"/>
    </row>
    <row r="288" spans="1:13" ht="15">
      <c r="A288" s="134"/>
      <c r="B288" s="522">
        <f>+SUM(B245:B253)</f>
        <v>61.35</v>
      </c>
      <c r="C288" s="77">
        <v>5.2</v>
      </c>
      <c r="D288" s="77"/>
      <c r="E288" s="78"/>
      <c r="F288" s="87">
        <f>PRODUCT(B288:E288)</f>
        <v>319.02000000000004</v>
      </c>
      <c r="G288" s="101">
        <f>F288</f>
        <v>319.02000000000004</v>
      </c>
      <c r="H288" s="76" t="s">
        <v>393</v>
      </c>
      <c r="I288" s="78">
        <f>G288*1.1</f>
        <v>350.92200000000008</v>
      </c>
      <c r="J288" s="102">
        <f>+SUM(I276:I288)</f>
        <v>575.98200000000008</v>
      </c>
      <c r="L288" s="79"/>
    </row>
    <row r="289" spans="1:12" ht="15">
      <c r="A289" s="134"/>
      <c r="B289" s="522"/>
      <c r="C289" s="77"/>
      <c r="D289" s="77"/>
      <c r="E289" s="78"/>
      <c r="F289" s="87"/>
      <c r="G289" s="101"/>
      <c r="H289" s="76"/>
      <c r="I289" s="78"/>
      <c r="J289" s="102"/>
      <c r="L289" s="79"/>
    </row>
    <row r="290" spans="1:12" ht="15">
      <c r="A290" s="86" t="s">
        <v>857</v>
      </c>
      <c r="B290" s="522">
        <f>+B134</f>
        <v>0</v>
      </c>
      <c r="C290" s="77">
        <v>0.7</v>
      </c>
      <c r="D290" s="77"/>
      <c r="E290" s="76"/>
      <c r="F290" s="87">
        <f>PRODUCT(B290:E290)</f>
        <v>0</v>
      </c>
      <c r="G290" s="101">
        <f>F290</f>
        <v>0</v>
      </c>
      <c r="H290" s="76" t="s">
        <v>100</v>
      </c>
      <c r="I290" s="78">
        <f>G290*1.1</f>
        <v>0</v>
      </c>
      <c r="J290" s="102">
        <f>I290</f>
        <v>0</v>
      </c>
      <c r="L290" s="79"/>
    </row>
    <row r="291" spans="1:12" ht="15">
      <c r="A291" s="97" t="s">
        <v>795</v>
      </c>
      <c r="B291" s="75"/>
      <c r="C291" s="77"/>
      <c r="D291" s="77"/>
      <c r="E291" s="76"/>
      <c r="F291" s="75"/>
      <c r="G291" s="76"/>
      <c r="H291" s="76"/>
      <c r="I291" s="78"/>
      <c r="J291" s="78"/>
      <c r="L291" s="79"/>
    </row>
    <row r="292" spans="1:12" ht="15">
      <c r="A292" s="521" t="s">
        <v>796</v>
      </c>
      <c r="B292" s="109"/>
      <c r="C292" s="77"/>
      <c r="D292" s="77"/>
      <c r="E292" s="76"/>
      <c r="F292" s="109"/>
      <c r="G292" s="128"/>
      <c r="H292" s="76"/>
      <c r="I292" s="78"/>
      <c r="J292" s="78"/>
      <c r="L292" s="79"/>
    </row>
    <row r="293" spans="1:12" ht="15">
      <c r="A293" s="134"/>
      <c r="B293" s="522">
        <f>+SUM(B218:B222)</f>
        <v>19</v>
      </c>
      <c r="C293" s="77">
        <v>0.6</v>
      </c>
      <c r="D293" s="77"/>
      <c r="E293" s="78"/>
      <c r="F293" s="87">
        <f>PRODUCT(B293:E293)</f>
        <v>11.4</v>
      </c>
      <c r="G293" s="101">
        <f>F293</f>
        <v>11.4</v>
      </c>
      <c r="H293" s="76" t="s">
        <v>393</v>
      </c>
      <c r="I293" s="78">
        <f>G293*1.1</f>
        <v>12.540000000000001</v>
      </c>
      <c r="J293" s="102"/>
      <c r="L293" s="79"/>
    </row>
    <row r="294" spans="1:12" ht="15">
      <c r="A294" s="86"/>
      <c r="B294" s="522"/>
      <c r="C294" s="77"/>
      <c r="D294" s="77"/>
      <c r="E294" s="76"/>
      <c r="F294" s="87"/>
      <c r="G294" s="101"/>
      <c r="H294" s="76"/>
      <c r="I294" s="78"/>
      <c r="J294" s="102"/>
      <c r="L294" s="79"/>
    </row>
    <row r="295" spans="1:12" ht="15">
      <c r="A295" s="97" t="s">
        <v>799</v>
      </c>
      <c r="B295" s="75"/>
      <c r="C295" s="77"/>
      <c r="D295" s="77"/>
      <c r="E295" s="76"/>
      <c r="F295" s="75"/>
      <c r="G295" s="76"/>
      <c r="H295" s="76"/>
      <c r="I295" s="78"/>
      <c r="J295" s="78"/>
      <c r="L295" s="79"/>
    </row>
    <row r="296" spans="1:12" ht="15">
      <c r="A296" s="521" t="s">
        <v>800</v>
      </c>
      <c r="B296" s="109"/>
      <c r="C296" s="77"/>
      <c r="D296" s="77"/>
      <c r="E296" s="76"/>
      <c r="F296" s="109"/>
      <c r="G296" s="128"/>
      <c r="H296" s="76"/>
      <c r="I296" s="78"/>
      <c r="J296" s="78"/>
      <c r="L296" s="79"/>
    </row>
    <row r="297" spans="1:12" ht="15">
      <c r="A297" s="134"/>
      <c r="B297" s="522">
        <f>+SUM(B227:B231)</f>
        <v>19.5</v>
      </c>
      <c r="C297" s="77">
        <v>0.6</v>
      </c>
      <c r="D297" s="77"/>
      <c r="E297" s="78"/>
      <c r="F297" s="87">
        <f>PRODUCT(B297:E297)</f>
        <v>11.7</v>
      </c>
      <c r="G297" s="101">
        <f>F297</f>
        <v>11.7</v>
      </c>
      <c r="H297" s="76" t="s">
        <v>393</v>
      </c>
      <c r="I297" s="78">
        <f>G297*1.1</f>
        <v>12.870000000000001</v>
      </c>
      <c r="J297" s="102"/>
      <c r="L297" s="79"/>
    </row>
    <row r="298" spans="1:12" ht="15">
      <c r="A298" s="523"/>
      <c r="B298" s="524"/>
      <c r="C298" s="77"/>
      <c r="D298" s="77"/>
      <c r="E298" s="76"/>
      <c r="F298" s="109"/>
      <c r="G298" s="525"/>
      <c r="H298" s="76"/>
      <c r="I298" s="78"/>
      <c r="J298" s="102"/>
      <c r="L298" s="79"/>
    </row>
    <row r="299" spans="1:12" ht="15">
      <c r="A299" s="97" t="s">
        <v>805</v>
      </c>
      <c r="B299" s="75"/>
      <c r="C299" s="77"/>
      <c r="D299" s="77"/>
      <c r="E299" s="76"/>
      <c r="F299" s="75"/>
      <c r="G299" s="76"/>
      <c r="H299" s="76"/>
      <c r="I299" s="78"/>
      <c r="J299" s="78"/>
      <c r="L299" s="79"/>
    </row>
    <row r="300" spans="1:12" ht="15">
      <c r="A300" s="521" t="s">
        <v>806</v>
      </c>
      <c r="B300" s="109"/>
      <c r="C300" s="77"/>
      <c r="D300" s="77"/>
      <c r="E300" s="76"/>
      <c r="F300" s="109"/>
      <c r="G300" s="128"/>
      <c r="H300" s="76"/>
      <c r="I300" s="78"/>
      <c r="J300" s="78"/>
      <c r="L300" s="79"/>
    </row>
    <row r="301" spans="1:12" ht="15">
      <c r="A301" s="134"/>
      <c r="B301" s="522">
        <f>+SUM(B236:B240)</f>
        <v>30.2</v>
      </c>
      <c r="C301" s="77">
        <v>0.6</v>
      </c>
      <c r="D301" s="77"/>
      <c r="E301" s="78"/>
      <c r="F301" s="87">
        <f>PRODUCT(B301:E301)</f>
        <v>18.119999999999997</v>
      </c>
      <c r="G301" s="101">
        <f>F301</f>
        <v>18.119999999999997</v>
      </c>
      <c r="H301" s="76" t="s">
        <v>393</v>
      </c>
      <c r="I301" s="78">
        <f>G301*1.1</f>
        <v>19.931999999999999</v>
      </c>
      <c r="J301" s="102"/>
      <c r="L301" s="79"/>
    </row>
    <row r="302" spans="1:12" ht="15">
      <c r="A302" s="86"/>
      <c r="B302" s="522"/>
      <c r="C302" s="77"/>
      <c r="D302" s="77"/>
      <c r="E302" s="76"/>
      <c r="F302" s="87"/>
      <c r="G302" s="101"/>
      <c r="H302" s="76"/>
      <c r="I302" s="78"/>
      <c r="J302" s="102"/>
      <c r="L302" s="79">
        <f>30.2-17</f>
        <v>13.2</v>
      </c>
    </row>
    <row r="303" spans="1:12" ht="15">
      <c r="A303" s="97" t="s">
        <v>811</v>
      </c>
      <c r="B303" s="75"/>
      <c r="C303" s="77"/>
      <c r="D303" s="77"/>
      <c r="E303" s="76"/>
      <c r="F303" s="75"/>
      <c r="G303" s="76"/>
      <c r="H303" s="76"/>
      <c r="I303" s="78"/>
      <c r="J303" s="78"/>
      <c r="L303" s="79"/>
    </row>
    <row r="304" spans="1:12" ht="15">
      <c r="A304" s="521" t="s">
        <v>812</v>
      </c>
      <c r="B304" s="109"/>
      <c r="C304" s="77"/>
      <c r="D304" s="77"/>
      <c r="E304" s="76"/>
      <c r="F304" s="109"/>
      <c r="G304" s="128"/>
      <c r="H304" s="76"/>
      <c r="I304" s="78"/>
      <c r="J304" s="78"/>
      <c r="L304" s="79"/>
    </row>
    <row r="305" spans="1:12" ht="15">
      <c r="A305" s="134"/>
      <c r="B305" s="522">
        <f>+SUM(B245:B253)</f>
        <v>61.35</v>
      </c>
      <c r="C305" s="77">
        <v>0.6</v>
      </c>
      <c r="D305" s="77"/>
      <c r="E305" s="78"/>
      <c r="F305" s="87">
        <f>PRODUCT(B305:E305)</f>
        <v>36.81</v>
      </c>
      <c r="G305" s="101">
        <f>F305</f>
        <v>36.81</v>
      </c>
      <c r="H305" s="76" t="s">
        <v>393</v>
      </c>
      <c r="I305" s="78">
        <f>G305*1.1</f>
        <v>40.491000000000007</v>
      </c>
      <c r="J305" s="102">
        <f>+SUM(I293:I305)</f>
        <v>85.832999999999998</v>
      </c>
      <c r="L305" s="79"/>
    </row>
    <row r="306" spans="1:12" ht="15">
      <c r="A306" s="134"/>
      <c r="B306" s="522"/>
      <c r="C306" s="77"/>
      <c r="D306" s="77"/>
      <c r="E306" s="78"/>
      <c r="F306" s="87"/>
      <c r="G306" s="101"/>
      <c r="H306" s="76"/>
      <c r="I306" s="78"/>
      <c r="J306" s="102"/>
      <c r="L306" s="79"/>
    </row>
    <row r="307" spans="1:12" ht="15">
      <c r="A307" s="86" t="s">
        <v>858</v>
      </c>
      <c r="B307" s="522"/>
      <c r="C307" s="77"/>
      <c r="D307" s="77"/>
      <c r="E307" s="76"/>
      <c r="F307" s="87"/>
      <c r="G307" s="101"/>
      <c r="H307" s="76"/>
      <c r="I307" s="78"/>
      <c r="J307" s="102"/>
      <c r="L307" s="79"/>
    </row>
    <row r="308" spans="1:12" ht="15">
      <c r="A308" s="86"/>
      <c r="B308" s="522"/>
      <c r="C308" s="77"/>
      <c r="D308" s="77"/>
      <c r="E308" s="76"/>
      <c r="F308" s="87"/>
      <c r="G308" s="101"/>
      <c r="H308" s="76"/>
      <c r="I308" s="78"/>
      <c r="J308" s="102"/>
      <c r="L308" s="79" t="s">
        <v>823</v>
      </c>
    </row>
    <row r="309" spans="1:12" ht="15">
      <c r="A309" s="97" t="s">
        <v>859</v>
      </c>
      <c r="B309" s="75"/>
      <c r="C309" s="77"/>
      <c r="D309" s="77"/>
      <c r="E309" s="76"/>
      <c r="F309" s="75"/>
      <c r="G309" s="76"/>
      <c r="H309" s="76"/>
      <c r="I309" s="78"/>
      <c r="J309" s="78"/>
      <c r="L309" s="79"/>
    </row>
    <row r="310" spans="1:12" ht="15">
      <c r="A310" s="521" t="s">
        <v>824</v>
      </c>
      <c r="B310" s="109"/>
      <c r="C310" s="77"/>
      <c r="D310" s="77"/>
      <c r="E310" s="76"/>
      <c r="F310" s="109"/>
      <c r="G310" s="128"/>
      <c r="H310" s="76"/>
      <c r="I310" s="78"/>
      <c r="J310" s="78"/>
      <c r="L310" s="79"/>
    </row>
    <row r="311" spans="1:12" ht="15">
      <c r="A311" s="134" t="s">
        <v>860</v>
      </c>
      <c r="B311" s="522">
        <f>+(0.2+AVERAGE(C179:C180)+0.2)-0.08*2</f>
        <v>1.74</v>
      </c>
      <c r="C311" s="77"/>
      <c r="D311" s="77"/>
      <c r="E311" s="78">
        <f>SUM(B179:B180)/0.2+1</f>
        <v>43.5</v>
      </c>
      <c r="F311" s="87">
        <f>PRODUCT(B311:E311)</f>
        <v>75.69</v>
      </c>
      <c r="G311" s="101">
        <f>+F311</f>
        <v>75.69</v>
      </c>
      <c r="H311" s="76" t="s">
        <v>63</v>
      </c>
      <c r="I311" s="78">
        <f>+G311*1.1*(144/162)</f>
        <v>74.007999999999996</v>
      </c>
      <c r="J311" s="102"/>
      <c r="L311" s="79"/>
    </row>
    <row r="312" spans="1:12" ht="15">
      <c r="A312" s="134" t="s">
        <v>142</v>
      </c>
      <c r="B312" s="522">
        <f>SUM(B179:B180)+SUM(B179:B180)/6*52*(10/1000)</f>
        <v>9.2366666666666664</v>
      </c>
      <c r="C312" s="77"/>
      <c r="D312" s="77"/>
      <c r="E312" s="76">
        <f>+B311/0.2+1</f>
        <v>9.6999999999999993</v>
      </c>
      <c r="F312" s="87">
        <f>PRODUCT(B312:E312)</f>
        <v>89.595666666666659</v>
      </c>
      <c r="G312" s="101">
        <f>+F312</f>
        <v>89.595666666666659</v>
      </c>
      <c r="H312" s="76" t="s">
        <v>63</v>
      </c>
      <c r="I312" s="78">
        <f>+G312*1.1*(100/162)</f>
        <v>60.836563786008227</v>
      </c>
      <c r="J312" s="102"/>
      <c r="L312" s="79"/>
    </row>
    <row r="313" spans="1:12" ht="15">
      <c r="A313" s="521" t="s">
        <v>827</v>
      </c>
      <c r="B313" s="109"/>
      <c r="C313" s="77"/>
      <c r="D313" s="77"/>
      <c r="E313" s="76"/>
      <c r="F313" s="109"/>
      <c r="G313" s="128"/>
      <c r="H313" s="76"/>
      <c r="I313" s="78"/>
      <c r="J313" s="78"/>
      <c r="L313" s="79"/>
    </row>
    <row r="314" spans="1:12" ht="15">
      <c r="A314" s="134" t="s">
        <v>860</v>
      </c>
      <c r="B314" s="522">
        <f>+(0.2+AVERAGE(C182:C183)+0.2)-0.08*2</f>
        <v>1.84</v>
      </c>
      <c r="C314" s="77"/>
      <c r="D314" s="77"/>
      <c r="E314" s="78">
        <f>SUM(B182:B183)/0.2+1</f>
        <v>53.5</v>
      </c>
      <c r="F314" s="87">
        <f>PRODUCT(B314:E314)</f>
        <v>98.44</v>
      </c>
      <c r="G314" s="101">
        <f>+F314</f>
        <v>98.44</v>
      </c>
      <c r="H314" s="76" t="s">
        <v>63</v>
      </c>
      <c r="I314" s="78">
        <f>+G314*1.1*(144/162)</f>
        <v>96.25244444444445</v>
      </c>
      <c r="J314" s="102"/>
      <c r="L314" s="79"/>
    </row>
    <row r="315" spans="1:12" ht="15">
      <c r="A315" s="134" t="s">
        <v>142</v>
      </c>
      <c r="B315" s="522">
        <f>SUM(B182:B183)+SUM(B182:B183)/6*52*(10/1000)</f>
        <v>11.41</v>
      </c>
      <c r="C315" s="77"/>
      <c r="D315" s="77"/>
      <c r="E315" s="76">
        <f>+B314/0.2+1</f>
        <v>10.199999999999999</v>
      </c>
      <c r="F315" s="87">
        <f>PRODUCT(B315:E315)</f>
        <v>116.38199999999999</v>
      </c>
      <c r="G315" s="101">
        <f>+F315</f>
        <v>116.38199999999999</v>
      </c>
      <c r="H315" s="76" t="s">
        <v>63</v>
      </c>
      <c r="I315" s="78">
        <f>+G315*1.1*(100/162)</f>
        <v>79.024814814814803</v>
      </c>
      <c r="J315" s="102"/>
      <c r="L315" s="79"/>
    </row>
    <row r="316" spans="1:12" ht="15">
      <c r="A316" s="134"/>
      <c r="B316" s="522"/>
      <c r="C316" s="77"/>
      <c r="D316" s="77"/>
      <c r="E316" s="76"/>
      <c r="F316" s="87"/>
      <c r="G316" s="101"/>
      <c r="H316" s="76"/>
      <c r="I316" s="78"/>
      <c r="J316" s="102"/>
      <c r="L316" s="79"/>
    </row>
    <row r="317" spans="1:12" ht="15">
      <c r="A317" s="134"/>
      <c r="B317" s="522"/>
      <c r="C317" s="77"/>
      <c r="D317" s="77"/>
      <c r="E317" s="76"/>
      <c r="F317" s="87"/>
      <c r="G317" s="101"/>
      <c r="H317" s="76"/>
      <c r="I317" s="78"/>
      <c r="J317" s="102"/>
      <c r="L317" s="79"/>
    </row>
    <row r="318" spans="1:12" ht="15">
      <c r="A318" s="86"/>
      <c r="B318" s="522"/>
      <c r="C318" s="77"/>
      <c r="D318" s="77"/>
      <c r="E318" s="76"/>
      <c r="F318" s="87"/>
      <c r="G318" s="101"/>
      <c r="H318" s="76"/>
      <c r="I318" s="78"/>
      <c r="J318" s="102"/>
      <c r="L318" s="79"/>
    </row>
    <row r="319" spans="1:12" ht="15">
      <c r="A319" s="97" t="s">
        <v>799</v>
      </c>
      <c r="B319" s="75"/>
      <c r="C319" s="77"/>
      <c r="D319" s="77"/>
      <c r="E319" s="76"/>
      <c r="F319" s="75"/>
      <c r="G319" s="76"/>
      <c r="H319" s="76"/>
      <c r="I319" s="78"/>
      <c r="J319" s="78"/>
      <c r="L319" s="79"/>
    </row>
    <row r="320" spans="1:12" ht="15">
      <c r="A320" s="86"/>
      <c r="B320" s="522"/>
      <c r="C320" s="77"/>
      <c r="D320" s="77"/>
      <c r="E320" s="76"/>
      <c r="F320" s="87"/>
      <c r="G320" s="101"/>
      <c r="H320" s="76"/>
      <c r="I320" s="78"/>
      <c r="J320" s="102"/>
      <c r="L320" s="79"/>
    </row>
    <row r="321" spans="1:12" ht="15">
      <c r="A321" s="521" t="s">
        <v>830</v>
      </c>
      <c r="B321" s="109"/>
      <c r="C321" s="77"/>
      <c r="D321" s="77"/>
      <c r="E321" s="76"/>
      <c r="F321" s="109"/>
      <c r="G321" s="128"/>
      <c r="H321" s="76"/>
      <c r="I321" s="78"/>
      <c r="J321" s="78"/>
      <c r="L321" s="79"/>
    </row>
    <row r="322" spans="1:12" ht="15">
      <c r="A322" s="134" t="s">
        <v>860</v>
      </c>
      <c r="B322" s="522">
        <f>+(0.2+AVERAGE(C188:C189)+0.2)-0.08*2</f>
        <v>2.2400000000000002</v>
      </c>
      <c r="C322" s="77"/>
      <c r="D322" s="77"/>
      <c r="E322" s="78">
        <f>SUM(B188:B189)/0.2+1</f>
        <v>16</v>
      </c>
      <c r="F322" s="87">
        <f>PRODUCT(B322:E322)</f>
        <v>35.840000000000003</v>
      </c>
      <c r="G322" s="101">
        <f>+F322</f>
        <v>35.840000000000003</v>
      </c>
      <c r="H322" s="76" t="s">
        <v>63</v>
      </c>
      <c r="I322" s="78">
        <f>+G322*1.1*(144/162)</f>
        <v>35.043555555555557</v>
      </c>
      <c r="J322" s="102"/>
      <c r="L322" s="79"/>
    </row>
    <row r="323" spans="1:12" ht="15">
      <c r="A323" s="134" t="s">
        <v>142</v>
      </c>
      <c r="B323" s="522">
        <f>SUM(B190:B191)+SUM(B190:B191)/6*52*(10/1000)</f>
        <v>6.52</v>
      </c>
      <c r="C323" s="77"/>
      <c r="D323" s="77"/>
      <c r="E323" s="76">
        <f>+B322/0.2+1</f>
        <v>12.200000000000001</v>
      </c>
      <c r="F323" s="87">
        <f>PRODUCT(B323:E323)</f>
        <v>79.543999999999997</v>
      </c>
      <c r="G323" s="101">
        <f>+F323</f>
        <v>79.543999999999997</v>
      </c>
      <c r="H323" s="76" t="s">
        <v>63</v>
      </c>
      <c r="I323" s="78">
        <f>+G323*1.1*(100/162)</f>
        <v>54.011358024691354</v>
      </c>
      <c r="J323" s="102"/>
      <c r="L323" s="79"/>
    </row>
    <row r="324" spans="1:12" ht="15">
      <c r="A324" s="521" t="s">
        <v>832</v>
      </c>
      <c r="B324" s="109"/>
      <c r="C324" s="77"/>
      <c r="D324" s="77"/>
      <c r="E324" s="76"/>
      <c r="F324" s="109"/>
      <c r="G324" s="128"/>
      <c r="H324" s="76"/>
      <c r="I324" s="78"/>
      <c r="J324" s="78"/>
      <c r="L324" s="79"/>
    </row>
    <row r="325" spans="1:12" ht="15">
      <c r="A325" s="134" t="s">
        <v>860</v>
      </c>
      <c r="B325" s="522">
        <f>+(0.2+AVERAGE(C190:C191)+0.2)-0.08*2</f>
        <v>2.2400000000000002</v>
      </c>
      <c r="C325" s="77"/>
      <c r="D325" s="77"/>
      <c r="E325" s="78">
        <f>SUM(B190:B191)/0.2+1</f>
        <v>31</v>
      </c>
      <c r="F325" s="87">
        <f>PRODUCT(B325:E325)</f>
        <v>69.440000000000012</v>
      </c>
      <c r="G325" s="101">
        <f>+F325</f>
        <v>69.440000000000012</v>
      </c>
      <c r="H325" s="76" t="s">
        <v>63</v>
      </c>
      <c r="I325" s="78">
        <f>+G325*1.1*(144/162)</f>
        <v>67.896888888888896</v>
      </c>
      <c r="J325" s="102"/>
      <c r="L325" s="79"/>
    </row>
    <row r="326" spans="1:12" ht="15">
      <c r="A326" s="134" t="s">
        <v>142</v>
      </c>
      <c r="B326" s="522">
        <f>SUM(B190:B191)+SUM(B190:B191)/6*52*(10/1000)</f>
        <v>6.52</v>
      </c>
      <c r="C326" s="77"/>
      <c r="D326" s="77"/>
      <c r="E326" s="76">
        <f>+B325/0.2+1</f>
        <v>12.200000000000001</v>
      </c>
      <c r="F326" s="87">
        <f>PRODUCT(B326:E326)</f>
        <v>79.543999999999997</v>
      </c>
      <c r="G326" s="101">
        <f>+F326</f>
        <v>79.543999999999997</v>
      </c>
      <c r="H326" s="76" t="s">
        <v>63</v>
      </c>
      <c r="I326" s="78">
        <f>+G326*1.1*(100/162)</f>
        <v>54.011358024691354</v>
      </c>
      <c r="J326" s="102"/>
      <c r="L326" s="79"/>
    </row>
    <row r="327" spans="1:12" ht="15">
      <c r="A327" s="521" t="s">
        <v>834</v>
      </c>
      <c r="B327" s="109"/>
      <c r="C327" s="77"/>
      <c r="D327" s="77"/>
      <c r="E327" s="76"/>
      <c r="F327" s="109"/>
      <c r="G327" s="128"/>
      <c r="H327" s="76"/>
      <c r="I327" s="78"/>
      <c r="J327" s="78"/>
      <c r="L327" s="79"/>
    </row>
    <row r="328" spans="1:12" ht="15">
      <c r="A328" s="134" t="s">
        <v>860</v>
      </c>
      <c r="B328" s="522">
        <f>+(0.2+AVERAGE(C192:C193)+0.2)-0.08*2</f>
        <v>2.04</v>
      </c>
      <c r="C328" s="77"/>
      <c r="D328" s="77"/>
      <c r="E328" s="78">
        <f>SUM(B192:B193)/0.2+1</f>
        <v>53.5</v>
      </c>
      <c r="F328" s="87">
        <f>PRODUCT(B328:E328)</f>
        <v>109.14</v>
      </c>
      <c r="G328" s="101">
        <f>+F328</f>
        <v>109.14</v>
      </c>
      <c r="H328" s="76" t="s">
        <v>63</v>
      </c>
      <c r="I328" s="78">
        <f>+G328*1.1*(144/162)</f>
        <v>106.71466666666667</v>
      </c>
      <c r="J328" s="102"/>
      <c r="L328" s="79"/>
    </row>
    <row r="329" spans="1:12" ht="15">
      <c r="A329" s="134" t="s">
        <v>142</v>
      </c>
      <c r="B329" s="522">
        <f>SUM(B192:B193)+SUM(B192:B193)/6*52*(10/1000)</f>
        <v>11.41</v>
      </c>
      <c r="C329" s="77"/>
      <c r="D329" s="77"/>
      <c r="E329" s="76">
        <f>+B328/0.2+1</f>
        <v>11.2</v>
      </c>
      <c r="F329" s="87">
        <f>PRODUCT(B329:E329)</f>
        <v>127.79199999999999</v>
      </c>
      <c r="G329" s="101">
        <f>+F329</f>
        <v>127.79199999999999</v>
      </c>
      <c r="H329" s="76" t="s">
        <v>63</v>
      </c>
      <c r="I329" s="78">
        <f>+G329*1.1*(100/162)</f>
        <v>86.772345679012346</v>
      </c>
      <c r="J329" s="102"/>
      <c r="L329" s="79"/>
    </row>
    <row r="330" spans="1:12" ht="15">
      <c r="A330" s="523"/>
      <c r="B330" s="524"/>
      <c r="C330" s="77"/>
      <c r="D330" s="77"/>
      <c r="E330" s="76"/>
      <c r="F330" s="109"/>
      <c r="G330" s="525"/>
      <c r="H330" s="76"/>
      <c r="I330" s="78"/>
      <c r="J330" s="102"/>
      <c r="L330" s="79"/>
    </row>
    <row r="331" spans="1:12" ht="15">
      <c r="A331" s="97" t="s">
        <v>805</v>
      </c>
      <c r="B331" s="75"/>
      <c r="C331" s="77"/>
      <c r="D331" s="77"/>
      <c r="E331" s="76"/>
      <c r="F331" s="75"/>
      <c r="G331" s="76"/>
      <c r="H331" s="76"/>
      <c r="I331" s="78"/>
      <c r="J331" s="78"/>
      <c r="L331" s="79"/>
    </row>
    <row r="332" spans="1:12" ht="15">
      <c r="A332" s="86"/>
      <c r="B332" s="522"/>
      <c r="C332" s="77"/>
      <c r="D332" s="77"/>
      <c r="E332" s="76"/>
      <c r="F332" s="87"/>
      <c r="G332" s="101"/>
      <c r="H332" s="76"/>
      <c r="I332" s="78"/>
      <c r="J332" s="102"/>
      <c r="L332" s="79"/>
    </row>
    <row r="333" spans="1:12" ht="15">
      <c r="A333" s="521" t="s">
        <v>836</v>
      </c>
      <c r="B333" s="109"/>
      <c r="C333" s="77"/>
      <c r="D333" s="77"/>
      <c r="E333" s="76"/>
      <c r="F333" s="109"/>
      <c r="G333" s="128"/>
      <c r="H333" s="76"/>
      <c r="I333" s="78"/>
      <c r="J333" s="78"/>
      <c r="L333" s="79"/>
    </row>
    <row r="334" spans="1:12" ht="15">
      <c r="A334" s="134" t="s">
        <v>860</v>
      </c>
      <c r="B334" s="522">
        <f>+(0.2+AVERAGE(C197:C198)+0.2)-0.08*2</f>
        <v>1.64</v>
      </c>
      <c r="C334" s="77"/>
      <c r="D334" s="77"/>
      <c r="E334" s="78">
        <f>SUM(B197:B198)/0.2+1</f>
        <v>46.999999999999993</v>
      </c>
      <c r="F334" s="87">
        <f>PRODUCT(B334:E334)</f>
        <v>77.079999999999984</v>
      </c>
      <c r="G334" s="101">
        <f>+F334</f>
        <v>77.079999999999984</v>
      </c>
      <c r="H334" s="76" t="s">
        <v>63</v>
      </c>
      <c r="I334" s="78">
        <f>+G334*1.1*(144/162)</f>
        <v>75.367111111111086</v>
      </c>
      <c r="J334" s="102"/>
      <c r="L334" s="79"/>
    </row>
    <row r="335" spans="1:12" ht="15">
      <c r="A335" s="134" t="s">
        <v>142</v>
      </c>
      <c r="B335" s="522">
        <f>SUM(B197:B198)+SUM(B197:B198)/6*52*(10/1000)</f>
        <v>9.9973333333333319</v>
      </c>
      <c r="C335" s="77"/>
      <c r="D335" s="77"/>
      <c r="E335" s="76">
        <f>+B334/0.2+1</f>
        <v>9.1999999999999993</v>
      </c>
      <c r="F335" s="87">
        <f>PRODUCT(B335:E335)</f>
        <v>91.975466666666648</v>
      </c>
      <c r="G335" s="101">
        <f>+F335</f>
        <v>91.975466666666648</v>
      </c>
      <c r="H335" s="76" t="s">
        <v>63</v>
      </c>
      <c r="I335" s="78">
        <f>+G335*1.1*(100/162)</f>
        <v>62.452477366255131</v>
      </c>
      <c r="J335" s="102"/>
      <c r="L335" s="79"/>
    </row>
    <row r="336" spans="1:12" ht="15">
      <c r="A336" s="521" t="s">
        <v>838</v>
      </c>
      <c r="B336" s="109"/>
      <c r="C336" s="77"/>
      <c r="D336" s="77"/>
      <c r="E336" s="76"/>
      <c r="F336" s="109"/>
      <c r="G336" s="128"/>
      <c r="H336" s="76"/>
      <c r="I336" s="78"/>
      <c r="J336" s="78"/>
      <c r="L336" s="79"/>
    </row>
    <row r="337" spans="1:12" ht="15">
      <c r="A337" s="134" t="s">
        <v>860</v>
      </c>
      <c r="B337" s="522">
        <f>+(0.2+AVERAGE(C199:C200)+0.2)-0.08*2</f>
        <v>1.64</v>
      </c>
      <c r="C337" s="77"/>
      <c r="D337" s="77"/>
      <c r="E337" s="78">
        <f>SUM(B199:B200)/0.2+1</f>
        <v>40</v>
      </c>
      <c r="F337" s="87">
        <f>PRODUCT(B337:E337)</f>
        <v>65.599999999999994</v>
      </c>
      <c r="G337" s="101">
        <f>+F337</f>
        <v>65.599999999999994</v>
      </c>
      <c r="H337" s="76" t="s">
        <v>63</v>
      </c>
      <c r="I337" s="78">
        <f>+G337*1.1*(144/162)</f>
        <v>64.142222222222216</v>
      </c>
      <c r="J337" s="102"/>
      <c r="L337" s="79"/>
    </row>
    <row r="338" spans="1:12" ht="15">
      <c r="A338" s="134" t="s">
        <v>142</v>
      </c>
      <c r="B338" s="522">
        <f>SUM(B199:B200)+SUM(B199:B200)/6*52*(10/1000)</f>
        <v>8.4759999999999991</v>
      </c>
      <c r="C338" s="77"/>
      <c r="D338" s="77"/>
      <c r="E338" s="76">
        <f>+B337/0.2+1</f>
        <v>9.1999999999999993</v>
      </c>
      <c r="F338" s="87">
        <f>PRODUCT(B338:E338)</f>
        <v>77.979199999999992</v>
      </c>
      <c r="G338" s="101">
        <f>+F338</f>
        <v>77.979199999999992</v>
      </c>
      <c r="H338" s="76" t="s">
        <v>63</v>
      </c>
      <c r="I338" s="78">
        <f>+G338*1.1*(100/162)</f>
        <v>52.948839506172831</v>
      </c>
      <c r="J338" s="102"/>
      <c r="L338" s="79"/>
    </row>
    <row r="339" spans="1:12" ht="15">
      <c r="A339" s="521" t="s">
        <v>840</v>
      </c>
      <c r="B339" s="109"/>
      <c r="C339" s="77"/>
      <c r="D339" s="77"/>
      <c r="E339" s="76"/>
      <c r="F339" s="109"/>
      <c r="G339" s="128"/>
      <c r="H339" s="76"/>
      <c r="I339" s="78"/>
      <c r="J339" s="78"/>
      <c r="L339" s="79"/>
    </row>
    <row r="340" spans="1:12" ht="15">
      <c r="A340" s="134" t="s">
        <v>860</v>
      </c>
      <c r="B340" s="522">
        <f>+(0.2+AVERAGE(C201:C202)+0.2)-0.08*2</f>
        <v>1.84</v>
      </c>
      <c r="C340" s="77"/>
      <c r="D340" s="77"/>
      <c r="E340" s="78">
        <f>SUM(B201:B202)/0.2+1</f>
        <v>66.999999999999986</v>
      </c>
      <c r="F340" s="87">
        <f>PRODUCT(B340:E340)</f>
        <v>123.27999999999997</v>
      </c>
      <c r="G340" s="101">
        <f>+F340</f>
        <v>123.27999999999997</v>
      </c>
      <c r="H340" s="76" t="s">
        <v>63</v>
      </c>
      <c r="I340" s="78">
        <f>+G340*1.1*(144/162)</f>
        <v>120.54044444444442</v>
      </c>
      <c r="J340" s="102"/>
      <c r="L340" s="79"/>
    </row>
    <row r="341" spans="1:12" ht="15">
      <c r="A341" s="134" t="s">
        <v>142</v>
      </c>
      <c r="B341" s="522">
        <f>SUM(B201:B202)+SUM(B204:B205)/6*52*(10/1000)</f>
        <v>13.2</v>
      </c>
      <c r="C341" s="77"/>
      <c r="D341" s="77"/>
      <c r="E341" s="76">
        <f>+B340/0.2+1</f>
        <v>10.199999999999999</v>
      </c>
      <c r="F341" s="87">
        <f>PRODUCT(B341:E341)</f>
        <v>134.63999999999999</v>
      </c>
      <c r="G341" s="101">
        <f>+F341</f>
        <v>134.63999999999999</v>
      </c>
      <c r="H341" s="76" t="s">
        <v>63</v>
      </c>
      <c r="I341" s="78">
        <f>+G341*1.1*(100/162)</f>
        <v>91.422222222222203</v>
      </c>
      <c r="J341" s="102"/>
      <c r="L341" s="79"/>
    </row>
    <row r="342" spans="1:12" ht="15">
      <c r="A342" s="86"/>
      <c r="B342" s="522"/>
      <c r="C342" s="77"/>
      <c r="D342" s="77"/>
      <c r="E342" s="76"/>
      <c r="F342" s="87"/>
      <c r="G342" s="101"/>
      <c r="H342" s="76"/>
      <c r="I342" s="78"/>
      <c r="J342" s="102"/>
      <c r="L342" s="79">
        <f>30.2-17</f>
        <v>13.2</v>
      </c>
    </row>
    <row r="343" spans="1:12" ht="15">
      <c r="A343" s="97" t="s">
        <v>811</v>
      </c>
      <c r="B343" s="75"/>
      <c r="C343" s="77"/>
      <c r="D343" s="77"/>
      <c r="E343" s="76"/>
      <c r="F343" s="75"/>
      <c r="G343" s="76"/>
      <c r="H343" s="76"/>
      <c r="I343" s="78"/>
      <c r="J343" s="78"/>
      <c r="L343" s="79"/>
    </row>
    <row r="344" spans="1:12" ht="15">
      <c r="A344" s="86"/>
      <c r="B344" s="522"/>
      <c r="C344" s="77"/>
      <c r="D344" s="77"/>
      <c r="E344" s="76"/>
      <c r="F344" s="87"/>
      <c r="G344" s="101"/>
      <c r="H344" s="76"/>
      <c r="I344" s="78"/>
      <c r="J344" s="102"/>
      <c r="L344" s="79"/>
    </row>
    <row r="345" spans="1:12" ht="15">
      <c r="A345" s="521" t="s">
        <v>842</v>
      </c>
      <c r="B345" s="109"/>
      <c r="C345" s="77"/>
      <c r="D345" s="77"/>
      <c r="E345" s="76"/>
      <c r="F345" s="109"/>
      <c r="G345" s="128"/>
      <c r="H345" s="76"/>
      <c r="I345" s="78"/>
      <c r="J345" s="78"/>
      <c r="L345" s="79"/>
    </row>
    <row r="346" spans="1:12" ht="15">
      <c r="A346" s="134" t="s">
        <v>860</v>
      </c>
      <c r="B346" s="522">
        <f>+(0.2+AVERAGE(C206:C207)+0.2)-0.08*2</f>
        <v>1.84</v>
      </c>
      <c r="C346" s="77"/>
      <c r="D346" s="77"/>
      <c r="E346" s="78">
        <f>SUM(B206:B207)/0.2+1</f>
        <v>43.999999999999993</v>
      </c>
      <c r="F346" s="87">
        <f>PRODUCT(B346:E346)</f>
        <v>80.959999999999994</v>
      </c>
      <c r="G346" s="101">
        <f>+F346</f>
        <v>80.959999999999994</v>
      </c>
      <c r="H346" s="76" t="s">
        <v>63</v>
      </c>
      <c r="I346" s="78">
        <f>+G346*1.1*(144/162)</f>
        <v>79.160888888888877</v>
      </c>
      <c r="J346" s="102"/>
      <c r="L346" s="79"/>
    </row>
    <row r="347" spans="1:12" ht="15">
      <c r="A347" s="134" t="s">
        <v>142</v>
      </c>
      <c r="B347" s="522">
        <f>SUM(B206:B207)+SUM(B206:B207)/6*52*(10/1000)</f>
        <v>9.3453333333333326</v>
      </c>
      <c r="C347" s="77"/>
      <c r="D347" s="77"/>
      <c r="E347" s="76">
        <f>+B346/0.2+1</f>
        <v>10.199999999999999</v>
      </c>
      <c r="F347" s="87">
        <f>PRODUCT(B347:E347)</f>
        <v>95.322399999999988</v>
      </c>
      <c r="G347" s="101">
        <f>+F347</f>
        <v>95.322399999999988</v>
      </c>
      <c r="H347" s="76" t="s">
        <v>63</v>
      </c>
      <c r="I347" s="78">
        <f>+G347*1.1*(100/162)</f>
        <v>64.725086419753083</v>
      </c>
      <c r="J347" s="102"/>
      <c r="L347" s="79"/>
    </row>
    <row r="348" spans="1:12" ht="15">
      <c r="A348" s="521" t="s">
        <v>844</v>
      </c>
      <c r="B348" s="109"/>
      <c r="C348" s="77"/>
      <c r="D348" s="77"/>
      <c r="E348" s="76"/>
      <c r="F348" s="109"/>
      <c r="G348" s="128"/>
      <c r="H348" s="76"/>
      <c r="I348" s="78"/>
      <c r="J348" s="78"/>
      <c r="L348" s="79"/>
    </row>
    <row r="349" spans="1:12" ht="15">
      <c r="A349" s="134" t="s">
        <v>860</v>
      </c>
      <c r="B349" s="522">
        <f>+(0.2+AVERAGE(C208:C209)+0.2)-0.08*2</f>
        <v>2.04</v>
      </c>
      <c r="C349" s="77"/>
      <c r="D349" s="77"/>
      <c r="E349" s="78">
        <f>SUM(B208:B209)/0.2+1</f>
        <v>56</v>
      </c>
      <c r="F349" s="87">
        <f>PRODUCT(B349:E349)</f>
        <v>114.24000000000001</v>
      </c>
      <c r="G349" s="101">
        <f>+F349</f>
        <v>114.24000000000001</v>
      </c>
      <c r="H349" s="76" t="s">
        <v>63</v>
      </c>
      <c r="I349" s="78">
        <f>+G349*1.1*(144/162)</f>
        <v>111.70133333333334</v>
      </c>
      <c r="J349" s="102"/>
      <c r="L349" s="79"/>
    </row>
    <row r="350" spans="1:12" ht="15">
      <c r="A350" s="134" t="s">
        <v>142</v>
      </c>
      <c r="B350" s="522">
        <f>SUM(B208:B209)+SUM(B208:B209)/6*52*(10/1000)</f>
        <v>11.953333333333333</v>
      </c>
      <c r="C350" s="77"/>
      <c r="D350" s="77"/>
      <c r="E350" s="76">
        <f>+B349/0.2+1</f>
        <v>11.2</v>
      </c>
      <c r="F350" s="87">
        <f>PRODUCT(B350:E350)</f>
        <v>133.87733333333333</v>
      </c>
      <c r="G350" s="101">
        <f>+F350</f>
        <v>133.87733333333333</v>
      </c>
      <c r="H350" s="76" t="s">
        <v>63</v>
      </c>
      <c r="I350" s="78">
        <f>+G350*1.1*(100/162)</f>
        <v>90.904362139917694</v>
      </c>
      <c r="J350" s="102"/>
      <c r="L350" s="79"/>
    </row>
    <row r="351" spans="1:12" ht="15">
      <c r="A351" s="521" t="s">
        <v>846</v>
      </c>
      <c r="B351" s="109"/>
      <c r="C351" s="77"/>
      <c r="D351" s="77"/>
      <c r="E351" s="76"/>
      <c r="F351" s="109"/>
      <c r="G351" s="128"/>
      <c r="H351" s="76"/>
      <c r="I351" s="78"/>
      <c r="J351" s="78"/>
      <c r="L351" s="79"/>
    </row>
    <row r="352" spans="1:12" ht="15">
      <c r="A352" s="134" t="s">
        <v>860</v>
      </c>
      <c r="B352" s="522">
        <f>+(0.2+AVERAGE(C210:C211)+0.2)-0.08*2</f>
        <v>2.2400000000000002</v>
      </c>
      <c r="C352" s="77"/>
      <c r="D352" s="77"/>
      <c r="E352" s="78">
        <f>SUM(B210:B211)/0.2+1</f>
        <v>46</v>
      </c>
      <c r="F352" s="87">
        <f>PRODUCT(B352:E352)</f>
        <v>103.04</v>
      </c>
      <c r="G352" s="101">
        <f>+F352</f>
        <v>103.04</v>
      </c>
      <c r="H352" s="76" t="s">
        <v>63</v>
      </c>
      <c r="I352" s="78">
        <f>+G352*1.1*(144/162)</f>
        <v>100.75022222222223</v>
      </c>
      <c r="J352" s="102"/>
      <c r="L352" s="79"/>
    </row>
    <row r="353" spans="1:12" ht="15">
      <c r="A353" s="134" t="s">
        <v>142</v>
      </c>
      <c r="B353" s="522">
        <f>SUM(B210:B211)+SUM(B214:B215)/6*52*(10/1000)</f>
        <v>10.776666666666667</v>
      </c>
      <c r="C353" s="77"/>
      <c r="D353" s="77"/>
      <c r="E353" s="76">
        <f>+B352/0.2+1</f>
        <v>12.200000000000001</v>
      </c>
      <c r="F353" s="87">
        <f>PRODUCT(B353:E353)</f>
        <v>131.47533333333334</v>
      </c>
      <c r="G353" s="101">
        <f>+F353</f>
        <v>131.47533333333334</v>
      </c>
      <c r="H353" s="76" t="s">
        <v>63</v>
      </c>
      <c r="I353" s="78">
        <f>+G353*1.1*(100/162)</f>
        <v>89.273374485596719</v>
      </c>
      <c r="J353" s="102"/>
      <c r="L353" s="79"/>
    </row>
    <row r="354" spans="1:12" ht="15">
      <c r="A354" s="521" t="s">
        <v>848</v>
      </c>
      <c r="B354" s="109"/>
      <c r="C354" s="77"/>
      <c r="D354" s="77"/>
      <c r="E354" s="76"/>
      <c r="F354" s="109"/>
      <c r="G354" s="128"/>
      <c r="H354" s="76"/>
      <c r="I354" s="78"/>
      <c r="J354" s="78"/>
      <c r="L354" s="79"/>
    </row>
    <row r="355" spans="1:12" ht="15">
      <c r="A355" s="134" t="s">
        <v>860</v>
      </c>
      <c r="B355" s="522">
        <f>+(0.2+AVERAGE(C212:C213)+0.2)-0.08*2</f>
        <v>2.2400000000000002</v>
      </c>
      <c r="C355" s="77"/>
      <c r="D355" s="77"/>
      <c r="E355" s="78">
        <f>SUM(B212:B213)/0.2+1</f>
        <v>62.25</v>
      </c>
      <c r="F355" s="87">
        <f>PRODUCT(B355:E355)</f>
        <v>139.44000000000003</v>
      </c>
      <c r="G355" s="101">
        <f>+F355</f>
        <v>139.44000000000003</v>
      </c>
      <c r="H355" s="76" t="s">
        <v>63</v>
      </c>
      <c r="I355" s="78">
        <f>+G355*1.1*(144/162)</f>
        <v>136.34133333333335</v>
      </c>
      <c r="J355" s="102"/>
      <c r="L355" s="79"/>
    </row>
    <row r="356" spans="1:12" ht="15">
      <c r="A356" s="134" t="s">
        <v>142</v>
      </c>
      <c r="B356" s="522">
        <f>SUM(B212:B213)+SUM(B212:B213)/6*52*(10/1000)</f>
        <v>13.311666666666667</v>
      </c>
      <c r="C356" s="77"/>
      <c r="D356" s="77"/>
      <c r="E356" s="76">
        <f>+B355/0.2+1</f>
        <v>12.200000000000001</v>
      </c>
      <c r="F356" s="87">
        <f>PRODUCT(B356:E356)</f>
        <v>162.40233333333336</v>
      </c>
      <c r="G356" s="101">
        <f>+F356</f>
        <v>162.40233333333336</v>
      </c>
      <c r="H356" s="76" t="s">
        <v>63</v>
      </c>
      <c r="I356" s="78">
        <f>+G356*1.1*(100/162)</f>
        <v>110.27318930041154</v>
      </c>
      <c r="J356" s="102"/>
      <c r="L356" s="79"/>
    </row>
    <row r="357" spans="1:12" ht="15">
      <c r="A357" s="521" t="s">
        <v>850</v>
      </c>
      <c r="B357" s="109"/>
      <c r="C357" s="77"/>
      <c r="D357" s="77"/>
      <c r="E357" s="76"/>
      <c r="F357" s="109"/>
      <c r="G357" s="128"/>
      <c r="H357" s="76"/>
      <c r="I357" s="78"/>
      <c r="J357" s="78"/>
      <c r="L357" s="79"/>
    </row>
    <row r="358" spans="1:12" ht="15">
      <c r="A358" s="134" t="s">
        <v>860</v>
      </c>
      <c r="B358" s="522">
        <f>+(0.2+AVERAGE(C214:C215)+0.2)-0.08*2</f>
        <v>2.04</v>
      </c>
      <c r="C358" s="77"/>
      <c r="D358" s="77"/>
      <c r="E358" s="78">
        <f>SUM(B214:B215)/0.2+1</f>
        <v>103.5</v>
      </c>
      <c r="F358" s="87">
        <f>PRODUCT(B358:E358)</f>
        <v>211.14000000000001</v>
      </c>
      <c r="G358" s="101">
        <f>+F358</f>
        <v>211.14000000000001</v>
      </c>
      <c r="H358" s="76" t="s">
        <v>63</v>
      </c>
      <c r="I358" s="78">
        <f>+G358*1.1*(144/162)</f>
        <v>206.44800000000004</v>
      </c>
      <c r="J358" s="102"/>
      <c r="L358" s="79"/>
    </row>
    <row r="359" spans="1:12" ht="15">
      <c r="A359" s="134" t="s">
        <v>142</v>
      </c>
      <c r="B359" s="522">
        <f>SUM(B214:B215)+SUM(B214:B215)/6*52*(10/1000)</f>
        <v>22.276666666666667</v>
      </c>
      <c r="C359" s="77"/>
      <c r="D359" s="77"/>
      <c r="E359" s="76">
        <f>+B358/0.2+1</f>
        <v>11.2</v>
      </c>
      <c r="F359" s="87">
        <f>PRODUCT(B359:E359)</f>
        <v>249.49866666666665</v>
      </c>
      <c r="G359" s="101">
        <f>+F359</f>
        <v>249.49866666666665</v>
      </c>
      <c r="H359" s="76" t="s">
        <v>63</v>
      </c>
      <c r="I359" s="78">
        <f>+G359*1.1*(100/162)</f>
        <v>169.41267489711933</v>
      </c>
      <c r="J359" s="102">
        <f>+SUM(I311:I359)</f>
        <v>2340.4357777777777</v>
      </c>
      <c r="L359" s="79"/>
    </row>
    <row r="360" spans="1:12" ht="15">
      <c r="A360" s="134"/>
      <c r="B360" s="522"/>
      <c r="C360" s="77"/>
      <c r="D360" s="77"/>
      <c r="E360" s="76"/>
      <c r="F360" s="87"/>
      <c r="G360" s="101"/>
      <c r="H360" s="76"/>
      <c r="I360" s="78"/>
      <c r="J360" s="102"/>
      <c r="L360" s="79"/>
    </row>
    <row r="361" spans="1:12" ht="15">
      <c r="A361" s="134"/>
      <c r="B361" s="522"/>
      <c r="C361" s="77"/>
      <c r="D361" s="77"/>
      <c r="E361" s="76"/>
      <c r="F361" s="87">
        <f>PRODUCT(B361:E361)</f>
        <v>0</v>
      </c>
      <c r="G361" s="101">
        <f>+F361</f>
        <v>0</v>
      </c>
      <c r="H361" s="76"/>
      <c r="I361" s="78">
        <f>+G361*1.1*(100/162)</f>
        <v>0</v>
      </c>
      <c r="J361" s="102"/>
      <c r="L361" s="79"/>
    </row>
    <row r="362" spans="1:12" ht="15">
      <c r="A362" s="531" t="s">
        <v>861</v>
      </c>
      <c r="B362" s="522"/>
      <c r="C362" s="77"/>
      <c r="D362" s="77"/>
      <c r="E362" s="76"/>
      <c r="F362" s="87"/>
      <c r="G362" s="101"/>
      <c r="H362" s="76"/>
      <c r="I362" s="78"/>
      <c r="J362" s="102"/>
      <c r="L362" s="79"/>
    </row>
    <row r="363" spans="1:12" ht="15">
      <c r="A363" s="97" t="s">
        <v>795</v>
      </c>
      <c r="B363" s="75"/>
      <c r="C363" s="77"/>
      <c r="D363" s="77"/>
      <c r="E363" s="76"/>
      <c r="F363" s="75"/>
      <c r="G363" s="76"/>
      <c r="H363" s="76"/>
      <c r="I363" s="78"/>
      <c r="J363" s="78"/>
      <c r="L363" s="79"/>
    </row>
    <row r="364" spans="1:12" ht="15">
      <c r="A364" s="521" t="s">
        <v>796</v>
      </c>
      <c r="B364" s="109"/>
      <c r="C364" s="77"/>
      <c r="D364" s="77"/>
      <c r="E364" s="76"/>
      <c r="F364" s="109"/>
      <c r="G364" s="128"/>
      <c r="H364" s="76"/>
      <c r="I364" s="78"/>
      <c r="J364" s="78"/>
      <c r="L364" s="79"/>
    </row>
    <row r="365" spans="1:12" ht="15">
      <c r="A365" s="134"/>
      <c r="B365" s="522">
        <f>2*(B293+C180)</f>
        <v>41.2</v>
      </c>
      <c r="C365" s="77"/>
      <c r="D365" s="77">
        <v>0.25</v>
      </c>
      <c r="E365" s="78"/>
      <c r="F365" s="87">
        <f>PRODUCT(B365:E365)</f>
        <v>10.3</v>
      </c>
      <c r="G365" s="101">
        <f>F365</f>
        <v>10.3</v>
      </c>
      <c r="H365" s="76" t="s">
        <v>393</v>
      </c>
      <c r="I365" s="78">
        <f>G365*1.1</f>
        <v>11.330000000000002</v>
      </c>
      <c r="J365" s="102"/>
      <c r="L365" s="79"/>
    </row>
    <row r="366" spans="1:12" ht="15">
      <c r="A366" s="86"/>
      <c r="B366" s="522"/>
      <c r="C366" s="77"/>
      <c r="D366" s="77"/>
      <c r="E366" s="76"/>
      <c r="F366" s="87"/>
      <c r="G366" s="101"/>
      <c r="H366" s="76"/>
      <c r="I366" s="78"/>
      <c r="J366" s="102"/>
      <c r="L366" s="79"/>
    </row>
    <row r="367" spans="1:12" ht="15">
      <c r="A367" s="97" t="s">
        <v>799</v>
      </c>
      <c r="B367" s="75"/>
      <c r="C367" s="77"/>
      <c r="D367" s="77"/>
      <c r="E367" s="76"/>
      <c r="F367" s="75"/>
      <c r="G367" s="76"/>
      <c r="H367" s="76"/>
      <c r="I367" s="78"/>
      <c r="J367" s="78"/>
      <c r="L367" s="79"/>
    </row>
    <row r="368" spans="1:12" ht="15">
      <c r="A368" s="521" t="s">
        <v>800</v>
      </c>
      <c r="B368" s="109"/>
      <c r="C368" s="77"/>
      <c r="D368" s="77"/>
      <c r="E368" s="76"/>
      <c r="F368" s="109"/>
      <c r="G368" s="128"/>
      <c r="H368" s="76"/>
      <c r="I368" s="78"/>
      <c r="J368" s="78"/>
      <c r="L368" s="79"/>
    </row>
    <row r="369" spans="1:12" ht="15">
      <c r="A369" s="134"/>
      <c r="B369" s="522">
        <f>2*(B280+C188)</f>
        <v>43</v>
      </c>
      <c r="C369" s="77"/>
      <c r="D369" s="77">
        <v>0.25</v>
      </c>
      <c r="E369" s="78"/>
      <c r="F369" s="87">
        <f>PRODUCT(B369:E369)</f>
        <v>10.75</v>
      </c>
      <c r="G369" s="101">
        <f>F369</f>
        <v>10.75</v>
      </c>
      <c r="H369" s="76" t="s">
        <v>393</v>
      </c>
      <c r="I369" s="78">
        <f>G369*1.1</f>
        <v>11.825000000000001</v>
      </c>
      <c r="J369" s="102"/>
      <c r="L369" s="79"/>
    </row>
    <row r="370" spans="1:12" ht="15">
      <c r="A370" s="523"/>
      <c r="B370" s="524"/>
      <c r="C370" s="77"/>
      <c r="D370" s="77"/>
      <c r="E370" s="76"/>
      <c r="F370" s="109"/>
      <c r="G370" s="525"/>
      <c r="H370" s="76"/>
      <c r="I370" s="78"/>
      <c r="J370" s="102"/>
      <c r="L370" s="79"/>
    </row>
    <row r="371" spans="1:12" ht="15">
      <c r="A371" s="97" t="s">
        <v>805</v>
      </c>
      <c r="B371" s="75"/>
      <c r="C371" s="77"/>
      <c r="D371" s="77"/>
      <c r="E371" s="76"/>
      <c r="F371" s="75"/>
      <c r="G371" s="76"/>
      <c r="H371" s="76"/>
      <c r="I371" s="78"/>
      <c r="J371" s="78"/>
      <c r="L371" s="79"/>
    </row>
    <row r="372" spans="1:12" ht="15">
      <c r="A372" s="521" t="s">
        <v>806</v>
      </c>
      <c r="B372" s="109"/>
      <c r="C372" s="77"/>
      <c r="D372" s="77"/>
      <c r="E372" s="76"/>
      <c r="F372" s="109"/>
      <c r="G372" s="128"/>
      <c r="H372" s="76"/>
      <c r="I372" s="78"/>
      <c r="J372" s="78"/>
      <c r="L372" s="79"/>
    </row>
    <row r="373" spans="1:12" ht="15">
      <c r="A373" s="134"/>
      <c r="B373" s="522">
        <f>2*(B301+C197)</f>
        <v>63.199999999999996</v>
      </c>
      <c r="C373" s="77"/>
      <c r="D373" s="77">
        <v>0.25</v>
      </c>
      <c r="E373" s="78"/>
      <c r="F373" s="87">
        <f>PRODUCT(B373:E373)</f>
        <v>15.799999999999999</v>
      </c>
      <c r="G373" s="101">
        <f>F373</f>
        <v>15.799999999999999</v>
      </c>
      <c r="H373" s="76" t="s">
        <v>393</v>
      </c>
      <c r="I373" s="78">
        <f>G373*1.1</f>
        <v>17.38</v>
      </c>
      <c r="J373" s="102"/>
      <c r="L373" s="79"/>
    </row>
    <row r="374" spans="1:12" ht="15">
      <c r="A374" s="86"/>
      <c r="B374" s="522"/>
      <c r="C374" s="77"/>
      <c r="D374" s="77"/>
      <c r="E374" s="76"/>
      <c r="F374" s="87"/>
      <c r="G374" s="101"/>
      <c r="H374" s="76"/>
      <c r="I374" s="78"/>
      <c r="J374" s="102"/>
      <c r="L374" s="79">
        <f>30.2-17</f>
        <v>13.2</v>
      </c>
    </row>
    <row r="375" spans="1:12" ht="15">
      <c r="A375" s="97" t="s">
        <v>811</v>
      </c>
      <c r="B375" s="75"/>
      <c r="C375" s="77"/>
      <c r="D375" s="77"/>
      <c r="E375" s="76"/>
      <c r="F375" s="75"/>
      <c r="G375" s="76"/>
      <c r="H375" s="76"/>
      <c r="I375" s="78"/>
      <c r="J375" s="78"/>
      <c r="L375" s="79"/>
    </row>
    <row r="376" spans="1:12" ht="15">
      <c r="A376" s="521" t="s">
        <v>812</v>
      </c>
      <c r="B376" s="109"/>
      <c r="C376" s="77"/>
      <c r="D376" s="77"/>
      <c r="E376" s="76"/>
      <c r="F376" s="109"/>
      <c r="G376" s="128"/>
      <c r="H376" s="76"/>
      <c r="I376" s="78"/>
      <c r="J376" s="78"/>
      <c r="L376" s="79"/>
    </row>
    <row r="377" spans="1:12" ht="15">
      <c r="A377" s="134"/>
      <c r="B377" s="522">
        <f>2*(B305+AVERAGE(C206:C214))</f>
        <v>126.38000000000001</v>
      </c>
      <c r="C377" s="77"/>
      <c r="D377" s="77">
        <v>0.25</v>
      </c>
      <c r="E377" s="78"/>
      <c r="F377" s="87">
        <f>PRODUCT(B377:E377)</f>
        <v>31.595000000000002</v>
      </c>
      <c r="G377" s="101">
        <f>F377</f>
        <v>31.595000000000002</v>
      </c>
      <c r="H377" s="76" t="s">
        <v>393</v>
      </c>
      <c r="I377" s="78">
        <f>G377*1.1</f>
        <v>34.754500000000007</v>
      </c>
      <c r="J377" s="102">
        <f>+SUM(I365:I377)</f>
        <v>75.289500000000004</v>
      </c>
      <c r="L377" s="79"/>
    </row>
    <row r="378" spans="1:12" ht="15">
      <c r="A378" s="86"/>
      <c r="B378" s="522"/>
      <c r="C378" s="77"/>
      <c r="D378" s="77"/>
      <c r="E378" s="76"/>
      <c r="F378" s="522"/>
      <c r="G378" s="101"/>
      <c r="H378" s="76"/>
      <c r="I378" s="78"/>
      <c r="J378" s="78"/>
      <c r="L378" s="79"/>
    </row>
    <row r="379" spans="1:12" ht="15">
      <c r="A379" s="820" t="s">
        <v>862</v>
      </c>
      <c r="B379" s="821"/>
      <c r="C379" s="821"/>
      <c r="D379" s="821"/>
      <c r="E379" s="821"/>
      <c r="F379" s="821"/>
      <c r="G379" s="821"/>
      <c r="H379" s="821"/>
      <c r="I379" s="821"/>
      <c r="J379" s="822"/>
      <c r="L379" s="79"/>
    </row>
    <row r="380" spans="1:12" ht="15">
      <c r="A380" s="97"/>
      <c r="B380" s="75"/>
      <c r="C380" s="77"/>
      <c r="D380" s="77"/>
      <c r="E380" s="76"/>
      <c r="F380" s="75"/>
      <c r="G380" s="76"/>
      <c r="H380" s="76"/>
      <c r="I380" s="78"/>
      <c r="J380" s="78"/>
      <c r="L380" s="79"/>
    </row>
    <row r="381" spans="1:12" ht="15">
      <c r="A381" s="86" t="s">
        <v>863</v>
      </c>
      <c r="B381" s="522">
        <v>30</v>
      </c>
      <c r="C381" s="77">
        <v>0.8</v>
      </c>
      <c r="D381" s="77">
        <v>0.15</v>
      </c>
      <c r="E381" s="76"/>
      <c r="F381" s="87">
        <f>PRODUCT(B381:E381)</f>
        <v>3.5999999999999996</v>
      </c>
      <c r="G381" s="101">
        <f>F381</f>
        <v>3.5999999999999996</v>
      </c>
      <c r="H381" s="76" t="s">
        <v>100</v>
      </c>
      <c r="I381" s="78">
        <f>G381*1.1</f>
        <v>3.96</v>
      </c>
      <c r="J381" s="102">
        <f>I381</f>
        <v>3.96</v>
      </c>
      <c r="L381" s="79"/>
    </row>
    <row r="382" spans="1:12" ht="15">
      <c r="A382" s="86" t="s">
        <v>861</v>
      </c>
      <c r="B382" s="522">
        <v>30</v>
      </c>
      <c r="C382" s="77"/>
      <c r="D382" s="77">
        <v>0.15</v>
      </c>
      <c r="E382" s="76">
        <v>2</v>
      </c>
      <c r="F382" s="87">
        <f>PRODUCT(B382:E382)</f>
        <v>9</v>
      </c>
      <c r="G382" s="101">
        <f>F382</f>
        <v>9</v>
      </c>
      <c r="H382" s="76" t="s">
        <v>393</v>
      </c>
      <c r="I382" s="78">
        <f>G382*1.1</f>
        <v>9.9</v>
      </c>
      <c r="J382" s="102"/>
      <c r="L382" s="79"/>
    </row>
    <row r="383" spans="1:12" ht="15">
      <c r="A383" s="86"/>
      <c r="B383" s="522"/>
      <c r="C383" s="77">
        <v>0.65</v>
      </c>
      <c r="D383" s="77">
        <v>0.15</v>
      </c>
      <c r="E383" s="76">
        <v>2</v>
      </c>
      <c r="F383" s="87">
        <f>PRODUCT(B383:E383)</f>
        <v>0.19500000000000001</v>
      </c>
      <c r="G383" s="101">
        <f>F383</f>
        <v>0.19500000000000001</v>
      </c>
      <c r="H383" s="76" t="s">
        <v>393</v>
      </c>
      <c r="I383" s="78">
        <f>G383*1.1</f>
        <v>0.21450000000000002</v>
      </c>
      <c r="J383" s="102">
        <f>+SUM(I382:I383)</f>
        <v>10.1145</v>
      </c>
      <c r="L383" s="79"/>
    </row>
    <row r="384" spans="1:12" ht="15">
      <c r="A384" s="86" t="s">
        <v>864</v>
      </c>
      <c r="B384" s="522"/>
      <c r="C384" s="77"/>
      <c r="D384" s="77"/>
      <c r="E384" s="76"/>
      <c r="F384" s="87"/>
      <c r="G384" s="101"/>
      <c r="H384" s="76"/>
      <c r="I384" s="78"/>
      <c r="J384" s="102"/>
      <c r="L384" s="79"/>
    </row>
    <row r="385" spans="1:14" ht="15">
      <c r="A385" s="532" t="s">
        <v>141</v>
      </c>
      <c r="B385" s="533">
        <f>0.8+0.15+0.15-2*0.08</f>
        <v>0.94000000000000006</v>
      </c>
      <c r="C385" s="534"/>
      <c r="D385" s="534"/>
      <c r="E385" s="535">
        <f>(B381/0.125)*2</f>
        <v>480</v>
      </c>
      <c r="F385" s="87">
        <f>PRODUCT(B385:E385)</f>
        <v>451.20000000000005</v>
      </c>
      <c r="G385" s="101">
        <f>+F385</f>
        <v>451.20000000000005</v>
      </c>
      <c r="H385" s="76" t="s">
        <v>63</v>
      </c>
      <c r="I385" s="78">
        <f>+G385*1.1*(100/162)</f>
        <v>306.37037037037044</v>
      </c>
      <c r="J385" s="536"/>
      <c r="L385" s="79"/>
    </row>
    <row r="386" spans="1:14" ht="15">
      <c r="A386" s="532" t="s">
        <v>865</v>
      </c>
      <c r="B386" s="533">
        <f>+B381+B381/6*52*(0.01)</f>
        <v>32.6</v>
      </c>
      <c r="C386" s="534"/>
      <c r="D386" s="534"/>
      <c r="E386" s="537">
        <f>(B385/0.2+1)*2</f>
        <v>11.4</v>
      </c>
      <c r="F386" s="87">
        <f>PRODUCT(B386:E386)</f>
        <v>371.64000000000004</v>
      </c>
      <c r="G386" s="101">
        <f>+F386</f>
        <v>371.64000000000004</v>
      </c>
      <c r="H386" s="76" t="s">
        <v>63</v>
      </c>
      <c r="I386" s="78">
        <f>+G386*1.1*(100/162)</f>
        <v>252.3481481481482</v>
      </c>
      <c r="J386" s="536">
        <f>+SUM(I385:I386)</f>
        <v>558.71851851851864</v>
      </c>
      <c r="L386" s="79"/>
      <c r="N386" s="79"/>
    </row>
    <row r="388" spans="1:14" ht="15">
      <c r="A388" s="820" t="s">
        <v>866</v>
      </c>
      <c r="B388" s="821"/>
      <c r="C388" s="821"/>
      <c r="D388" s="821"/>
      <c r="E388" s="821"/>
      <c r="F388" s="821"/>
      <c r="G388" s="821"/>
      <c r="H388" s="821"/>
      <c r="I388" s="821"/>
      <c r="J388" s="822"/>
      <c r="L388" s="79"/>
    </row>
    <row r="389" spans="1:14" ht="15">
      <c r="A389" s="97"/>
      <c r="B389" s="75"/>
      <c r="C389" s="77"/>
      <c r="D389" s="77"/>
      <c r="E389" s="76"/>
      <c r="F389" s="75"/>
      <c r="G389" s="76"/>
      <c r="H389" s="76"/>
      <c r="I389" s="78"/>
      <c r="J389" s="78"/>
      <c r="L389" s="79"/>
    </row>
    <row r="390" spans="1:14" ht="15">
      <c r="A390" s="86" t="s">
        <v>866</v>
      </c>
      <c r="B390" s="522"/>
      <c r="C390" s="77"/>
      <c r="D390" s="77"/>
      <c r="E390" s="76"/>
      <c r="F390" s="87"/>
      <c r="G390" s="101">
        <v>69</v>
      </c>
      <c r="H390" s="76" t="s">
        <v>5</v>
      </c>
      <c r="I390" s="78">
        <f>G390*1.1</f>
        <v>75.900000000000006</v>
      </c>
      <c r="J390" s="102">
        <f>I390</f>
        <v>75.900000000000006</v>
      </c>
      <c r="L390" s="79"/>
    </row>
  </sheetData>
  <mergeCells count="18">
    <mergeCell ref="A13:F13"/>
    <mergeCell ref="A1:J1"/>
    <mergeCell ref="A3:J3"/>
    <mergeCell ref="A4:F4"/>
    <mergeCell ref="A11:J11"/>
    <mergeCell ref="A12:F12"/>
    <mergeCell ref="A388:J388"/>
    <mergeCell ref="A14:F14"/>
    <mergeCell ref="A45:F45"/>
    <mergeCell ref="A47:F47"/>
    <mergeCell ref="A48:F48"/>
    <mergeCell ref="A49:F49"/>
    <mergeCell ref="A81:J81"/>
    <mergeCell ref="A85:J85"/>
    <mergeCell ref="A87:J87"/>
    <mergeCell ref="A88:J88"/>
    <mergeCell ref="A92:J92"/>
    <mergeCell ref="A379:J379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683C0-21DC-4399-92F8-2BAC4D5CC8AD}">
  <sheetPr>
    <tabColor rgb="FF00B050"/>
  </sheetPr>
  <dimension ref="A1:L111"/>
  <sheetViews>
    <sheetView view="pageBreakPreview" zoomScale="90" zoomScaleNormal="100" zoomScaleSheetLayoutView="90" workbookViewId="0">
      <pane ySplit="2" topLeftCell="A6" activePane="bottomLeft" state="frozen"/>
      <selection activeCell="I8" sqref="I8"/>
      <selection pane="bottomLeft" activeCell="I8" sqref="I8"/>
    </sheetView>
  </sheetViews>
  <sheetFormatPr defaultColWidth="9.109375" defaultRowHeight="13.2"/>
  <cols>
    <col min="1" max="1" width="26.5546875" style="67" customWidth="1"/>
    <col min="2" max="5" width="10.6640625" style="67" customWidth="1"/>
    <col min="6" max="7" width="12.6640625" style="67" customWidth="1"/>
    <col min="8" max="8" width="5.5546875" style="67" customWidth="1"/>
    <col min="9" max="10" width="12.6640625" style="67" customWidth="1"/>
    <col min="11" max="11" width="10.33203125" style="67" bestFit="1" customWidth="1"/>
    <col min="12" max="12" width="10" style="67" bestFit="1" customWidth="1"/>
    <col min="13" max="15" width="9.109375" style="67"/>
    <col min="16" max="16" width="11.109375" style="67" bestFit="1" customWidth="1"/>
    <col min="17" max="16384" width="9.109375" style="67"/>
  </cols>
  <sheetData>
    <row r="1" spans="1:12" ht="20.100000000000001" customHeight="1">
      <c r="A1" s="739" t="s">
        <v>254</v>
      </c>
      <c r="B1" s="740"/>
      <c r="C1" s="740"/>
      <c r="D1" s="740"/>
      <c r="E1" s="740"/>
      <c r="F1" s="740"/>
      <c r="G1" s="740"/>
      <c r="H1" s="740"/>
      <c r="I1" s="740"/>
      <c r="J1" s="741"/>
    </row>
    <row r="2" spans="1:12" s="70" customFormat="1" ht="30" customHeight="1">
      <c r="A2" s="68"/>
      <c r="B2" s="69" t="s">
        <v>90</v>
      </c>
      <c r="C2" s="69" t="s">
        <v>91</v>
      </c>
      <c r="D2" s="69" t="s">
        <v>6</v>
      </c>
      <c r="E2" s="69" t="s">
        <v>92</v>
      </c>
      <c r="F2" s="69" t="s">
        <v>93</v>
      </c>
      <c r="G2" s="69" t="s">
        <v>94</v>
      </c>
      <c r="H2" s="69" t="s">
        <v>95</v>
      </c>
      <c r="I2" s="69" t="s">
        <v>96</v>
      </c>
      <c r="J2" s="69" t="s">
        <v>97</v>
      </c>
      <c r="L2" s="71"/>
    </row>
    <row r="3" spans="1:12" ht="24.9" customHeight="1">
      <c r="A3" s="742" t="s">
        <v>98</v>
      </c>
      <c r="B3" s="743"/>
      <c r="C3" s="743"/>
      <c r="D3" s="743"/>
      <c r="E3" s="743"/>
      <c r="F3" s="743"/>
      <c r="G3" s="743"/>
      <c r="H3" s="743"/>
      <c r="I3" s="743"/>
      <c r="J3" s="744"/>
    </row>
    <row r="4" spans="1:12" ht="15">
      <c r="A4" s="745" t="s">
        <v>99</v>
      </c>
      <c r="B4" s="746"/>
      <c r="C4" s="746"/>
      <c r="D4" s="746"/>
      <c r="E4" s="746"/>
      <c r="F4" s="747"/>
      <c r="G4" s="72"/>
      <c r="H4" s="73"/>
      <c r="I4" s="72"/>
      <c r="J4" s="72"/>
    </row>
    <row r="5" spans="1:12" ht="15">
      <c r="A5" s="74" t="s">
        <v>236</v>
      </c>
      <c r="B5" s="75"/>
      <c r="C5" s="76"/>
      <c r="D5" s="77"/>
      <c r="E5" s="76"/>
      <c r="F5" s="75"/>
      <c r="G5" s="76"/>
      <c r="H5" s="76"/>
      <c r="I5" s="76"/>
      <c r="J5" s="78"/>
      <c r="L5" s="79"/>
    </row>
    <row r="6" spans="1:12" ht="15">
      <c r="A6" s="86"/>
      <c r="B6" s="87"/>
      <c r="C6" s="81"/>
      <c r="D6" s="77"/>
      <c r="E6" s="76"/>
      <c r="F6" s="75"/>
      <c r="G6" s="76"/>
      <c r="H6" s="76"/>
      <c r="I6" s="78"/>
      <c r="J6" s="82"/>
      <c r="L6" s="79"/>
    </row>
    <row r="7" spans="1:12" ht="15">
      <c r="A7" s="86" t="s">
        <v>253</v>
      </c>
      <c r="B7" s="87">
        <f>B26</f>
        <v>83.03</v>
      </c>
      <c r="C7" s="75">
        <f>2+2.88</f>
        <v>4.88</v>
      </c>
      <c r="D7" s="77"/>
      <c r="E7" s="76"/>
      <c r="F7" s="87">
        <f>PRODUCT(B7:E7)</f>
        <v>405.18639999999999</v>
      </c>
      <c r="G7" s="101">
        <f>F7</f>
        <v>405.18639999999999</v>
      </c>
      <c r="H7" s="76"/>
      <c r="I7" s="78">
        <f>G7*1.1</f>
        <v>445.70504000000005</v>
      </c>
      <c r="J7" s="82">
        <f>I7</f>
        <v>445.70504000000005</v>
      </c>
      <c r="L7" s="79"/>
    </row>
    <row r="8" spans="1:12" ht="15">
      <c r="A8" s="86"/>
      <c r="B8" s="87"/>
      <c r="C8" s="75"/>
      <c r="D8" s="77"/>
      <c r="E8" s="76"/>
      <c r="F8" s="75"/>
      <c r="G8" s="76"/>
      <c r="H8" s="76"/>
      <c r="I8" s="78"/>
      <c r="J8" s="82"/>
      <c r="L8" s="79"/>
    </row>
    <row r="9" spans="1:12" ht="15">
      <c r="A9" s="83"/>
      <c r="B9" s="75"/>
      <c r="C9" s="75"/>
      <c r="D9" s="77"/>
      <c r="E9" s="76"/>
      <c r="F9" s="75"/>
      <c r="G9" s="76"/>
      <c r="H9" s="76"/>
      <c r="I9" s="78"/>
      <c r="J9" s="84">
        <f>SUM(J6:J8)</f>
        <v>445.70504000000005</v>
      </c>
      <c r="L9" s="79"/>
    </row>
    <row r="10" spans="1:12" ht="15">
      <c r="A10" s="86"/>
      <c r="B10" s="87"/>
      <c r="C10" s="88"/>
      <c r="D10" s="89"/>
      <c r="E10" s="90"/>
      <c r="F10" s="87"/>
      <c r="G10" s="90"/>
      <c r="H10" s="90"/>
      <c r="I10" s="91"/>
      <c r="J10" s="92"/>
    </row>
    <row r="11" spans="1:12" ht="15">
      <c r="A11" s="742" t="s">
        <v>101</v>
      </c>
      <c r="B11" s="743"/>
      <c r="C11" s="743"/>
      <c r="D11" s="743"/>
      <c r="E11" s="743"/>
      <c r="F11" s="743"/>
      <c r="G11" s="743"/>
      <c r="H11" s="743"/>
      <c r="I11" s="743"/>
      <c r="J11" s="744"/>
    </row>
    <row r="12" spans="1:12" ht="15">
      <c r="A12" s="748" t="s">
        <v>102</v>
      </c>
      <c r="B12" s="749"/>
      <c r="C12" s="749"/>
      <c r="D12" s="749"/>
      <c r="E12" s="749"/>
      <c r="F12" s="750"/>
      <c r="G12" s="72"/>
      <c r="H12" s="73"/>
      <c r="I12" s="73"/>
      <c r="J12" s="72"/>
      <c r="K12" s="93"/>
    </row>
    <row r="13" spans="1:12" ht="15">
      <c r="A13" s="748" t="s">
        <v>103</v>
      </c>
      <c r="B13" s="749"/>
      <c r="C13" s="749"/>
      <c r="D13" s="749"/>
      <c r="E13" s="749"/>
      <c r="F13" s="750"/>
      <c r="G13" s="72"/>
      <c r="H13" s="73"/>
      <c r="I13" s="72"/>
      <c r="J13" s="72"/>
      <c r="L13" s="79"/>
    </row>
    <row r="14" spans="1:12" ht="15">
      <c r="A14" s="748" t="s">
        <v>104</v>
      </c>
      <c r="B14" s="749"/>
      <c r="C14" s="749"/>
      <c r="D14" s="749"/>
      <c r="E14" s="749"/>
      <c r="F14" s="750"/>
      <c r="G14" s="94"/>
      <c r="H14" s="95"/>
      <c r="I14" s="94"/>
      <c r="J14" s="94"/>
      <c r="L14" s="79"/>
    </row>
    <row r="15" spans="1:12" ht="15">
      <c r="A15" s="83" t="s">
        <v>105</v>
      </c>
      <c r="B15" s="75"/>
      <c r="C15" s="75"/>
      <c r="D15" s="77"/>
      <c r="E15" s="76"/>
      <c r="F15" s="75"/>
      <c r="G15" s="76"/>
      <c r="H15" s="76"/>
      <c r="I15" s="78"/>
      <c r="J15" s="215"/>
      <c r="L15" s="79"/>
    </row>
    <row r="16" spans="1:12" ht="15">
      <c r="A16" s="86"/>
      <c r="B16" s="87"/>
      <c r="C16" s="75"/>
      <c r="D16" s="77"/>
      <c r="E16" s="76"/>
      <c r="F16" s="75"/>
      <c r="G16" s="76"/>
      <c r="H16" s="76"/>
      <c r="I16" s="78"/>
      <c r="J16" s="82"/>
      <c r="L16" s="79"/>
    </row>
    <row r="17" spans="1:12" ht="15">
      <c r="A17" s="86"/>
      <c r="B17" s="87"/>
      <c r="C17" s="75"/>
      <c r="D17" s="77"/>
      <c r="E17" s="76"/>
      <c r="F17" s="75"/>
      <c r="G17" s="76"/>
      <c r="H17" s="76"/>
      <c r="I17" s="78"/>
      <c r="J17" s="82"/>
      <c r="L17" s="79"/>
    </row>
    <row r="18" spans="1:12" ht="15">
      <c r="A18" s="86"/>
      <c r="B18" s="87"/>
      <c r="C18" s="75"/>
      <c r="D18" s="77"/>
      <c r="E18" s="76"/>
      <c r="F18" s="75"/>
      <c r="G18" s="76"/>
      <c r="H18" s="76"/>
      <c r="I18" s="78"/>
      <c r="J18" s="82"/>
      <c r="L18" s="79"/>
    </row>
    <row r="19" spans="1:12" ht="15">
      <c r="A19" s="83"/>
      <c r="B19" s="75"/>
      <c r="C19" s="75"/>
      <c r="D19" s="77"/>
      <c r="E19" s="76"/>
      <c r="F19" s="75"/>
      <c r="G19" s="76"/>
      <c r="H19" s="76"/>
      <c r="I19" s="78"/>
      <c r="J19" s="84"/>
    </row>
    <row r="20" spans="1:12" ht="15">
      <c r="A20" s="83"/>
      <c r="B20" s="75"/>
      <c r="C20" s="75"/>
      <c r="D20" s="77"/>
      <c r="E20" s="76"/>
      <c r="F20" s="75"/>
      <c r="G20" s="76"/>
      <c r="H20" s="76"/>
      <c r="I20" s="78"/>
      <c r="J20" s="214"/>
    </row>
    <row r="21" spans="1:12" ht="15">
      <c r="A21" s="83"/>
      <c r="B21" s="75"/>
      <c r="C21" s="75"/>
      <c r="D21" s="77"/>
      <c r="E21" s="76"/>
      <c r="F21" s="75"/>
      <c r="G21" s="76"/>
      <c r="H21" s="76"/>
      <c r="I21" s="78"/>
      <c r="J21" s="215"/>
    </row>
    <row r="22" spans="1:12" ht="15">
      <c r="A22" s="748" t="s">
        <v>106</v>
      </c>
      <c r="B22" s="749"/>
      <c r="C22" s="749"/>
      <c r="D22" s="749"/>
      <c r="E22" s="749"/>
      <c r="F22" s="750"/>
      <c r="G22" s="96"/>
      <c r="H22" s="73"/>
      <c r="I22" s="72"/>
      <c r="J22" s="216"/>
      <c r="K22" s="79"/>
      <c r="L22" s="79"/>
    </row>
    <row r="23" spans="1:12" ht="15">
      <c r="A23" s="748" t="s">
        <v>107</v>
      </c>
      <c r="B23" s="749"/>
      <c r="C23" s="749"/>
      <c r="D23" s="749"/>
      <c r="E23" s="749"/>
      <c r="F23" s="750"/>
      <c r="G23" s="96"/>
      <c r="H23" s="73"/>
      <c r="I23" s="72"/>
      <c r="J23" s="216"/>
      <c r="K23" s="79"/>
      <c r="L23" s="79"/>
    </row>
    <row r="24" spans="1:12" ht="15">
      <c r="A24" s="748" t="s">
        <v>108</v>
      </c>
      <c r="B24" s="749"/>
      <c r="C24" s="749"/>
      <c r="D24" s="749"/>
      <c r="E24" s="749"/>
      <c r="F24" s="750"/>
      <c r="G24" s="94"/>
      <c r="H24" s="95"/>
      <c r="I24" s="94"/>
      <c r="J24" s="94"/>
      <c r="K24" s="79"/>
      <c r="L24" s="79"/>
    </row>
    <row r="25" spans="1:12" ht="15">
      <c r="A25" s="97" t="s">
        <v>251</v>
      </c>
      <c r="B25" s="81"/>
      <c r="C25" s="98"/>
      <c r="D25" s="98"/>
      <c r="E25" s="99"/>
      <c r="F25" s="81"/>
      <c r="G25" s="99"/>
      <c r="H25" s="99"/>
      <c r="I25" s="78"/>
      <c r="J25" s="100"/>
      <c r="K25" s="79"/>
      <c r="L25" s="79"/>
    </row>
    <row r="26" spans="1:12" ht="15">
      <c r="A26" s="86"/>
      <c r="B26" s="87">
        <v>83.03</v>
      </c>
      <c r="C26" s="89">
        <v>2.88</v>
      </c>
      <c r="D26" s="89">
        <v>0.75</v>
      </c>
      <c r="E26" s="90"/>
      <c r="F26" s="87">
        <f>PRODUCT(B26:E26)</f>
        <v>179.34479999999999</v>
      </c>
      <c r="G26" s="101">
        <f>F26</f>
        <v>179.34479999999999</v>
      </c>
      <c r="H26" s="76"/>
      <c r="I26" s="78">
        <f>G26*1.1</f>
        <v>197.27928</v>
      </c>
      <c r="J26" s="82">
        <f>I26</f>
        <v>197.27928</v>
      </c>
      <c r="K26" s="79"/>
      <c r="L26" s="79"/>
    </row>
    <row r="27" spans="1:12" ht="15">
      <c r="A27" s="86"/>
      <c r="B27" s="87"/>
      <c r="C27" s="89"/>
      <c r="D27" s="89"/>
      <c r="E27" s="90"/>
      <c r="F27" s="87"/>
      <c r="G27" s="101"/>
      <c r="H27" s="76"/>
      <c r="I27" s="78"/>
      <c r="J27" s="82"/>
      <c r="K27" s="79"/>
      <c r="L27" s="79"/>
    </row>
    <row r="28" spans="1:12" ht="15">
      <c r="A28" s="86"/>
      <c r="B28" s="87"/>
      <c r="C28" s="89"/>
      <c r="D28" s="89"/>
      <c r="E28" s="90"/>
      <c r="F28" s="87"/>
      <c r="G28" s="101"/>
      <c r="H28" s="76"/>
      <c r="I28" s="78"/>
      <c r="J28" s="82"/>
      <c r="K28" s="79"/>
      <c r="L28" s="79"/>
    </row>
    <row r="29" spans="1:12" ht="15">
      <c r="A29" s="86"/>
      <c r="B29" s="87"/>
      <c r="C29" s="89"/>
      <c r="D29" s="89"/>
      <c r="E29" s="90"/>
      <c r="F29" s="87"/>
      <c r="G29" s="90"/>
      <c r="H29" s="90"/>
      <c r="I29" s="78"/>
      <c r="J29" s="102">
        <f>SUM(J26:J28)</f>
        <v>197.27928</v>
      </c>
      <c r="K29" s="79"/>
      <c r="L29" s="79"/>
    </row>
    <row r="30" spans="1:12" ht="15">
      <c r="A30" s="86"/>
      <c r="B30" s="87"/>
      <c r="C30" s="89"/>
      <c r="D30" s="89"/>
      <c r="E30" s="90"/>
      <c r="F30" s="87"/>
      <c r="G30" s="90"/>
      <c r="H30" s="90"/>
      <c r="I30" s="78"/>
      <c r="J30" s="100"/>
      <c r="K30" s="79"/>
      <c r="L30" s="79"/>
    </row>
    <row r="31" spans="1:12" ht="15">
      <c r="A31" s="751" t="s">
        <v>109</v>
      </c>
      <c r="B31" s="752"/>
      <c r="C31" s="752"/>
      <c r="D31" s="752"/>
      <c r="E31" s="752"/>
      <c r="F31" s="752"/>
      <c r="G31" s="752"/>
      <c r="H31" s="752"/>
      <c r="I31" s="752"/>
      <c r="J31" s="753"/>
      <c r="K31" s="79"/>
      <c r="L31" s="79"/>
    </row>
    <row r="32" spans="1:12" ht="15">
      <c r="A32" s="97"/>
      <c r="B32" s="75"/>
      <c r="C32" s="77"/>
      <c r="D32" s="77"/>
      <c r="E32" s="76"/>
      <c r="F32" s="75"/>
      <c r="G32" s="76"/>
      <c r="H32" s="76"/>
      <c r="I32" s="78"/>
      <c r="J32" s="78"/>
      <c r="K32" s="79"/>
      <c r="L32" s="79"/>
    </row>
    <row r="33" spans="1:12" ht="15">
      <c r="A33" s="86"/>
      <c r="B33" s="87"/>
      <c r="C33" s="77"/>
      <c r="D33" s="77"/>
      <c r="E33" s="76"/>
      <c r="F33" s="87"/>
      <c r="G33" s="101"/>
      <c r="H33" s="76"/>
      <c r="I33" s="78"/>
      <c r="J33" s="82"/>
      <c r="K33" s="79"/>
      <c r="L33" s="79"/>
    </row>
    <row r="34" spans="1:12" ht="15">
      <c r="A34" s="86"/>
      <c r="B34" s="87"/>
      <c r="C34" s="77"/>
      <c r="D34" s="77"/>
      <c r="E34" s="76"/>
      <c r="F34" s="87"/>
      <c r="G34" s="101"/>
      <c r="H34" s="76"/>
      <c r="I34" s="78"/>
      <c r="J34" s="82"/>
      <c r="K34" s="79"/>
      <c r="L34" s="79"/>
    </row>
    <row r="35" spans="1:12" ht="15">
      <c r="A35" s="86"/>
      <c r="B35" s="87"/>
      <c r="C35" s="77"/>
      <c r="D35" s="77"/>
      <c r="E35" s="76"/>
      <c r="F35" s="87"/>
      <c r="G35" s="101"/>
      <c r="H35" s="76"/>
      <c r="I35" s="78"/>
      <c r="J35" s="82"/>
      <c r="K35" s="79"/>
      <c r="L35" s="79"/>
    </row>
    <row r="36" spans="1:12" ht="15">
      <c r="A36" s="83"/>
      <c r="B36" s="75"/>
      <c r="C36" s="77"/>
      <c r="D36" s="77"/>
      <c r="E36" s="76"/>
      <c r="F36" s="87"/>
      <c r="G36" s="90"/>
      <c r="H36" s="90"/>
      <c r="I36" s="78"/>
      <c r="J36" s="102"/>
      <c r="K36" s="79"/>
      <c r="L36" s="79"/>
    </row>
    <row r="37" spans="1:12" ht="15">
      <c r="A37" s="83"/>
      <c r="B37" s="75"/>
      <c r="C37" s="77"/>
      <c r="D37" s="77"/>
      <c r="E37" s="76"/>
      <c r="F37" s="75"/>
      <c r="G37" s="76"/>
      <c r="H37" s="76"/>
      <c r="I37" s="78"/>
      <c r="J37" s="78"/>
      <c r="K37" s="79"/>
      <c r="L37" s="79"/>
    </row>
    <row r="38" spans="1:12" ht="15">
      <c r="A38" s="736"/>
      <c r="B38" s="737"/>
      <c r="C38" s="737"/>
      <c r="D38" s="737"/>
      <c r="E38" s="737"/>
      <c r="F38" s="737"/>
      <c r="G38" s="737"/>
      <c r="H38" s="737"/>
      <c r="I38" s="737"/>
      <c r="J38" s="738"/>
      <c r="L38" s="79"/>
    </row>
    <row r="39" spans="1:12" ht="15">
      <c r="A39" s="754" t="s">
        <v>110</v>
      </c>
      <c r="B39" s="755"/>
      <c r="C39" s="755"/>
      <c r="D39" s="755"/>
      <c r="E39" s="755"/>
      <c r="F39" s="755"/>
      <c r="G39" s="755"/>
      <c r="H39" s="755"/>
      <c r="I39" s="755"/>
      <c r="J39" s="756"/>
      <c r="L39" s="79"/>
    </row>
    <row r="40" spans="1:12" ht="15">
      <c r="A40" s="757" t="s">
        <v>111</v>
      </c>
      <c r="B40" s="758"/>
      <c r="C40" s="758"/>
      <c r="D40" s="758"/>
      <c r="E40" s="758"/>
      <c r="F40" s="759"/>
      <c r="G40" s="72"/>
      <c r="H40" s="73"/>
      <c r="I40" s="72"/>
      <c r="J40" s="72"/>
    </row>
    <row r="41" spans="1:12" ht="15">
      <c r="A41" s="74"/>
      <c r="B41" s="81"/>
      <c r="C41" s="98"/>
      <c r="D41" s="103"/>
      <c r="E41" s="104"/>
      <c r="F41" s="81"/>
      <c r="G41" s="105"/>
      <c r="H41" s="99"/>
      <c r="I41" s="78"/>
      <c r="J41" s="100"/>
      <c r="L41" s="106"/>
    </row>
    <row r="42" spans="1:12" s="70" customFormat="1" ht="30" customHeight="1">
      <c r="A42" s="86"/>
      <c r="B42" s="107"/>
      <c r="C42" s="108"/>
      <c r="D42" s="103"/>
      <c r="E42" s="104"/>
      <c r="F42" s="109"/>
      <c r="G42" s="110"/>
      <c r="H42" s="76"/>
      <c r="I42" s="111"/>
      <c r="J42" s="111"/>
    </row>
    <row r="43" spans="1:12" ht="15">
      <c r="A43" s="757" t="s">
        <v>112</v>
      </c>
      <c r="B43" s="758"/>
      <c r="C43" s="758"/>
      <c r="D43" s="758"/>
      <c r="E43" s="758"/>
      <c r="F43" s="759"/>
      <c r="G43" s="72"/>
      <c r="H43" s="73"/>
      <c r="I43" s="72"/>
      <c r="J43" s="72"/>
    </row>
    <row r="44" spans="1:12" ht="15">
      <c r="A44" s="754" t="s">
        <v>113</v>
      </c>
      <c r="B44" s="755"/>
      <c r="C44" s="755"/>
      <c r="D44" s="755"/>
      <c r="E44" s="755"/>
      <c r="F44" s="755"/>
      <c r="G44" s="755"/>
      <c r="H44" s="755"/>
      <c r="I44" s="755"/>
      <c r="J44" s="756"/>
      <c r="L44" s="79"/>
    </row>
    <row r="45" spans="1:12" ht="15">
      <c r="A45" s="97"/>
      <c r="B45" s="75"/>
      <c r="C45" s="77"/>
      <c r="D45" s="77"/>
      <c r="E45" s="76"/>
      <c r="F45" s="75"/>
      <c r="G45" s="76"/>
      <c r="H45" s="76"/>
      <c r="I45" s="78"/>
      <c r="J45" s="78"/>
      <c r="L45" s="79"/>
    </row>
    <row r="46" spans="1:12" ht="15">
      <c r="A46" s="86" t="s">
        <v>252</v>
      </c>
      <c r="B46" s="87">
        <f>B26</f>
        <v>83.03</v>
      </c>
      <c r="C46" s="77">
        <f>2*(1.5+2.88)/2</f>
        <v>4.38</v>
      </c>
      <c r="D46" s="77"/>
      <c r="E46" s="76"/>
      <c r="F46" s="87">
        <f>PRODUCT(B46:E46)</f>
        <v>363.67140000000001</v>
      </c>
      <c r="G46" s="101">
        <f>F46</f>
        <v>363.67140000000001</v>
      </c>
      <c r="H46" s="76" t="s">
        <v>100</v>
      </c>
      <c r="I46" s="78">
        <f>G46*1.1</f>
        <v>400.03854000000001</v>
      </c>
      <c r="J46" s="84">
        <f>I46</f>
        <v>400.03854000000001</v>
      </c>
      <c r="L46" s="79"/>
    </row>
    <row r="47" spans="1:12" ht="15">
      <c r="A47" s="86"/>
      <c r="B47" s="87"/>
      <c r="C47" s="77"/>
      <c r="D47" s="77"/>
      <c r="E47" s="76"/>
      <c r="F47" s="87"/>
      <c r="G47" s="101"/>
      <c r="H47" s="76"/>
      <c r="I47" s="78"/>
      <c r="J47" s="84"/>
      <c r="L47" s="79"/>
    </row>
    <row r="48" spans="1:12" ht="15">
      <c r="A48" s="86" t="s">
        <v>114</v>
      </c>
      <c r="B48" s="87">
        <f>B26</f>
        <v>83.03</v>
      </c>
      <c r="C48" s="77">
        <f>0.55+2.88+1.65</f>
        <v>5.08</v>
      </c>
      <c r="D48" s="77"/>
      <c r="E48" s="76"/>
      <c r="F48" s="87">
        <f>PRODUCT(B48:E48)</f>
        <v>421.79239999999999</v>
      </c>
      <c r="G48" s="101">
        <f>F48</f>
        <v>421.79239999999999</v>
      </c>
      <c r="H48" s="76" t="s">
        <v>100</v>
      </c>
      <c r="I48" s="78">
        <f>G48*1.1</f>
        <v>463.97164000000004</v>
      </c>
      <c r="J48" s="84">
        <f>I48</f>
        <v>463.97164000000004</v>
      </c>
      <c r="L48" s="79"/>
    </row>
    <row r="49" spans="1:12" ht="15">
      <c r="A49" s="86"/>
      <c r="B49" s="87"/>
      <c r="C49" s="77"/>
      <c r="D49" s="77"/>
      <c r="E49" s="76"/>
      <c r="F49" s="87"/>
      <c r="G49" s="101"/>
      <c r="H49" s="76"/>
      <c r="I49" s="78"/>
      <c r="J49" s="112"/>
      <c r="L49" s="79"/>
    </row>
    <row r="50" spans="1:12" ht="15">
      <c r="A50" s="86"/>
      <c r="B50" s="87"/>
      <c r="C50" s="77"/>
      <c r="D50" s="77"/>
      <c r="E50" s="76"/>
      <c r="F50" s="87"/>
      <c r="G50" s="101"/>
      <c r="H50" s="76"/>
      <c r="I50" s="78"/>
      <c r="J50" s="112"/>
      <c r="L50" s="79"/>
    </row>
    <row r="51" spans="1:12" ht="30">
      <c r="A51" s="113"/>
      <c r="B51" s="114" t="s">
        <v>115</v>
      </c>
      <c r="C51" s="114" t="s">
        <v>92</v>
      </c>
      <c r="D51" s="114" t="s">
        <v>1</v>
      </c>
      <c r="E51" s="115" t="s">
        <v>116</v>
      </c>
      <c r="F51" s="114" t="s">
        <v>117</v>
      </c>
      <c r="G51" s="114"/>
      <c r="H51" s="114"/>
      <c r="I51" s="114"/>
      <c r="J51" s="114"/>
      <c r="L51" s="106"/>
    </row>
    <row r="52" spans="1:12" ht="15">
      <c r="A52" s="757" t="s">
        <v>118</v>
      </c>
      <c r="B52" s="758"/>
      <c r="C52" s="758"/>
      <c r="D52" s="758"/>
      <c r="E52" s="758"/>
      <c r="F52" s="759"/>
      <c r="G52" s="72"/>
      <c r="H52" s="73"/>
      <c r="I52" s="72"/>
      <c r="J52" s="72"/>
    </row>
    <row r="53" spans="1:12" ht="15">
      <c r="A53" s="116"/>
      <c r="B53" s="98"/>
      <c r="C53" s="99"/>
      <c r="D53" s="98"/>
      <c r="E53" s="99"/>
      <c r="F53" s="81"/>
      <c r="G53" s="103"/>
      <c r="H53" s="99"/>
      <c r="I53" s="103"/>
      <c r="J53" s="92"/>
      <c r="L53" s="106"/>
    </row>
    <row r="54" spans="1:12" ht="15">
      <c r="A54" s="116"/>
      <c r="B54" s="98"/>
      <c r="C54" s="99"/>
      <c r="D54" s="98"/>
      <c r="E54" s="99"/>
      <c r="F54" s="81"/>
      <c r="G54" s="103"/>
      <c r="H54" s="99"/>
      <c r="I54" s="103"/>
      <c r="J54" s="92"/>
      <c r="L54" s="106"/>
    </row>
    <row r="55" spans="1:12" ht="15">
      <c r="A55" s="757" t="s">
        <v>119</v>
      </c>
      <c r="B55" s="758"/>
      <c r="C55" s="758"/>
      <c r="D55" s="758"/>
      <c r="E55" s="758"/>
      <c r="F55" s="759"/>
      <c r="G55" s="72"/>
      <c r="H55" s="73"/>
      <c r="I55" s="72"/>
      <c r="J55" s="72"/>
    </row>
    <row r="56" spans="1:12" ht="15">
      <c r="A56" s="74"/>
      <c r="B56" s="81"/>
      <c r="C56" s="99"/>
      <c r="D56" s="98"/>
      <c r="E56" s="99"/>
      <c r="F56" s="81"/>
      <c r="G56" s="91"/>
      <c r="H56" s="99"/>
      <c r="I56" s="91"/>
      <c r="J56" s="92"/>
      <c r="L56" s="79"/>
    </row>
    <row r="57" spans="1:12" ht="15">
      <c r="A57" s="74"/>
      <c r="B57" s="81"/>
      <c r="C57" s="99"/>
      <c r="D57" s="98"/>
      <c r="E57" s="99"/>
      <c r="F57" s="81"/>
      <c r="G57" s="91"/>
      <c r="H57" s="99"/>
      <c r="I57" s="91"/>
      <c r="J57" s="92"/>
      <c r="L57" s="79"/>
    </row>
    <row r="58" spans="1:12" ht="24.9" customHeight="1">
      <c r="A58" s="757" t="s">
        <v>120</v>
      </c>
      <c r="B58" s="758"/>
      <c r="C58" s="758"/>
      <c r="D58" s="758"/>
      <c r="E58" s="758"/>
      <c r="F58" s="759"/>
      <c r="G58" s="72"/>
      <c r="H58" s="73"/>
      <c r="I58" s="72"/>
      <c r="J58" s="72"/>
    </row>
    <row r="59" spans="1:12" ht="15">
      <c r="A59" s="74"/>
      <c r="B59" s="117"/>
      <c r="C59" s="103"/>
      <c r="D59" s="103"/>
      <c r="E59" s="117"/>
      <c r="F59" s="81"/>
      <c r="G59" s="99"/>
      <c r="H59" s="99"/>
      <c r="I59" s="91"/>
      <c r="J59" s="100"/>
    </row>
    <row r="60" spans="1:12" ht="15">
      <c r="A60" s="74"/>
      <c r="B60" s="117"/>
      <c r="C60" s="103"/>
      <c r="D60" s="103"/>
      <c r="E60" s="117"/>
      <c r="F60" s="81"/>
      <c r="G60" s="99"/>
      <c r="H60" s="99"/>
      <c r="I60" s="91"/>
      <c r="J60" s="100"/>
      <c r="L60" s="79"/>
    </row>
    <row r="61" spans="1:12" ht="15">
      <c r="A61" s="754" t="s">
        <v>121</v>
      </c>
      <c r="B61" s="755"/>
      <c r="C61" s="755"/>
      <c r="D61" s="755"/>
      <c r="E61" s="755"/>
      <c r="F61" s="755"/>
      <c r="G61" s="755"/>
      <c r="H61" s="755"/>
      <c r="I61" s="755"/>
      <c r="J61" s="756"/>
      <c r="L61" s="106"/>
    </row>
    <row r="62" spans="1:12" ht="24.9" customHeight="1">
      <c r="A62" s="757"/>
      <c r="B62" s="758"/>
      <c r="C62" s="758"/>
      <c r="D62" s="758"/>
      <c r="E62" s="758"/>
      <c r="F62" s="759"/>
      <c r="G62" s="72"/>
      <c r="H62" s="73"/>
      <c r="I62" s="72"/>
      <c r="J62" s="72"/>
    </row>
    <row r="63" spans="1:12" ht="15">
      <c r="A63" s="74"/>
      <c r="B63" s="117"/>
      <c r="C63" s="99"/>
      <c r="D63" s="98"/>
      <c r="E63" s="99"/>
      <c r="F63" s="81"/>
      <c r="G63" s="99"/>
      <c r="H63" s="99"/>
      <c r="I63" s="91"/>
      <c r="J63" s="78"/>
      <c r="L63" s="79"/>
    </row>
    <row r="64" spans="1:12" ht="15">
      <c r="A64" s="118"/>
      <c r="B64" s="119"/>
      <c r="C64" s="120"/>
      <c r="D64" s="121"/>
      <c r="E64" s="120"/>
      <c r="F64" s="122"/>
      <c r="G64" s="120"/>
      <c r="H64" s="120"/>
      <c r="I64" s="123"/>
      <c r="J64" s="123"/>
      <c r="L64" s="79"/>
    </row>
    <row r="65" spans="1:12" ht="15">
      <c r="A65" s="760" t="s">
        <v>122</v>
      </c>
      <c r="B65" s="761"/>
      <c r="C65" s="761"/>
      <c r="D65" s="761"/>
      <c r="E65" s="761"/>
      <c r="F65" s="761"/>
      <c r="G65" s="761"/>
      <c r="H65" s="761"/>
      <c r="I65" s="761"/>
      <c r="J65" s="762"/>
      <c r="L65" s="79"/>
    </row>
    <row r="66" spans="1:12" ht="15">
      <c r="A66" s="751" t="s">
        <v>123</v>
      </c>
      <c r="B66" s="752"/>
      <c r="C66" s="752"/>
      <c r="D66" s="752"/>
      <c r="E66" s="752"/>
      <c r="F66" s="752"/>
      <c r="G66" s="752"/>
      <c r="H66" s="752"/>
      <c r="I66" s="124"/>
      <c r="J66" s="125"/>
      <c r="L66" s="79"/>
    </row>
    <row r="67" spans="1:12" ht="15">
      <c r="A67" s="126" t="s">
        <v>124</v>
      </c>
      <c r="B67" s="81"/>
      <c r="C67" s="90"/>
      <c r="D67" s="77"/>
      <c r="E67" s="76"/>
      <c r="F67" s="75"/>
      <c r="G67" s="76"/>
      <c r="H67" s="76"/>
      <c r="I67" s="78"/>
      <c r="J67" s="85"/>
      <c r="L67" s="79"/>
    </row>
    <row r="68" spans="1:12" ht="15">
      <c r="A68" s="80"/>
      <c r="B68" s="81"/>
      <c r="C68" s="90"/>
      <c r="D68" s="77"/>
      <c r="E68" s="76"/>
      <c r="F68" s="75"/>
      <c r="G68" s="76"/>
      <c r="H68" s="76"/>
      <c r="I68" s="78"/>
      <c r="J68" s="127"/>
      <c r="L68" s="79"/>
    </row>
    <row r="69" spans="1:12" ht="15">
      <c r="A69" s="80"/>
      <c r="B69" s="81"/>
      <c r="C69" s="90"/>
      <c r="D69" s="77"/>
      <c r="E69" s="76"/>
      <c r="F69" s="75"/>
      <c r="G69" s="76"/>
      <c r="H69" s="76"/>
      <c r="I69" s="78"/>
      <c r="J69" s="127"/>
      <c r="L69" s="79"/>
    </row>
    <row r="70" spans="1:12" ht="15">
      <c r="A70" s="80"/>
      <c r="B70" s="81"/>
      <c r="C70" s="90"/>
      <c r="D70" s="77"/>
      <c r="E70" s="76"/>
      <c r="F70" s="75"/>
      <c r="G70" s="76"/>
      <c r="H70" s="76"/>
      <c r="I70" s="78"/>
      <c r="J70" s="127"/>
      <c r="L70" s="79"/>
    </row>
    <row r="71" spans="1:12" ht="15">
      <c r="A71" s="126"/>
      <c r="B71" s="81"/>
      <c r="C71" s="90"/>
      <c r="D71" s="77"/>
      <c r="E71" s="76"/>
      <c r="F71" s="75"/>
      <c r="G71" s="76"/>
      <c r="H71" s="76"/>
      <c r="I71" s="78"/>
      <c r="J71" s="84"/>
      <c r="L71" s="79"/>
    </row>
    <row r="72" spans="1:12" ht="15">
      <c r="A72" s="83"/>
      <c r="B72" s="81"/>
      <c r="C72" s="90"/>
      <c r="D72" s="98"/>
      <c r="E72" s="99"/>
      <c r="F72" s="81"/>
      <c r="G72" s="99"/>
      <c r="H72" s="99"/>
      <c r="I72" s="78"/>
      <c r="J72" s="215"/>
      <c r="L72" s="79"/>
    </row>
    <row r="73" spans="1:12" ht="15">
      <c r="A73" s="126" t="s">
        <v>125</v>
      </c>
      <c r="B73" s="87"/>
      <c r="C73" s="90"/>
      <c r="D73" s="89"/>
      <c r="E73" s="90"/>
      <c r="F73" s="81"/>
      <c r="G73" s="90"/>
      <c r="H73" s="90"/>
      <c r="I73" s="78"/>
      <c r="J73" s="215"/>
      <c r="L73" s="79"/>
    </row>
    <row r="74" spans="1:12" ht="15">
      <c r="A74" s="83"/>
      <c r="B74" s="87"/>
      <c r="C74" s="90"/>
      <c r="D74" s="89"/>
      <c r="E74" s="90"/>
      <c r="F74" s="87"/>
      <c r="G74" s="90"/>
      <c r="H74" s="128"/>
      <c r="I74" s="78"/>
      <c r="J74" s="215"/>
      <c r="L74" s="79"/>
    </row>
    <row r="75" spans="1:12" ht="15">
      <c r="A75" s="83" t="s">
        <v>126</v>
      </c>
      <c r="B75" s="87"/>
      <c r="C75" s="90"/>
      <c r="D75" s="89"/>
      <c r="E75" s="90"/>
      <c r="F75" s="87"/>
      <c r="G75" s="90"/>
      <c r="H75" s="128"/>
      <c r="I75" s="78"/>
      <c r="J75" s="215"/>
      <c r="L75" s="79"/>
    </row>
    <row r="76" spans="1:12" ht="15">
      <c r="A76" s="83"/>
      <c r="B76" s="87"/>
      <c r="C76" s="90"/>
      <c r="D76" s="89"/>
      <c r="E76" s="90"/>
      <c r="F76" s="87"/>
      <c r="G76" s="90"/>
      <c r="H76" s="76"/>
      <c r="I76" s="78"/>
      <c r="J76" s="213"/>
      <c r="L76" s="79"/>
    </row>
    <row r="77" spans="1:12" ht="15">
      <c r="A77" s="83"/>
      <c r="B77" s="87"/>
      <c r="C77" s="90"/>
      <c r="D77" s="89"/>
      <c r="E77" s="90"/>
      <c r="F77" s="87"/>
      <c r="G77" s="90"/>
      <c r="H77" s="76"/>
      <c r="I77" s="78"/>
      <c r="J77" s="112"/>
      <c r="L77" s="79"/>
    </row>
    <row r="78" spans="1:12" ht="15">
      <c r="A78" s="751" t="s">
        <v>127</v>
      </c>
      <c r="B78" s="752"/>
      <c r="C78" s="752"/>
      <c r="D78" s="752"/>
      <c r="E78" s="752"/>
      <c r="F78" s="752"/>
      <c r="G78" s="752"/>
      <c r="H78" s="752"/>
      <c r="I78" s="752"/>
      <c r="J78" s="753"/>
      <c r="L78" s="79"/>
    </row>
    <row r="79" spans="1:12" ht="15">
      <c r="A79" s="129"/>
      <c r="B79" s="130"/>
      <c r="C79" s="76"/>
      <c r="D79" s="77"/>
      <c r="E79" s="76"/>
      <c r="F79" s="75"/>
      <c r="G79" s="76"/>
      <c r="H79" s="76"/>
      <c r="I79" s="78"/>
      <c r="J79" s="78"/>
      <c r="L79" s="79"/>
    </row>
    <row r="80" spans="1:12" ht="13.5" customHeight="1">
      <c r="A80" s="131"/>
      <c r="B80" s="130"/>
      <c r="C80" s="76"/>
      <c r="D80" s="77"/>
      <c r="E80" s="76"/>
      <c r="F80" s="75"/>
      <c r="G80" s="76"/>
      <c r="H80" s="76"/>
      <c r="I80" s="78"/>
      <c r="J80" s="84"/>
      <c r="L80" s="79"/>
    </row>
    <row r="81" spans="1:12" ht="15">
      <c r="A81" s="129"/>
      <c r="B81" s="130"/>
      <c r="C81" s="76"/>
      <c r="D81" s="77"/>
      <c r="E81" s="76"/>
      <c r="F81" s="75"/>
      <c r="G81" s="76"/>
      <c r="H81" s="76"/>
      <c r="I81" s="78"/>
      <c r="J81" s="215"/>
      <c r="L81" s="79"/>
    </row>
    <row r="82" spans="1:12" ht="15" customHeight="1">
      <c r="A82" s="131"/>
      <c r="B82" s="130"/>
      <c r="C82" s="76"/>
      <c r="D82" s="77"/>
      <c r="E82" s="76"/>
      <c r="F82" s="75"/>
      <c r="G82" s="76"/>
      <c r="H82" s="76"/>
      <c r="I82" s="78"/>
      <c r="J82" s="127"/>
      <c r="L82" s="79"/>
    </row>
    <row r="83" spans="1:12" ht="15">
      <c r="A83" s="131"/>
      <c r="B83" s="117"/>
      <c r="C83" s="99"/>
      <c r="D83" s="98"/>
      <c r="E83" s="99"/>
      <c r="F83" s="75"/>
      <c r="G83" s="99"/>
      <c r="H83" s="76"/>
      <c r="I83" s="91"/>
      <c r="J83" s="127"/>
      <c r="L83" s="79"/>
    </row>
    <row r="84" spans="1:12" ht="15">
      <c r="A84" s="131"/>
      <c r="B84" s="117"/>
      <c r="C84" s="99"/>
      <c r="D84" s="98"/>
      <c r="E84" s="99"/>
      <c r="F84" s="75"/>
      <c r="G84" s="99"/>
      <c r="H84" s="76"/>
      <c r="I84" s="91"/>
      <c r="J84" s="127"/>
      <c r="L84" s="79"/>
    </row>
    <row r="85" spans="1:12" ht="15">
      <c r="A85" s="131"/>
      <c r="B85" s="88"/>
      <c r="C85" s="90"/>
      <c r="D85" s="89"/>
      <c r="E85" s="90"/>
      <c r="F85" s="75"/>
      <c r="G85" s="90"/>
      <c r="H85" s="76"/>
      <c r="I85" s="101"/>
      <c r="J85" s="127"/>
      <c r="L85" s="79"/>
    </row>
    <row r="86" spans="1:12" ht="15">
      <c r="A86" s="131"/>
      <c r="B86" s="88"/>
      <c r="C86" s="90"/>
      <c r="D86" s="89"/>
      <c r="E86" s="90"/>
      <c r="F86" s="87"/>
      <c r="G86" s="90"/>
      <c r="H86" s="90"/>
      <c r="I86" s="101"/>
      <c r="J86" s="137"/>
      <c r="L86" s="79"/>
    </row>
    <row r="87" spans="1:12" ht="15">
      <c r="A87" s="131"/>
      <c r="B87" s="88"/>
      <c r="C87" s="90"/>
      <c r="D87" s="89"/>
      <c r="E87" s="90"/>
      <c r="F87" s="87"/>
      <c r="G87" s="90"/>
      <c r="H87" s="90"/>
      <c r="I87" s="101"/>
      <c r="J87" s="133"/>
      <c r="L87" s="79"/>
    </row>
    <row r="88" spans="1:12" ht="15">
      <c r="A88" s="751" t="s">
        <v>128</v>
      </c>
      <c r="B88" s="752"/>
      <c r="C88" s="752"/>
      <c r="D88" s="752"/>
      <c r="E88" s="752"/>
      <c r="F88" s="752"/>
      <c r="G88" s="752"/>
      <c r="H88" s="752"/>
      <c r="I88" s="752"/>
      <c r="J88" s="753"/>
      <c r="L88" s="79"/>
    </row>
    <row r="89" spans="1:12" ht="15">
      <c r="A89" s="129"/>
      <c r="B89" s="130"/>
      <c r="C89" s="76"/>
      <c r="D89" s="77"/>
      <c r="E89" s="76"/>
      <c r="F89" s="75"/>
      <c r="G89" s="78"/>
      <c r="H89" s="76"/>
      <c r="I89" s="78"/>
      <c r="J89" s="127"/>
      <c r="L89" s="79"/>
    </row>
    <row r="90" spans="1:12" ht="15">
      <c r="A90" s="129"/>
      <c r="B90" s="130"/>
      <c r="C90" s="76"/>
      <c r="D90" s="77"/>
      <c r="E90" s="76"/>
      <c r="F90" s="75"/>
      <c r="G90" s="78"/>
      <c r="H90" s="76"/>
      <c r="I90" s="78"/>
      <c r="J90" s="127"/>
      <c r="L90" s="79"/>
    </row>
    <row r="91" spans="1:12" ht="15">
      <c r="A91" s="83"/>
      <c r="B91" s="117"/>
      <c r="C91" s="99"/>
      <c r="D91" s="98"/>
      <c r="E91" s="99"/>
      <c r="F91" s="81"/>
      <c r="G91" s="99"/>
      <c r="H91" s="99"/>
      <c r="I91" s="91"/>
      <c r="J91" s="132"/>
      <c r="L91" s="79"/>
    </row>
    <row r="92" spans="1:12" ht="15">
      <c r="A92" s="83"/>
      <c r="B92" s="117"/>
      <c r="C92" s="99"/>
      <c r="D92" s="98"/>
      <c r="E92" s="99"/>
      <c r="F92" s="81"/>
      <c r="G92" s="99"/>
      <c r="H92" s="99"/>
      <c r="I92" s="91"/>
      <c r="J92" s="217"/>
      <c r="L92" s="79"/>
    </row>
    <row r="93" spans="1:12" ht="15">
      <c r="A93" s="757"/>
      <c r="B93" s="758"/>
      <c r="C93" s="758"/>
      <c r="D93" s="758"/>
      <c r="E93" s="758"/>
      <c r="F93" s="759"/>
      <c r="G93" s="72"/>
      <c r="H93" s="73"/>
      <c r="I93" s="72"/>
      <c r="J93" s="72"/>
      <c r="L93" s="79"/>
    </row>
    <row r="94" spans="1:12" ht="15">
      <c r="A94" s="134"/>
      <c r="B94" s="88"/>
      <c r="C94" s="89"/>
      <c r="D94" s="135"/>
      <c r="E94" s="90"/>
      <c r="F94" s="81"/>
      <c r="G94" s="91"/>
      <c r="H94" s="99"/>
      <c r="I94" s="91"/>
      <c r="J94" s="136"/>
      <c r="L94" s="79"/>
    </row>
    <row r="95" spans="1:12" ht="15">
      <c r="A95" s="134"/>
      <c r="B95" s="88"/>
      <c r="C95" s="89"/>
      <c r="D95" s="135"/>
      <c r="E95" s="90"/>
      <c r="F95" s="81"/>
      <c r="G95" s="91"/>
      <c r="H95" s="99"/>
      <c r="I95" s="91"/>
      <c r="J95" s="136"/>
    </row>
    <row r="96" spans="1:12" ht="15">
      <c r="A96" s="134"/>
      <c r="B96" s="88"/>
      <c r="C96" s="89"/>
      <c r="D96" s="135"/>
      <c r="E96" s="90"/>
      <c r="F96" s="87"/>
      <c r="G96" s="101"/>
      <c r="H96" s="90"/>
      <c r="I96" s="101"/>
      <c r="J96" s="137"/>
    </row>
    <row r="97" spans="1:12" ht="15">
      <c r="A97" s="86"/>
      <c r="B97" s="88"/>
      <c r="C97" s="89"/>
      <c r="D97" s="135"/>
      <c r="E97" s="90"/>
      <c r="F97" s="87"/>
      <c r="G97" s="101"/>
      <c r="H97" s="90"/>
      <c r="I97" s="101"/>
      <c r="J97" s="101"/>
    </row>
    <row r="98" spans="1:12" ht="15">
      <c r="A98" s="751"/>
      <c r="B98" s="752"/>
      <c r="C98" s="752"/>
      <c r="D98" s="752"/>
      <c r="E98" s="752"/>
      <c r="F98" s="752"/>
      <c r="G98" s="752"/>
      <c r="H98" s="752"/>
      <c r="I98" s="752"/>
      <c r="J98" s="753"/>
    </row>
    <row r="99" spans="1:12" ht="15">
      <c r="A99" s="138"/>
      <c r="B99" s="139"/>
      <c r="C99" s="139"/>
      <c r="D99" s="139"/>
      <c r="E99" s="139"/>
      <c r="F99" s="139"/>
      <c r="G99" s="139"/>
      <c r="H99" s="139"/>
      <c r="I99" s="139"/>
      <c r="J99" s="140"/>
    </row>
    <row r="100" spans="1:12" ht="15">
      <c r="A100" s="141"/>
      <c r="B100" s="142"/>
      <c r="C100" s="143"/>
      <c r="D100" s="144"/>
      <c r="E100" s="143"/>
      <c r="F100" s="145"/>
      <c r="G100" s="143"/>
      <c r="H100" s="143"/>
      <c r="I100" s="146"/>
      <c r="J100" s="147"/>
    </row>
    <row r="102" spans="1:12" ht="15">
      <c r="A102" s="751" t="s">
        <v>129</v>
      </c>
      <c r="B102" s="752"/>
      <c r="C102" s="752"/>
      <c r="D102" s="752"/>
      <c r="E102" s="752"/>
      <c r="F102" s="752"/>
      <c r="G102" s="752"/>
      <c r="H102" s="752"/>
      <c r="I102" s="752"/>
      <c r="J102" s="753"/>
    </row>
    <row r="103" spans="1:12" ht="15">
      <c r="A103" s="148"/>
      <c r="B103" s="81"/>
      <c r="C103" s="90"/>
      <c r="D103" s="81"/>
      <c r="E103" s="90"/>
      <c r="F103" s="81"/>
      <c r="G103" s="91"/>
      <c r="H103" s="99"/>
      <c r="I103" s="91"/>
      <c r="J103" s="91"/>
    </row>
    <row r="104" spans="1:12" ht="15">
      <c r="A104" s="86"/>
      <c r="B104" s="87"/>
      <c r="C104" s="90"/>
      <c r="D104" s="87"/>
      <c r="E104" s="90"/>
      <c r="F104" s="87"/>
      <c r="G104" s="101"/>
      <c r="H104" s="76"/>
      <c r="I104" s="78"/>
      <c r="J104" s="82"/>
    </row>
    <row r="105" spans="1:12" ht="15">
      <c r="A105" s="86"/>
      <c r="B105" s="87"/>
      <c r="C105" s="90"/>
      <c r="D105" s="87"/>
      <c r="E105" s="90"/>
      <c r="F105" s="87"/>
      <c r="G105" s="101"/>
      <c r="H105" s="76"/>
      <c r="I105" s="78"/>
      <c r="J105" s="82"/>
    </row>
    <row r="106" spans="1:12" ht="15">
      <c r="A106" s="86"/>
      <c r="B106" s="87"/>
      <c r="C106" s="90"/>
      <c r="D106" s="87"/>
      <c r="E106" s="90"/>
      <c r="F106" s="87"/>
      <c r="G106" s="101"/>
      <c r="H106" s="76"/>
      <c r="I106" s="78"/>
      <c r="J106" s="82"/>
    </row>
    <row r="107" spans="1:12" ht="15">
      <c r="A107" s="74"/>
      <c r="B107" s="87"/>
      <c r="C107" s="90"/>
      <c r="D107" s="87"/>
      <c r="E107" s="90"/>
      <c r="F107" s="87"/>
      <c r="G107" s="101"/>
      <c r="H107" s="90"/>
      <c r="I107" s="101"/>
      <c r="J107" s="220"/>
    </row>
    <row r="108" spans="1:12" ht="15">
      <c r="A108" s="74"/>
      <c r="B108" s="87"/>
      <c r="C108" s="90"/>
      <c r="D108" s="87"/>
      <c r="E108" s="90"/>
      <c r="F108" s="87"/>
      <c r="G108" s="101"/>
      <c r="H108" s="90"/>
      <c r="I108" s="101"/>
      <c r="J108" s="101"/>
    </row>
    <row r="109" spans="1:12" ht="15">
      <c r="A109" s="736" t="s">
        <v>130</v>
      </c>
      <c r="B109" s="737"/>
      <c r="C109" s="737"/>
      <c r="D109" s="737"/>
      <c r="E109" s="737"/>
      <c r="F109" s="737"/>
      <c r="G109" s="737"/>
      <c r="H109" s="737"/>
      <c r="I109" s="737"/>
      <c r="J109" s="738"/>
    </row>
    <row r="110" spans="1:12" ht="15">
      <c r="A110" s="83"/>
      <c r="B110" s="81"/>
      <c r="C110" s="90"/>
      <c r="D110" s="81"/>
      <c r="E110" s="90"/>
      <c r="F110" s="81"/>
      <c r="G110" s="91"/>
      <c r="H110" s="99"/>
      <c r="I110" s="91"/>
      <c r="J110" s="91"/>
    </row>
    <row r="111" spans="1:12" ht="15">
      <c r="A111" s="83"/>
      <c r="B111" s="87"/>
      <c r="C111" s="90"/>
      <c r="D111" s="87"/>
      <c r="E111" s="90"/>
      <c r="F111" s="87"/>
      <c r="G111" s="101"/>
      <c r="H111" s="90"/>
      <c r="I111" s="101"/>
      <c r="J111" s="149"/>
      <c r="L111" s="67" t="s">
        <v>131</v>
      </c>
    </row>
  </sheetData>
  <mergeCells count="29">
    <mergeCell ref="A88:J88"/>
    <mergeCell ref="A93:F93"/>
    <mergeCell ref="A98:J98"/>
    <mergeCell ref="A102:J102"/>
    <mergeCell ref="A109:J109"/>
    <mergeCell ref="A78:J78"/>
    <mergeCell ref="A39:J39"/>
    <mergeCell ref="A40:F40"/>
    <mergeCell ref="A43:F43"/>
    <mergeCell ref="A44:J44"/>
    <mergeCell ref="A52:F52"/>
    <mergeCell ref="A55:F55"/>
    <mergeCell ref="A58:F58"/>
    <mergeCell ref="A61:J61"/>
    <mergeCell ref="A62:F62"/>
    <mergeCell ref="A65:J65"/>
    <mergeCell ref="A66:H66"/>
    <mergeCell ref="A38:J38"/>
    <mergeCell ref="A1:J1"/>
    <mergeCell ref="A3:J3"/>
    <mergeCell ref="A4:F4"/>
    <mergeCell ref="A11:J11"/>
    <mergeCell ref="A12:F12"/>
    <mergeCell ref="A13:F13"/>
    <mergeCell ref="A14:F14"/>
    <mergeCell ref="A22:F22"/>
    <mergeCell ref="A23:F23"/>
    <mergeCell ref="A24:F24"/>
    <mergeCell ref="A31:J31"/>
  </mergeCells>
  <pageMargins left="0.7" right="0.7" top="0.75" bottom="0.75" header="0.3" footer="0.3"/>
  <pageSetup paperSize="9" scale="63" orientation="portrait" r:id="rId1"/>
  <rowBreaks count="1" manualBreakCount="1">
    <brk id="41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8343B-81E1-4ED4-99E9-7F2630ADC4FA}">
  <sheetPr>
    <tabColor rgb="FF002060"/>
    <pageSetUpPr fitToPage="1"/>
  </sheetPr>
  <dimension ref="A1:M34"/>
  <sheetViews>
    <sheetView showGridLines="0" view="pageBreakPreview" zoomScaleNormal="100" zoomScaleSheetLayoutView="100" workbookViewId="0">
      <selection activeCell="F32" sqref="F32"/>
    </sheetView>
  </sheetViews>
  <sheetFormatPr defaultColWidth="9.109375" defaultRowHeight="13.2"/>
  <cols>
    <col min="1" max="1" width="5.6640625" style="21" customWidth="1"/>
    <col min="2" max="2" width="40.6640625" style="22" customWidth="1"/>
    <col min="3" max="3" width="6.6640625" style="21" customWidth="1"/>
    <col min="4" max="4" width="8.6640625" style="23" customWidth="1"/>
    <col min="5" max="5" width="14.5546875" style="24" customWidth="1"/>
    <col min="6" max="6" width="33" style="24" customWidth="1"/>
    <col min="7" max="7" width="1.6640625" style="22" customWidth="1"/>
    <col min="8" max="8" width="17.5546875" style="25" customWidth="1"/>
    <col min="9" max="9" width="13.44140625" style="26" bestFit="1" customWidth="1"/>
    <col min="10" max="10" width="11.6640625" style="25" bestFit="1" customWidth="1"/>
    <col min="11" max="11" width="12.44140625" style="22" bestFit="1" customWidth="1"/>
    <col min="12" max="12" width="13.5546875" style="22" customWidth="1"/>
    <col min="13" max="13" width="14.109375" style="22" customWidth="1"/>
    <col min="14" max="16384" width="9.109375" style="22"/>
  </cols>
  <sheetData>
    <row r="1" spans="1:13" customFormat="1" ht="15.6">
      <c r="A1" s="772" t="s">
        <v>932</v>
      </c>
      <c r="B1" s="773"/>
      <c r="C1" s="773"/>
      <c r="D1" s="773"/>
      <c r="E1" s="773"/>
      <c r="F1" s="774"/>
    </row>
    <row r="2" spans="1:13" customFormat="1" ht="65.400000000000006" customHeight="1" thickBot="1">
      <c r="A2" s="718" t="s">
        <v>1157</v>
      </c>
      <c r="B2" s="775"/>
      <c r="C2" s="775"/>
      <c r="D2" s="775"/>
      <c r="E2" s="775"/>
      <c r="F2" s="720"/>
    </row>
    <row r="3" spans="1:13" customFormat="1" ht="15" thickBot="1">
      <c r="A3" s="636"/>
      <c r="B3" s="6" t="s">
        <v>8</v>
      </c>
      <c r="C3" s="6"/>
      <c r="D3" s="7"/>
      <c r="E3" s="8"/>
      <c r="F3" s="637" t="s">
        <v>9</v>
      </c>
    </row>
    <row r="4" spans="1:13" s="11" customFormat="1" ht="40.200000000000003" customHeight="1">
      <c r="A4" s="9"/>
      <c r="B4" s="721" t="s">
        <v>1170</v>
      </c>
      <c r="C4" s="721"/>
      <c r="D4" s="721"/>
      <c r="E4" s="722"/>
      <c r="F4" s="10"/>
      <c r="H4" s="12"/>
      <c r="I4" s="13"/>
      <c r="J4" s="12"/>
      <c r="L4" s="14"/>
    </row>
    <row r="5" spans="1:13" s="11" customFormat="1" ht="38.4" customHeight="1" thickBot="1">
      <c r="A5" s="9"/>
      <c r="B5" s="721" t="s">
        <v>1171</v>
      </c>
      <c r="C5" s="721"/>
      <c r="D5" s="721"/>
      <c r="E5" s="722"/>
      <c r="F5" s="10"/>
      <c r="H5" s="12"/>
      <c r="I5" s="13"/>
      <c r="J5" s="12"/>
      <c r="L5" s="14"/>
    </row>
    <row r="6" spans="1:13" s="11" customFormat="1" ht="24.9" customHeight="1" thickBot="1">
      <c r="A6" s="15"/>
      <c r="B6" s="723" t="s">
        <v>12</v>
      </c>
      <c r="C6" s="723"/>
      <c r="D6" s="723"/>
      <c r="E6" s="724"/>
      <c r="F6" s="16"/>
      <c r="H6" s="12"/>
      <c r="I6" s="17"/>
      <c r="J6" s="12"/>
      <c r="K6" s="14"/>
      <c r="M6" s="12"/>
    </row>
    <row r="7" spans="1:13" s="11" customFormat="1">
      <c r="A7" s="18"/>
      <c r="C7" s="18"/>
      <c r="D7" s="19"/>
      <c r="E7" s="20"/>
      <c r="F7" s="20"/>
      <c r="H7" s="12"/>
      <c r="I7" s="13"/>
      <c r="J7" s="12"/>
    </row>
    <row r="8" spans="1:13" s="11" customFormat="1">
      <c r="A8" s="18"/>
      <c r="C8" s="18"/>
      <c r="D8" s="19"/>
      <c r="E8" s="20"/>
      <c r="F8" s="20"/>
      <c r="H8" s="12"/>
      <c r="I8" s="13"/>
      <c r="J8" s="12"/>
    </row>
    <row r="9" spans="1:13" s="11" customFormat="1">
      <c r="A9" s="18"/>
      <c r="C9" s="18"/>
      <c r="D9" s="19"/>
      <c r="E9" s="20"/>
      <c r="F9" s="20"/>
      <c r="H9" s="12"/>
      <c r="I9" s="13"/>
      <c r="J9" s="12"/>
    </row>
    <row r="10" spans="1:13" s="11" customFormat="1">
      <c r="A10" s="18"/>
      <c r="C10" s="18"/>
      <c r="D10" s="19"/>
      <c r="E10" s="20"/>
      <c r="F10" s="20"/>
      <c r="H10" s="12"/>
      <c r="I10" s="13"/>
      <c r="J10" s="12"/>
    </row>
    <row r="11" spans="1:13" s="11" customFormat="1" ht="38.4" customHeight="1">
      <c r="A11" s="18"/>
      <c r="C11" s="18"/>
      <c r="D11" s="19"/>
      <c r="E11" s="20"/>
      <c r="F11" s="20"/>
      <c r="H11" s="12"/>
      <c r="I11" s="13"/>
      <c r="J11" s="12"/>
    </row>
    <row r="12" spans="1:13" s="11" customFormat="1" ht="38.4" customHeight="1">
      <c r="A12" s="18"/>
      <c r="C12" s="18"/>
      <c r="D12" s="19"/>
      <c r="E12" s="20"/>
      <c r="F12" s="20"/>
      <c r="H12" s="12"/>
      <c r="I12" s="13"/>
      <c r="J12" s="12"/>
    </row>
    <row r="13" spans="1:13" s="11" customFormat="1" ht="38.4" customHeight="1">
      <c r="A13" s="18"/>
      <c r="C13" s="18"/>
      <c r="D13" s="19"/>
      <c r="E13" s="20"/>
      <c r="F13" s="20"/>
      <c r="H13" s="12"/>
      <c r="I13" s="13"/>
      <c r="J13" s="12"/>
    </row>
    <row r="14" spans="1:13" s="11" customFormat="1" ht="38.4" customHeight="1">
      <c r="A14" s="18"/>
      <c r="C14" s="18"/>
      <c r="D14" s="19"/>
      <c r="E14" s="20"/>
      <c r="F14" s="20"/>
      <c r="H14" s="12"/>
      <c r="I14" s="13"/>
      <c r="J14" s="12"/>
    </row>
    <row r="15" spans="1:13" s="11" customFormat="1" ht="38.4" customHeight="1">
      <c r="A15" s="18"/>
      <c r="C15" s="18"/>
      <c r="D15" s="19"/>
      <c r="E15" s="20"/>
      <c r="F15" s="20"/>
      <c r="H15" s="12"/>
      <c r="I15" s="13"/>
      <c r="J15" s="12"/>
    </row>
    <row r="16" spans="1:13" s="11" customFormat="1" ht="38.4" customHeight="1">
      <c r="A16" s="18"/>
      <c r="C16" s="18"/>
      <c r="D16" s="19"/>
      <c r="E16" s="20"/>
      <c r="F16" s="20"/>
      <c r="H16" s="12"/>
      <c r="I16" s="13"/>
      <c r="J16" s="12"/>
    </row>
    <row r="17" spans="1:10" s="11" customFormat="1" ht="38.4" customHeight="1">
      <c r="A17" s="18"/>
      <c r="C17" s="18"/>
      <c r="D17" s="19"/>
      <c r="E17" s="20"/>
      <c r="F17" s="20"/>
      <c r="H17" s="12"/>
      <c r="I17" s="13"/>
      <c r="J17" s="12"/>
    </row>
    <row r="18" spans="1:10" s="11" customFormat="1" ht="38.4" customHeight="1">
      <c r="A18" s="18"/>
      <c r="C18" s="18"/>
      <c r="D18" s="19"/>
      <c r="E18" s="20"/>
      <c r="F18" s="20"/>
      <c r="H18" s="12"/>
      <c r="I18" s="13"/>
      <c r="J18" s="12"/>
    </row>
    <row r="19" spans="1:10" s="11" customFormat="1" ht="38.4" customHeight="1">
      <c r="A19" s="18"/>
      <c r="C19" s="18"/>
      <c r="D19" s="19"/>
      <c r="E19" s="20"/>
      <c r="F19" s="20"/>
      <c r="H19" s="12"/>
      <c r="I19" s="13"/>
      <c r="J19" s="12"/>
    </row>
    <row r="20" spans="1:10" s="11" customFormat="1" ht="38.4" customHeight="1">
      <c r="A20" s="18"/>
      <c r="C20" s="18"/>
      <c r="D20" s="19"/>
      <c r="E20" s="20"/>
      <c r="F20" s="20"/>
      <c r="H20" s="12"/>
      <c r="I20" s="13"/>
      <c r="J20" s="12"/>
    </row>
    <row r="21" spans="1:10" s="11" customFormat="1" ht="34.799999999999997" customHeight="1">
      <c r="A21" s="18"/>
      <c r="C21" s="18"/>
      <c r="D21" s="19"/>
      <c r="E21" s="20"/>
      <c r="F21" s="20"/>
      <c r="H21" s="12"/>
      <c r="I21" s="13"/>
      <c r="J21" s="12"/>
    </row>
    <row r="22" spans="1:10" s="11" customFormat="1" ht="34.799999999999997" customHeight="1">
      <c r="A22" s="18"/>
      <c r="C22" s="18"/>
      <c r="D22" s="19"/>
      <c r="E22" s="20"/>
      <c r="F22" s="20"/>
      <c r="H22" s="12"/>
      <c r="I22" s="13"/>
      <c r="J22" s="12"/>
    </row>
    <row r="23" spans="1:10" s="11" customFormat="1" ht="34.799999999999997" customHeight="1">
      <c r="A23" s="18"/>
      <c r="C23" s="18"/>
      <c r="D23" s="19"/>
      <c r="E23" s="20"/>
      <c r="F23" s="20"/>
      <c r="H23" s="12"/>
      <c r="I23" s="13"/>
      <c r="J23" s="12"/>
    </row>
    <row r="24" spans="1:10" s="11" customFormat="1" ht="34.799999999999997" customHeight="1">
      <c r="A24" s="18"/>
      <c r="C24" s="18"/>
      <c r="D24" s="19"/>
      <c r="E24" s="20"/>
      <c r="F24" s="20"/>
      <c r="H24" s="12"/>
      <c r="I24" s="13"/>
      <c r="J24" s="12"/>
    </row>
    <row r="25" spans="1:10" s="11" customFormat="1" ht="34.799999999999997" customHeight="1">
      <c r="A25" s="18"/>
      <c r="C25" s="18"/>
      <c r="D25" s="19"/>
      <c r="E25" s="20"/>
      <c r="F25" s="20"/>
      <c r="H25" s="12"/>
      <c r="I25" s="13"/>
      <c r="J25" s="12"/>
    </row>
    <row r="26" spans="1:10" s="11" customFormat="1" ht="34.799999999999997" customHeight="1">
      <c r="A26" s="18"/>
      <c r="C26" s="18"/>
      <c r="D26" s="19"/>
      <c r="E26" s="20"/>
      <c r="F26" s="20"/>
      <c r="H26" s="12"/>
      <c r="I26" s="13"/>
      <c r="J26" s="12"/>
    </row>
    <row r="27" spans="1:10" s="11" customFormat="1">
      <c r="A27" s="18"/>
      <c r="C27" s="18"/>
      <c r="D27" s="19"/>
      <c r="E27" s="20"/>
      <c r="F27" s="20"/>
      <c r="H27" s="12"/>
      <c r="I27" s="13"/>
      <c r="J27" s="12"/>
    </row>
    <row r="28" spans="1:10" s="11" customFormat="1">
      <c r="A28" s="18"/>
      <c r="C28" s="18"/>
      <c r="D28" s="19"/>
      <c r="E28" s="20"/>
      <c r="F28" s="20"/>
      <c r="H28" s="12"/>
      <c r="I28" s="13"/>
      <c r="J28" s="12"/>
    </row>
    <row r="29" spans="1:10" s="11" customFormat="1">
      <c r="A29" s="18"/>
      <c r="C29" s="18"/>
      <c r="D29" s="19"/>
      <c r="E29" s="20"/>
      <c r="F29" s="20"/>
      <c r="H29" s="12"/>
      <c r="I29" s="13"/>
      <c r="J29" s="12"/>
    </row>
    <row r="30" spans="1:10" s="11" customFormat="1">
      <c r="A30" s="18"/>
      <c r="C30" s="18"/>
      <c r="D30" s="19"/>
      <c r="E30" s="20"/>
      <c r="F30" s="20"/>
      <c r="H30" s="12"/>
      <c r="I30" s="13"/>
      <c r="J30" s="12"/>
    </row>
    <row r="31" spans="1:10" s="11" customFormat="1">
      <c r="A31" s="18"/>
      <c r="C31" s="18"/>
      <c r="D31" s="19"/>
      <c r="E31" s="20"/>
      <c r="F31" s="20"/>
      <c r="H31" s="12"/>
      <c r="I31" s="13"/>
      <c r="J31" s="12"/>
    </row>
    <row r="32" spans="1:10" s="11" customFormat="1">
      <c r="A32" s="18"/>
      <c r="C32" s="18"/>
      <c r="D32" s="19"/>
      <c r="E32" s="20"/>
      <c r="F32" s="20"/>
      <c r="H32" s="12"/>
      <c r="I32" s="13"/>
      <c r="J32" s="12"/>
    </row>
    <row r="33" spans="1:10" s="11" customFormat="1">
      <c r="A33" s="18"/>
      <c r="C33" s="18"/>
      <c r="D33" s="19"/>
      <c r="E33" s="20"/>
      <c r="F33" s="20"/>
      <c r="H33" s="12"/>
      <c r="I33" s="13"/>
      <c r="J33" s="12"/>
    </row>
    <row r="34" spans="1:10" s="11" customFormat="1">
      <c r="A34" s="18"/>
      <c r="C34" s="18"/>
      <c r="D34" s="19"/>
      <c r="E34" s="20"/>
      <c r="F34" s="20"/>
      <c r="H34" s="12"/>
      <c r="I34" s="13"/>
      <c r="J34" s="12"/>
    </row>
  </sheetData>
  <mergeCells count="5">
    <mergeCell ref="A1:F1"/>
    <mergeCell ref="A2:F2"/>
    <mergeCell ref="B4:E4"/>
    <mergeCell ref="B5:E5"/>
    <mergeCell ref="B6:E6"/>
  </mergeCells>
  <printOptions horizontalCentered="1"/>
  <pageMargins left="0.75" right="0.4" top="0.75" bottom="0.5" header="0" footer="0"/>
  <pageSetup paperSize="9" scale="8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D6575-7610-4DCE-B83A-0A22C56041CF}">
  <sheetPr>
    <tabColor rgb="FF002060"/>
    <pageSetUpPr fitToPage="1"/>
  </sheetPr>
  <dimension ref="A1:M39"/>
  <sheetViews>
    <sheetView showGridLines="0" view="pageBreakPreview" zoomScaleNormal="100" zoomScaleSheetLayoutView="100" workbookViewId="0">
      <selection activeCell="F32" sqref="F32"/>
    </sheetView>
  </sheetViews>
  <sheetFormatPr defaultColWidth="9.109375" defaultRowHeight="13.2"/>
  <cols>
    <col min="1" max="1" width="5.6640625" style="21" customWidth="1"/>
    <col min="2" max="2" width="40.6640625" style="22" customWidth="1"/>
    <col min="3" max="3" width="6.6640625" style="21" customWidth="1"/>
    <col min="4" max="4" width="8.6640625" style="23" customWidth="1"/>
    <col min="5" max="5" width="13.33203125" style="24" customWidth="1"/>
    <col min="6" max="6" width="33" style="24" customWidth="1"/>
    <col min="7" max="7" width="1.6640625" style="22" customWidth="1"/>
    <col min="8" max="8" width="17.5546875" style="25" customWidth="1"/>
    <col min="9" max="9" width="13.44140625" style="26" bestFit="1" customWidth="1"/>
    <col min="10" max="10" width="11.6640625" style="25" bestFit="1" customWidth="1"/>
    <col min="11" max="11" width="12.44140625" style="22" bestFit="1" customWidth="1"/>
    <col min="12" max="12" width="13.5546875" style="22" customWidth="1"/>
    <col min="13" max="13" width="14.109375" style="22" customWidth="1"/>
    <col min="14" max="16384" width="9.109375" style="22"/>
  </cols>
  <sheetData>
    <row r="1" spans="1:13" customFormat="1" ht="15.6">
      <c r="A1" s="772" t="s">
        <v>932</v>
      </c>
      <c r="B1" s="773"/>
      <c r="C1" s="773"/>
      <c r="D1" s="773"/>
      <c r="E1" s="773"/>
      <c r="F1" s="774"/>
    </row>
    <row r="2" spans="1:13" customFormat="1" ht="65.400000000000006" customHeight="1">
      <c r="A2" s="718" t="s">
        <v>1168</v>
      </c>
      <c r="B2" s="775"/>
      <c r="C2" s="775"/>
      <c r="D2" s="775"/>
      <c r="E2" s="775"/>
      <c r="F2" s="720"/>
    </row>
    <row r="3" spans="1:13" customFormat="1" ht="15" thickBot="1">
      <c r="A3" s="644"/>
      <c r="B3" s="645"/>
      <c r="C3" s="645"/>
      <c r="D3" s="645"/>
      <c r="E3" s="646"/>
      <c r="F3" s="647"/>
    </row>
    <row r="4" spans="1:13" customFormat="1" ht="15" thickBot="1">
      <c r="A4" s="636"/>
      <c r="B4" s="6" t="s">
        <v>8</v>
      </c>
      <c r="C4" s="6"/>
      <c r="D4" s="7"/>
      <c r="E4" s="8"/>
      <c r="F4" s="637" t="s">
        <v>9</v>
      </c>
    </row>
    <row r="5" spans="1:13" s="11" customFormat="1" ht="24.9" customHeight="1">
      <c r="A5" s="9"/>
      <c r="B5" s="721"/>
      <c r="C5" s="721"/>
      <c r="D5" s="721"/>
      <c r="E5" s="722"/>
      <c r="F5" s="10"/>
      <c r="H5" s="12"/>
      <c r="I5" s="13"/>
      <c r="J5" s="12"/>
      <c r="L5" s="14"/>
    </row>
    <row r="6" spans="1:13" s="11" customFormat="1" ht="17.399999999999999" customHeight="1">
      <c r="A6" s="9"/>
      <c r="B6" s="776" t="str">
        <f>'Bill 6.1.1'!A1</f>
        <v>BILL No. 6.1.1 - SITE CLEARING</v>
      </c>
      <c r="C6" s="776"/>
      <c r="D6" s="776"/>
      <c r="E6" s="777"/>
      <c r="F6" s="10"/>
      <c r="H6" s="12"/>
      <c r="I6" s="13"/>
      <c r="J6" s="12"/>
      <c r="L6" s="14"/>
    </row>
    <row r="7" spans="1:13" s="11" customFormat="1" ht="24.9" customHeight="1">
      <c r="A7" s="9"/>
      <c r="B7" s="776" t="str">
        <f>'Bill 6.1.2'!A1</f>
        <v>BILL No. 6.1.2 - EARTHWORKS</v>
      </c>
      <c r="C7" s="776"/>
      <c r="D7" s="776"/>
      <c r="E7" s="777"/>
      <c r="F7" s="10"/>
      <c r="H7" s="12"/>
      <c r="I7" s="13"/>
      <c r="J7" s="12"/>
      <c r="L7" s="14"/>
    </row>
    <row r="8" spans="1:13" s="11" customFormat="1" ht="20.399999999999999" customHeight="1">
      <c r="A8" s="9"/>
      <c r="B8" s="593" t="str">
        <f>'Bill 6.1.3'!A1</f>
        <v>BILL No. 6.1.3 - STRUCTURE CONSTRUCTION</v>
      </c>
      <c r="C8" s="593"/>
      <c r="D8" s="593"/>
      <c r="E8" s="593"/>
      <c r="F8" s="10"/>
      <c r="H8" s="12"/>
      <c r="I8" s="13"/>
      <c r="J8" s="12"/>
      <c r="L8" s="14"/>
    </row>
    <row r="9" spans="1:13" s="11" customFormat="1" ht="23.4" customHeight="1">
      <c r="A9" s="9"/>
      <c r="B9" s="593" t="str">
        <f>'Bill 6.1.4'!A1</f>
        <v>BILL No. 6.1.4 - SOIL NAILING AND HORIZONTAL DRAINS</v>
      </c>
      <c r="C9" s="593"/>
      <c r="D9" s="593"/>
      <c r="E9" s="593"/>
      <c r="F9" s="10"/>
      <c r="H9" s="12"/>
      <c r="I9" s="12"/>
      <c r="J9" s="12"/>
    </row>
    <row r="10" spans="1:13" s="11" customFormat="1" ht="23.4" customHeight="1" thickBot="1">
      <c r="A10" s="595"/>
      <c r="B10" s="596" t="str">
        <f>'Bill 6.1.5'!A1</f>
        <v>BILL No. 6.1.5 - INCIDENTIAL CONSTRUCTION</v>
      </c>
      <c r="C10" s="597"/>
      <c r="D10" s="597"/>
      <c r="E10" s="597"/>
      <c r="F10" s="598"/>
      <c r="H10" s="12"/>
      <c r="I10" s="12"/>
      <c r="J10" s="12"/>
    </row>
    <row r="11" spans="1:13" s="11" customFormat="1" ht="38.4" customHeight="1" thickBot="1">
      <c r="A11" s="15"/>
      <c r="B11" s="723" t="s">
        <v>12</v>
      </c>
      <c r="C11" s="723"/>
      <c r="D11" s="723"/>
      <c r="E11" s="724"/>
      <c r="F11" s="16"/>
      <c r="H11" s="12"/>
      <c r="I11" s="17"/>
      <c r="J11" s="12"/>
      <c r="K11" s="14"/>
      <c r="M11" s="12"/>
    </row>
    <row r="12" spans="1:13" s="11" customFormat="1" ht="38.4" customHeight="1">
      <c r="A12" s="18"/>
      <c r="C12" s="18"/>
      <c r="D12" s="19"/>
      <c r="E12" s="20"/>
      <c r="F12" s="20"/>
      <c r="H12" s="12"/>
      <c r="I12" s="13"/>
      <c r="J12" s="12"/>
    </row>
    <row r="13" spans="1:13" s="11" customFormat="1" ht="38.4" customHeight="1">
      <c r="A13" s="18"/>
      <c r="C13" s="18"/>
      <c r="D13" s="19"/>
      <c r="E13" s="20"/>
      <c r="F13" s="20"/>
      <c r="H13" s="12"/>
      <c r="I13" s="13"/>
      <c r="J13" s="12"/>
    </row>
    <row r="14" spans="1:13" s="11" customFormat="1" ht="38.4" customHeight="1">
      <c r="A14" s="18"/>
      <c r="C14" s="18"/>
      <c r="D14" s="19"/>
      <c r="E14" s="20"/>
      <c r="F14" s="20"/>
      <c r="H14" s="12"/>
      <c r="I14" s="13"/>
      <c r="J14" s="12"/>
    </row>
    <row r="15" spans="1:13" s="11" customFormat="1" ht="38.4" customHeight="1">
      <c r="A15" s="18"/>
      <c r="C15" s="18"/>
      <c r="D15" s="19"/>
      <c r="E15" s="20"/>
      <c r="F15" s="20"/>
      <c r="H15" s="12"/>
      <c r="I15" s="13"/>
      <c r="J15" s="12"/>
    </row>
    <row r="16" spans="1:13" s="11" customFormat="1" ht="38.4" customHeight="1">
      <c r="A16" s="18"/>
      <c r="C16" s="18"/>
      <c r="D16" s="19"/>
      <c r="E16" s="20"/>
      <c r="F16" s="20"/>
      <c r="H16" s="12"/>
      <c r="I16" s="13"/>
      <c r="J16" s="12"/>
    </row>
    <row r="17" spans="1:10" s="11" customFormat="1" ht="38.4" customHeight="1">
      <c r="A17" s="18"/>
      <c r="C17" s="18"/>
      <c r="D17" s="19"/>
      <c r="E17" s="20"/>
      <c r="F17" s="20"/>
      <c r="H17" s="12"/>
      <c r="I17" s="13"/>
      <c r="J17" s="12"/>
    </row>
    <row r="18" spans="1:10" s="11" customFormat="1" ht="38.4" customHeight="1">
      <c r="A18" s="18"/>
      <c r="C18" s="18"/>
      <c r="D18" s="19"/>
      <c r="E18" s="20"/>
      <c r="F18" s="20"/>
      <c r="H18" s="12"/>
      <c r="I18" s="13"/>
      <c r="J18" s="12"/>
    </row>
    <row r="19" spans="1:10" s="11" customFormat="1" ht="38.4" customHeight="1">
      <c r="A19" s="18"/>
      <c r="C19" s="18"/>
      <c r="D19" s="19"/>
      <c r="E19" s="20"/>
      <c r="F19" s="20"/>
      <c r="H19" s="12"/>
      <c r="I19" s="13"/>
      <c r="J19" s="12"/>
    </row>
    <row r="20" spans="1:10" s="11" customFormat="1" ht="38.4" customHeight="1">
      <c r="A20" s="18"/>
      <c r="C20" s="18"/>
      <c r="D20" s="19"/>
      <c r="E20" s="20"/>
      <c r="F20" s="20"/>
      <c r="H20" s="12"/>
      <c r="I20" s="13"/>
      <c r="J20" s="12"/>
    </row>
    <row r="21" spans="1:10" s="11" customFormat="1" ht="34.799999999999997" customHeight="1">
      <c r="A21" s="18"/>
      <c r="C21" s="18"/>
      <c r="D21" s="19"/>
      <c r="E21" s="20"/>
      <c r="F21" s="20"/>
      <c r="H21" s="12"/>
      <c r="I21" s="13"/>
      <c r="J21" s="12"/>
    </row>
    <row r="22" spans="1:10" s="11" customFormat="1" ht="34.799999999999997" customHeight="1">
      <c r="A22" s="18"/>
      <c r="C22" s="18"/>
      <c r="D22" s="19"/>
      <c r="E22" s="20"/>
      <c r="F22" s="20"/>
      <c r="H22" s="12"/>
      <c r="I22" s="13"/>
      <c r="J22" s="12"/>
    </row>
    <row r="23" spans="1:10" s="11" customFormat="1" ht="34.799999999999997" customHeight="1">
      <c r="A23" s="18"/>
      <c r="C23" s="18"/>
      <c r="D23" s="19"/>
      <c r="E23" s="20"/>
      <c r="F23" s="20"/>
      <c r="H23" s="12"/>
      <c r="I23" s="13"/>
      <c r="J23" s="12"/>
    </row>
    <row r="24" spans="1:10" s="11" customFormat="1" ht="34.799999999999997" customHeight="1">
      <c r="A24" s="18"/>
      <c r="C24" s="18"/>
      <c r="D24" s="19"/>
      <c r="E24" s="20"/>
      <c r="F24" s="20"/>
      <c r="H24" s="12"/>
      <c r="I24" s="13"/>
      <c r="J24" s="12"/>
    </row>
    <row r="25" spans="1:10" s="11" customFormat="1" ht="34.799999999999997" customHeight="1">
      <c r="A25" s="18"/>
      <c r="C25" s="18"/>
      <c r="D25" s="19"/>
      <c r="E25" s="20"/>
      <c r="F25" s="20"/>
      <c r="H25" s="12"/>
      <c r="I25" s="13"/>
      <c r="J25" s="12"/>
    </row>
    <row r="26" spans="1:10" s="11" customFormat="1" ht="34.799999999999997" customHeight="1">
      <c r="A26" s="18"/>
      <c r="C26" s="18"/>
      <c r="D26" s="19"/>
      <c r="E26" s="20"/>
      <c r="F26" s="20"/>
      <c r="H26" s="12"/>
      <c r="I26" s="13"/>
      <c r="J26" s="12"/>
    </row>
    <row r="27" spans="1:10" s="11" customFormat="1">
      <c r="A27" s="18"/>
      <c r="C27" s="18"/>
      <c r="D27" s="19"/>
      <c r="E27" s="20"/>
      <c r="F27" s="20"/>
      <c r="H27" s="12"/>
      <c r="I27" s="13"/>
      <c r="J27" s="12"/>
    </row>
    <row r="28" spans="1:10" s="11" customFormat="1">
      <c r="A28" s="18"/>
      <c r="C28" s="18"/>
      <c r="D28" s="19"/>
      <c r="E28" s="20"/>
      <c r="F28" s="20"/>
      <c r="H28" s="12"/>
      <c r="I28" s="13"/>
      <c r="J28" s="12"/>
    </row>
    <row r="29" spans="1:10" s="11" customFormat="1">
      <c r="A29" s="18"/>
      <c r="C29" s="18"/>
      <c r="D29" s="19"/>
      <c r="E29" s="20"/>
      <c r="F29" s="20"/>
      <c r="H29" s="12"/>
      <c r="I29" s="13"/>
      <c r="J29" s="12"/>
    </row>
    <row r="30" spans="1:10" s="11" customFormat="1">
      <c r="A30" s="18"/>
      <c r="C30" s="18"/>
      <c r="D30" s="19"/>
      <c r="E30" s="20"/>
      <c r="F30" s="20"/>
      <c r="H30" s="12"/>
      <c r="I30" s="13"/>
      <c r="J30" s="12"/>
    </row>
    <row r="31" spans="1:10" s="11" customFormat="1">
      <c r="A31" s="18"/>
      <c r="C31" s="18"/>
      <c r="D31" s="19"/>
      <c r="E31" s="20"/>
      <c r="F31" s="20"/>
      <c r="H31" s="12"/>
      <c r="I31" s="13"/>
      <c r="J31" s="12"/>
    </row>
    <row r="32" spans="1:10" s="11" customFormat="1">
      <c r="A32" s="18"/>
      <c r="C32" s="18"/>
      <c r="D32" s="19"/>
      <c r="E32" s="20"/>
      <c r="F32" s="20"/>
      <c r="H32" s="12"/>
      <c r="I32" s="13"/>
      <c r="J32" s="12"/>
    </row>
    <row r="33" spans="1:10" s="11" customFormat="1">
      <c r="A33" s="18"/>
      <c r="C33" s="18"/>
      <c r="D33" s="19"/>
      <c r="E33" s="20"/>
      <c r="F33" s="20"/>
      <c r="H33" s="12"/>
      <c r="I33" s="13"/>
      <c r="J33" s="12"/>
    </row>
    <row r="34" spans="1:10" s="11" customFormat="1">
      <c r="A34" s="18"/>
      <c r="C34" s="18"/>
      <c r="D34" s="19"/>
      <c r="E34" s="20"/>
      <c r="F34" s="20"/>
      <c r="H34" s="12"/>
      <c r="I34" s="13"/>
      <c r="J34" s="12"/>
    </row>
    <row r="35" spans="1:10" s="11" customFormat="1">
      <c r="A35" s="18"/>
      <c r="C35" s="18"/>
      <c r="D35" s="19"/>
      <c r="E35" s="20"/>
      <c r="F35" s="20"/>
      <c r="H35" s="12"/>
      <c r="I35" s="13"/>
      <c r="J35" s="12"/>
    </row>
    <row r="36" spans="1:10" s="11" customFormat="1">
      <c r="A36" s="18"/>
      <c r="C36" s="18"/>
      <c r="D36" s="19"/>
      <c r="E36" s="20"/>
      <c r="F36" s="20"/>
      <c r="H36" s="12"/>
      <c r="I36" s="13"/>
      <c r="J36" s="12"/>
    </row>
    <row r="37" spans="1:10" s="11" customFormat="1">
      <c r="A37" s="18"/>
      <c r="C37" s="18"/>
      <c r="D37" s="19"/>
      <c r="E37" s="20"/>
      <c r="F37" s="20"/>
      <c r="H37" s="12"/>
      <c r="I37" s="13"/>
      <c r="J37" s="12"/>
    </row>
    <row r="38" spans="1:10" s="11" customFormat="1">
      <c r="A38" s="18"/>
      <c r="C38" s="18"/>
      <c r="D38" s="19"/>
      <c r="E38" s="20"/>
      <c r="F38" s="20"/>
      <c r="H38" s="12"/>
      <c r="I38" s="13"/>
      <c r="J38" s="12"/>
    </row>
    <row r="39" spans="1:10" s="11" customFormat="1">
      <c r="A39" s="18"/>
      <c r="C39" s="18"/>
      <c r="D39" s="19"/>
      <c r="E39" s="20"/>
      <c r="F39" s="20"/>
      <c r="H39" s="12"/>
      <c r="I39" s="13"/>
      <c r="J39" s="12"/>
    </row>
  </sheetData>
  <mergeCells count="6">
    <mergeCell ref="B11:E11"/>
    <mergeCell ref="A1:F1"/>
    <mergeCell ref="A2:F2"/>
    <mergeCell ref="B5:E5"/>
    <mergeCell ref="B6:E6"/>
    <mergeCell ref="B7:E7"/>
  </mergeCells>
  <printOptions horizontalCentered="1"/>
  <pageMargins left="0.75" right="0.4" top="0.75" bottom="0.5" header="0" footer="0"/>
  <pageSetup paperSize="9" scale="8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45356-EC4C-44EB-A79A-5DCE013BA291}">
  <sheetPr>
    <tabColor rgb="FFFF9933"/>
    <pageSetUpPr fitToPage="1"/>
  </sheetPr>
  <dimension ref="A1:O26"/>
  <sheetViews>
    <sheetView view="pageBreakPreview" zoomScaleNormal="100" zoomScaleSheetLayoutView="100" workbookViewId="0">
      <selection activeCell="I4" sqref="I1:O1048576"/>
    </sheetView>
  </sheetViews>
  <sheetFormatPr defaultColWidth="9.109375" defaultRowHeight="13.2"/>
  <cols>
    <col min="1" max="1" width="7.6640625" style="31" customWidth="1"/>
    <col min="2" max="2" width="9.6640625" style="31" customWidth="1"/>
    <col min="3" max="3" width="50.6640625" style="31" customWidth="1"/>
    <col min="4" max="4" width="7.6640625" style="31" customWidth="1"/>
    <col min="5" max="5" width="8.6640625" style="567" customWidth="1"/>
    <col min="6" max="6" width="10.6640625" style="31" customWidth="1"/>
    <col min="7" max="7" width="17.6640625" style="31" customWidth="1"/>
    <col min="8" max="8" width="9.109375" style="31"/>
    <col min="9" max="15" width="0" style="31" hidden="1" customWidth="1"/>
    <col min="16" max="16384" width="9.109375" style="31"/>
  </cols>
  <sheetData>
    <row r="1" spans="1:15" s="27" customFormat="1" ht="72" customHeight="1" thickBot="1">
      <c r="A1" s="778" t="s">
        <v>986</v>
      </c>
      <c r="B1" s="779"/>
      <c r="C1" s="779"/>
      <c r="D1" s="789" t="s">
        <v>1168</v>
      </c>
      <c r="E1" s="789"/>
      <c r="F1" s="789"/>
      <c r="G1" s="790"/>
    </row>
    <row r="2" spans="1:15" ht="26.4">
      <c r="A2" s="620" t="s">
        <v>13</v>
      </c>
      <c r="B2" s="28" t="s">
        <v>14</v>
      </c>
      <c r="C2" s="29" t="s">
        <v>8</v>
      </c>
      <c r="D2" s="28" t="s">
        <v>15</v>
      </c>
      <c r="E2" s="565" t="s">
        <v>16</v>
      </c>
      <c r="F2" s="30" t="s">
        <v>17</v>
      </c>
      <c r="G2" s="621" t="s">
        <v>18</v>
      </c>
    </row>
    <row r="3" spans="1:15" customFormat="1" ht="30" customHeight="1">
      <c r="A3" s="456" t="s">
        <v>761</v>
      </c>
      <c r="B3" s="457"/>
      <c r="C3" s="458" t="s">
        <v>760</v>
      </c>
      <c r="D3" s="457"/>
      <c r="E3" s="576"/>
      <c r="F3" s="366"/>
      <c r="G3" s="459"/>
      <c r="I3" s="538" t="s">
        <v>0</v>
      </c>
      <c r="J3" s="539" t="s">
        <v>867</v>
      </c>
      <c r="K3" s="540" t="s">
        <v>868</v>
      </c>
      <c r="L3" s="541" t="s">
        <v>396</v>
      </c>
    </row>
    <row r="4" spans="1:15" s="27" customFormat="1" ht="39.6">
      <c r="A4" s="221" t="s">
        <v>987</v>
      </c>
      <c r="B4" s="46" t="s">
        <v>22</v>
      </c>
      <c r="C4" s="47" t="s">
        <v>316</v>
      </c>
      <c r="D4" s="46" t="s">
        <v>372</v>
      </c>
      <c r="E4" s="577">
        <v>1110</v>
      </c>
      <c r="F4" s="460"/>
      <c r="G4" s="461"/>
      <c r="H4" s="658"/>
      <c r="I4" s="40">
        <f>Drains90!G106+Drains90!G109+Drains90!G164</f>
        <v>529.04449999999997</v>
      </c>
      <c r="J4" s="823">
        <f>'QTY90'!J10</f>
        <v>577.03</v>
      </c>
      <c r="K4" s="823"/>
      <c r="L4" s="823"/>
      <c r="M4" s="40">
        <f>SUM(I4:L4)</f>
        <v>1106.0744999999999</v>
      </c>
    </row>
    <row r="5" spans="1:15" s="27" customFormat="1" ht="30" customHeight="1">
      <c r="A5" s="221" t="s">
        <v>988</v>
      </c>
      <c r="B5" s="56" t="s">
        <v>26</v>
      </c>
      <c r="C5" s="222" t="s">
        <v>27</v>
      </c>
      <c r="D5" s="46" t="s">
        <v>28</v>
      </c>
      <c r="E5" s="231">
        <v>40</v>
      </c>
      <c r="F5" s="57"/>
      <c r="G5" s="461"/>
      <c r="H5" s="40"/>
      <c r="I5" s="40"/>
      <c r="J5" s="249"/>
    </row>
    <row r="6" spans="1:15" s="27" customFormat="1" ht="30" customHeight="1">
      <c r="A6" s="221" t="s">
        <v>989</v>
      </c>
      <c r="B6" s="56" t="s">
        <v>30</v>
      </c>
      <c r="C6" s="222" t="s">
        <v>763</v>
      </c>
      <c r="D6" s="36" t="s">
        <v>28</v>
      </c>
      <c r="E6" s="232">
        <v>30</v>
      </c>
      <c r="F6" s="57"/>
      <c r="G6" s="39"/>
      <c r="H6" s="658"/>
      <c r="I6" s="40"/>
      <c r="J6" s="249"/>
    </row>
    <row r="7" spans="1:15" s="27" customFormat="1" ht="30" customHeight="1">
      <c r="A7" s="221" t="s">
        <v>990</v>
      </c>
      <c r="B7" s="56" t="s">
        <v>237</v>
      </c>
      <c r="C7" s="222" t="s">
        <v>238</v>
      </c>
      <c r="D7" s="36" t="s">
        <v>28</v>
      </c>
      <c r="E7" s="232">
        <v>10</v>
      </c>
      <c r="F7" s="57"/>
      <c r="G7" s="39"/>
      <c r="H7" s="40"/>
      <c r="I7" s="40"/>
      <c r="J7" s="249"/>
    </row>
    <row r="8" spans="1:15" s="27" customFormat="1" ht="30" customHeight="1">
      <c r="A8" s="221" t="s">
        <v>991</v>
      </c>
      <c r="B8" s="56" t="s">
        <v>240</v>
      </c>
      <c r="C8" s="222" t="s">
        <v>241</v>
      </c>
      <c r="D8" s="36" t="s">
        <v>28</v>
      </c>
      <c r="E8" s="232">
        <v>10</v>
      </c>
      <c r="F8" s="57"/>
      <c r="G8" s="39"/>
      <c r="H8" s="40"/>
      <c r="I8" s="40"/>
      <c r="J8" s="249"/>
    </row>
    <row r="9" spans="1:15" s="27" customFormat="1" ht="30" customHeight="1">
      <c r="A9" s="221" t="s">
        <v>992</v>
      </c>
      <c r="B9" s="56" t="s">
        <v>33</v>
      </c>
      <c r="C9" s="222" t="s">
        <v>243</v>
      </c>
      <c r="D9" s="36" t="s">
        <v>28</v>
      </c>
      <c r="E9" s="232">
        <v>15</v>
      </c>
      <c r="F9" s="57"/>
      <c r="G9" s="39"/>
      <c r="H9" s="40"/>
      <c r="I9" s="40"/>
      <c r="J9" s="249"/>
    </row>
    <row r="10" spans="1:15" s="27" customFormat="1" ht="30" customHeight="1">
      <c r="A10" s="221" t="s">
        <v>993</v>
      </c>
      <c r="B10" s="56" t="s">
        <v>245</v>
      </c>
      <c r="C10" s="222" t="s">
        <v>246</v>
      </c>
      <c r="D10" s="36" t="s">
        <v>28</v>
      </c>
      <c r="E10" s="232">
        <v>10</v>
      </c>
      <c r="F10" s="57"/>
      <c r="G10" s="39"/>
      <c r="H10" s="40"/>
      <c r="I10" s="40"/>
      <c r="J10" s="249"/>
      <c r="O10" s="27">
        <v>0</v>
      </c>
    </row>
    <row r="11" spans="1:15" customFormat="1" ht="38.4" customHeight="1">
      <c r="A11" s="626" t="s">
        <v>762</v>
      </c>
      <c r="B11" s="250"/>
      <c r="C11" s="251" t="s">
        <v>318</v>
      </c>
      <c r="D11" s="250"/>
      <c r="E11" s="569"/>
      <c r="F11" s="57"/>
      <c r="G11" s="627"/>
    </row>
    <row r="12" spans="1:15" customFormat="1" ht="38.4" customHeight="1">
      <c r="A12" s="221" t="s">
        <v>994</v>
      </c>
      <c r="B12" s="250" t="s">
        <v>320</v>
      </c>
      <c r="C12" s="253" t="s">
        <v>321</v>
      </c>
      <c r="D12" s="250" t="s">
        <v>37</v>
      </c>
      <c r="E12" s="569">
        <v>10</v>
      </c>
      <c r="F12" s="57"/>
      <c r="G12" s="627"/>
    </row>
    <row r="13" spans="1:15" customFormat="1" ht="38.4" customHeight="1">
      <c r="A13" s="221" t="s">
        <v>995</v>
      </c>
      <c r="B13" s="254" t="s">
        <v>323</v>
      </c>
      <c r="C13" s="255" t="s">
        <v>324</v>
      </c>
      <c r="D13" s="254" t="s">
        <v>37</v>
      </c>
      <c r="E13" s="570">
        <v>10</v>
      </c>
      <c r="F13" s="257"/>
      <c r="G13" s="627"/>
    </row>
    <row r="14" spans="1:15" ht="38.4" customHeight="1" thickBot="1">
      <c r="A14" s="631"/>
      <c r="B14" s="783" t="s">
        <v>996</v>
      </c>
      <c r="C14" s="784"/>
      <c r="D14" s="784"/>
      <c r="E14" s="784"/>
      <c r="F14" s="785"/>
      <c r="G14" s="632"/>
    </row>
    <row r="15" spans="1:15" ht="38.4" customHeight="1"/>
    <row r="16" spans="1:15" ht="38.4" customHeight="1"/>
    <row r="17" ht="38.4" customHeight="1"/>
    <row r="18" ht="38.4" customHeight="1"/>
    <row r="19" ht="38.4" customHeight="1"/>
    <row r="20" ht="38.4" customHeight="1"/>
    <row r="21" ht="34.799999999999997" customHeight="1"/>
    <row r="22" ht="34.799999999999997" customHeight="1"/>
    <row r="23" ht="34.799999999999997" customHeight="1"/>
    <row r="24" ht="34.799999999999997" customHeight="1"/>
    <row r="25" ht="34.799999999999997" customHeight="1"/>
    <row r="26" ht="34.799999999999997" customHeight="1"/>
  </sheetData>
  <mergeCells count="4">
    <mergeCell ref="A1:C1"/>
    <mergeCell ref="D1:G1"/>
    <mergeCell ref="J4:L4"/>
    <mergeCell ref="B14:F14"/>
  </mergeCells>
  <phoneticPr fontId="32" type="noConversion"/>
  <printOptions horizontalCentered="1"/>
  <pageMargins left="0.75" right="0.4" top="0.75" bottom="0.5" header="0" footer="0"/>
  <pageSetup paperSize="9" scale="80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1B116-3314-4C30-9D41-6E982F2CEF4E}">
  <sheetPr>
    <tabColor rgb="FFFF9933"/>
    <pageSetUpPr fitToPage="1"/>
  </sheetPr>
  <dimension ref="A1:L26"/>
  <sheetViews>
    <sheetView view="pageBreakPreview" topLeftCell="A13" zoomScaleNormal="100" zoomScaleSheetLayoutView="100" workbookViewId="0">
      <selection activeCell="K1" sqref="K1:N1048576"/>
    </sheetView>
  </sheetViews>
  <sheetFormatPr defaultColWidth="9.109375" defaultRowHeight="15"/>
  <cols>
    <col min="1" max="1" width="7.6640625" style="31" customWidth="1"/>
    <col min="2" max="2" width="9.6640625" style="31" customWidth="1"/>
    <col min="3" max="3" width="54" style="31" customWidth="1"/>
    <col min="4" max="4" width="7.6640625" style="31" customWidth="1"/>
    <col min="5" max="5" width="8.6640625" style="567" customWidth="1"/>
    <col min="6" max="6" width="10.6640625" style="31" customWidth="1"/>
    <col min="7" max="7" width="17.6640625" style="31" customWidth="1"/>
    <col min="8" max="8" width="11.5546875" style="465" hidden="1" customWidth="1"/>
    <col min="9" max="10" width="0" style="31" hidden="1" customWidth="1"/>
    <col min="11" max="11" width="11.5546875" style="31" hidden="1" customWidth="1"/>
    <col min="12" max="14" width="0" style="31" hidden="1" customWidth="1"/>
    <col min="15" max="16384" width="9.109375" style="31"/>
  </cols>
  <sheetData>
    <row r="1" spans="1:12" s="27" customFormat="1" ht="60" customHeight="1" thickBot="1">
      <c r="A1" s="778" t="s">
        <v>997</v>
      </c>
      <c r="B1" s="779"/>
      <c r="C1" s="779"/>
      <c r="D1" s="789" t="str">
        <f>+'Bill 6.1.1'!D1:G1</f>
        <v>BILL NO. 6.1 - 
REDUCTION OF LANDSLIDE VULNERABILITY  BY MITIGATION MEASURES GAMMANA MAHA VIDYALAYA - AREA I (SITE NO. 90)</v>
      </c>
      <c r="E1" s="789"/>
      <c r="F1" s="789"/>
      <c r="G1" s="790"/>
      <c r="H1" s="462"/>
    </row>
    <row r="2" spans="1:12" ht="30.75" customHeight="1">
      <c r="A2" s="620" t="s">
        <v>13</v>
      </c>
      <c r="B2" s="28" t="s">
        <v>14</v>
      </c>
      <c r="C2" s="29" t="s">
        <v>8</v>
      </c>
      <c r="D2" s="28" t="s">
        <v>15</v>
      </c>
      <c r="E2" s="565" t="s">
        <v>16</v>
      </c>
      <c r="F2" s="30" t="s">
        <v>17</v>
      </c>
      <c r="G2" s="621" t="s">
        <v>18</v>
      </c>
      <c r="H2" s="463" t="s">
        <v>869</v>
      </c>
      <c r="I2" s="219" t="s">
        <v>766</v>
      </c>
    </row>
    <row r="3" spans="1:12" ht="24.75" customHeight="1">
      <c r="A3" s="628" t="s">
        <v>764</v>
      </c>
      <c r="B3" s="41"/>
      <c r="C3" s="42" t="s">
        <v>268</v>
      </c>
      <c r="D3" s="41"/>
      <c r="E3" s="566"/>
      <c r="F3" s="41"/>
      <c r="G3" s="630"/>
      <c r="H3" s="31"/>
    </row>
    <row r="4" spans="1:12" ht="36" customHeight="1">
      <c r="A4" s="624" t="s">
        <v>998</v>
      </c>
      <c r="B4" s="33" t="s">
        <v>257</v>
      </c>
      <c r="C4" s="45" t="s">
        <v>433</v>
      </c>
      <c r="D4" s="33" t="s">
        <v>36</v>
      </c>
      <c r="E4" s="234">
        <v>255</v>
      </c>
      <c r="F4" s="35"/>
      <c r="G4" s="629"/>
      <c r="H4" s="464">
        <f>'QTY90'!J23</f>
        <v>253.4</v>
      </c>
      <c r="I4" s="464"/>
      <c r="J4" s="464"/>
      <c r="K4" s="464">
        <f>SUM(H4:J4)</f>
        <v>253.4</v>
      </c>
      <c r="L4" s="464"/>
    </row>
    <row r="5" spans="1:12" ht="32.25" customHeight="1">
      <c r="A5" s="624" t="s">
        <v>999</v>
      </c>
      <c r="B5" s="33" t="s">
        <v>260</v>
      </c>
      <c r="C5" s="45" t="s">
        <v>435</v>
      </c>
      <c r="D5" s="33" t="s">
        <v>36</v>
      </c>
      <c r="E5" s="233">
        <v>75</v>
      </c>
      <c r="F5" s="35"/>
      <c r="G5" s="629"/>
    </row>
    <row r="6" spans="1:12" ht="32.25" customHeight="1">
      <c r="A6" s="624" t="s">
        <v>1000</v>
      </c>
      <c r="B6" s="46" t="s">
        <v>263</v>
      </c>
      <c r="C6" s="47" t="s">
        <v>437</v>
      </c>
      <c r="D6" s="46" t="s">
        <v>37</v>
      </c>
      <c r="E6" s="231">
        <v>75</v>
      </c>
      <c r="F6" s="35"/>
      <c r="G6" s="629"/>
    </row>
    <row r="7" spans="1:12" ht="32.25" customHeight="1">
      <c r="A7" s="624" t="s">
        <v>1001</v>
      </c>
      <c r="B7" s="48" t="s">
        <v>266</v>
      </c>
      <c r="C7" s="49" t="s">
        <v>439</v>
      </c>
      <c r="D7" s="50" t="s">
        <v>36</v>
      </c>
      <c r="E7" s="231">
        <v>255</v>
      </c>
      <c r="F7" s="35"/>
      <c r="G7" s="629"/>
      <c r="H7" s="464">
        <f>E4</f>
        <v>255</v>
      </c>
    </row>
    <row r="8" spans="1:12" ht="26.25" customHeight="1">
      <c r="A8" s="628" t="s">
        <v>765</v>
      </c>
      <c r="B8" s="41"/>
      <c r="C8" s="42" t="s">
        <v>39</v>
      </c>
      <c r="D8" s="51"/>
      <c r="E8" s="566"/>
      <c r="F8" s="41"/>
      <c r="G8" s="630"/>
    </row>
    <row r="9" spans="1:12" ht="48" customHeight="1">
      <c r="A9" s="624" t="s">
        <v>1002</v>
      </c>
      <c r="B9" s="52" t="s">
        <v>41</v>
      </c>
      <c r="C9" s="53" t="s">
        <v>42</v>
      </c>
      <c r="D9" s="52" t="s">
        <v>37</v>
      </c>
      <c r="E9" s="234">
        <v>58</v>
      </c>
      <c r="F9" s="35"/>
      <c r="G9" s="629"/>
      <c r="H9" s="469">
        <f>Drains90!H106+Drains90!H109+Drains90!H164</f>
        <v>57.503475000000002</v>
      </c>
    </row>
    <row r="10" spans="1:12" ht="35.25" customHeight="1">
      <c r="A10" s="624" t="s">
        <v>1003</v>
      </c>
      <c r="B10" s="46" t="s">
        <v>46</v>
      </c>
      <c r="C10" s="47" t="s">
        <v>445</v>
      </c>
      <c r="D10" s="46" t="s">
        <v>37</v>
      </c>
      <c r="E10" s="231">
        <v>25</v>
      </c>
      <c r="F10" s="35"/>
      <c r="G10" s="629"/>
    </row>
    <row r="11" spans="1:12" ht="38.4" customHeight="1">
      <c r="A11" s="624" t="s">
        <v>1004</v>
      </c>
      <c r="B11" s="46" t="s">
        <v>48</v>
      </c>
      <c r="C11" s="47" t="s">
        <v>437</v>
      </c>
      <c r="D11" s="46" t="s">
        <v>37</v>
      </c>
      <c r="E11" s="231">
        <v>20</v>
      </c>
      <c r="F11" s="35"/>
      <c r="G11" s="629"/>
    </row>
    <row r="12" spans="1:12" ht="38.4" customHeight="1">
      <c r="A12" s="624" t="s">
        <v>1005</v>
      </c>
      <c r="B12" s="48" t="s">
        <v>49</v>
      </c>
      <c r="C12" s="49" t="s">
        <v>50</v>
      </c>
      <c r="D12" s="50" t="s">
        <v>36</v>
      </c>
      <c r="E12" s="231">
        <v>58</v>
      </c>
      <c r="F12" s="35"/>
      <c r="G12" s="629"/>
      <c r="H12" s="469">
        <f>E9</f>
        <v>58</v>
      </c>
    </row>
    <row r="13" spans="1:12" ht="38.4" customHeight="1" thickBot="1">
      <c r="A13" s="631"/>
      <c r="B13" s="783" t="s">
        <v>1006</v>
      </c>
      <c r="C13" s="784"/>
      <c r="D13" s="784"/>
      <c r="E13" s="784"/>
      <c r="F13" s="785"/>
      <c r="G13" s="632"/>
    </row>
    <row r="14" spans="1:12" ht="38.4" customHeight="1"/>
    <row r="15" spans="1:12" ht="38.4" customHeight="1"/>
    <row r="16" spans="1:12" ht="38.4" customHeight="1"/>
    <row r="17" ht="38.4" customHeight="1"/>
    <row r="18" ht="38.4" customHeight="1"/>
    <row r="19" ht="38.4" customHeight="1"/>
    <row r="20" ht="38.4" customHeight="1"/>
    <row r="21" ht="34.799999999999997" customHeight="1"/>
    <row r="22" ht="34.799999999999997" customHeight="1"/>
    <row r="23" ht="34.799999999999997" customHeight="1"/>
    <row r="24" ht="34.799999999999997" customHeight="1"/>
    <row r="25" ht="34.799999999999997" customHeight="1"/>
    <row r="26" ht="34.799999999999997" customHeight="1"/>
  </sheetData>
  <mergeCells count="3">
    <mergeCell ref="A1:C1"/>
    <mergeCell ref="D1:G1"/>
    <mergeCell ref="B13:F13"/>
  </mergeCells>
  <phoneticPr fontId="32" type="noConversion"/>
  <printOptions horizontalCentered="1"/>
  <pageMargins left="0.75" right="0.4" top="0.75" bottom="0.5" header="0" footer="0"/>
  <pageSetup paperSize="9" scale="78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6BD04-00B3-4D20-836D-E080D15375FF}">
  <sheetPr>
    <tabColor rgb="FFFF9933"/>
    <pageSetUpPr fitToPage="1"/>
  </sheetPr>
  <dimension ref="A1:H26"/>
  <sheetViews>
    <sheetView view="pageBreakPreview" zoomScaleNormal="110" zoomScaleSheetLayoutView="100" workbookViewId="0">
      <pane ySplit="2" topLeftCell="A21" activePane="bottomLeft" state="frozen"/>
      <selection activeCell="F32" sqref="F32"/>
      <selection pane="bottomLeft" activeCell="H1" sqref="H1:J1048576"/>
    </sheetView>
  </sheetViews>
  <sheetFormatPr defaultColWidth="9.109375" defaultRowHeight="15"/>
  <cols>
    <col min="1" max="1" width="7.6640625" style="31" customWidth="1"/>
    <col min="2" max="2" width="9.5546875" style="31" customWidth="1"/>
    <col min="3" max="3" width="54" style="31" customWidth="1"/>
    <col min="4" max="4" width="7.6640625" style="31" customWidth="1"/>
    <col min="5" max="5" width="8.6640625" style="567" customWidth="1"/>
    <col min="6" max="6" width="10.6640625" style="31" customWidth="1"/>
    <col min="7" max="7" width="17.6640625" style="31" customWidth="1"/>
    <col min="8" max="8" width="11.5546875" style="471" hidden="1" customWidth="1"/>
    <col min="9" max="10" width="0" style="31" hidden="1" customWidth="1"/>
    <col min="11" max="16384" width="9.109375" style="31"/>
  </cols>
  <sheetData>
    <row r="1" spans="1:8" s="27" customFormat="1" ht="60" customHeight="1" thickBot="1">
      <c r="A1" s="778" t="s">
        <v>1007</v>
      </c>
      <c r="B1" s="779"/>
      <c r="C1" s="779"/>
      <c r="D1" s="789" t="str">
        <f>+'Bill 6.1.1'!D1:G1</f>
        <v>BILL NO. 6.1 - 
REDUCTION OF LANDSLIDE VULNERABILITY  BY MITIGATION MEASURES GAMMANA MAHA VIDYALAYA - AREA I (SITE NO. 90)</v>
      </c>
      <c r="E1" s="789"/>
      <c r="F1" s="789"/>
      <c r="G1" s="790"/>
      <c r="H1" s="470"/>
    </row>
    <row r="2" spans="1:8" ht="26.4">
      <c r="A2" s="620" t="s">
        <v>13</v>
      </c>
      <c r="B2" s="28" t="s">
        <v>14</v>
      </c>
      <c r="C2" s="29" t="s">
        <v>8</v>
      </c>
      <c r="D2" s="28" t="s">
        <v>15</v>
      </c>
      <c r="E2" s="565" t="s">
        <v>16</v>
      </c>
      <c r="F2" s="30" t="s">
        <v>17</v>
      </c>
      <c r="G2" s="621" t="s">
        <v>18</v>
      </c>
    </row>
    <row r="3" spans="1:8" ht="29.4" customHeight="1">
      <c r="A3" s="633" t="s">
        <v>1008</v>
      </c>
      <c r="B3" s="60"/>
      <c r="C3" s="42" t="s">
        <v>250</v>
      </c>
      <c r="D3" s="61"/>
      <c r="E3" s="235"/>
      <c r="F3" s="61"/>
      <c r="G3" s="634"/>
    </row>
    <row r="4" spans="1:8" ht="29.4" customHeight="1">
      <c r="A4" s="624" t="s">
        <v>1009</v>
      </c>
      <c r="B4" s="62" t="s">
        <v>55</v>
      </c>
      <c r="C4" s="45" t="s">
        <v>56</v>
      </c>
      <c r="D4" s="33" t="s">
        <v>36</v>
      </c>
      <c r="E4" s="234">
        <v>3</v>
      </c>
      <c r="F4" s="35"/>
      <c r="G4" s="629"/>
      <c r="H4" s="472">
        <f>Drains90!I106</f>
        <v>2.097</v>
      </c>
    </row>
    <row r="5" spans="1:8" ht="29.4" customHeight="1">
      <c r="A5" s="624" t="s">
        <v>1010</v>
      </c>
      <c r="B5" s="62" t="s">
        <v>58</v>
      </c>
      <c r="C5" s="45" t="s">
        <v>59</v>
      </c>
      <c r="D5" s="33" t="s">
        <v>36</v>
      </c>
      <c r="E5" s="234">
        <v>10</v>
      </c>
      <c r="F5" s="35"/>
      <c r="G5" s="629"/>
      <c r="H5" s="472">
        <f>Drains90!J106+Drains90!J107</f>
        <v>9.2661749999999987</v>
      </c>
    </row>
    <row r="6" spans="1:8" ht="29.4" customHeight="1">
      <c r="A6" s="624" t="s">
        <v>1011</v>
      </c>
      <c r="B6" s="62" t="s">
        <v>61</v>
      </c>
      <c r="C6" s="45" t="s">
        <v>62</v>
      </c>
      <c r="D6" s="33" t="s">
        <v>63</v>
      </c>
      <c r="E6" s="234">
        <v>620</v>
      </c>
      <c r="F6" s="35"/>
      <c r="G6" s="629"/>
      <c r="H6" s="472">
        <f>Drains90!U107</f>
        <v>618.76543209876547</v>
      </c>
    </row>
    <row r="7" spans="1:8" ht="29.4" customHeight="1">
      <c r="A7" s="624" t="s">
        <v>1012</v>
      </c>
      <c r="B7" s="62" t="s">
        <v>65</v>
      </c>
      <c r="C7" s="45" t="s">
        <v>66</v>
      </c>
      <c r="D7" s="33" t="s">
        <v>24</v>
      </c>
      <c r="E7" s="234">
        <v>120</v>
      </c>
      <c r="F7" s="35"/>
      <c r="G7" s="629"/>
      <c r="H7" s="472">
        <f>Drains90!K106+Drains90!K107</f>
        <v>118.73399999999999</v>
      </c>
    </row>
    <row r="8" spans="1:8" ht="29.4" customHeight="1">
      <c r="A8" s="633" t="s">
        <v>1013</v>
      </c>
      <c r="B8" s="60"/>
      <c r="C8" s="42" t="s">
        <v>53</v>
      </c>
      <c r="D8" s="61"/>
      <c r="E8" s="235"/>
      <c r="F8" s="61"/>
      <c r="G8" s="634"/>
    </row>
    <row r="9" spans="1:8" ht="29.4" customHeight="1">
      <c r="A9" s="624" t="s">
        <v>1014</v>
      </c>
      <c r="B9" s="62" t="s">
        <v>55</v>
      </c>
      <c r="C9" s="45" t="s">
        <v>56</v>
      </c>
      <c r="D9" s="33" t="s">
        <v>36</v>
      </c>
      <c r="E9" s="234">
        <v>3</v>
      </c>
      <c r="F9" s="35"/>
      <c r="G9" s="629"/>
      <c r="H9" s="472">
        <f>Drains90!I109</f>
        <v>3.0520750000000003</v>
      </c>
    </row>
    <row r="10" spans="1:8" ht="29.4" customHeight="1">
      <c r="A10" s="624" t="s">
        <v>1015</v>
      </c>
      <c r="B10" s="62" t="s">
        <v>58</v>
      </c>
      <c r="C10" s="45" t="s">
        <v>59</v>
      </c>
      <c r="D10" s="33" t="s">
        <v>36</v>
      </c>
      <c r="E10" s="234">
        <v>15</v>
      </c>
      <c r="F10" s="35"/>
      <c r="G10" s="629"/>
      <c r="H10" s="472">
        <f>Drains90!J109+Drains90!J110</f>
        <v>14.623550000000003</v>
      </c>
    </row>
    <row r="11" spans="1:8" ht="38.4" customHeight="1">
      <c r="A11" s="624" t="s">
        <v>1016</v>
      </c>
      <c r="B11" s="62" t="s">
        <v>61</v>
      </c>
      <c r="C11" s="45" t="s">
        <v>62</v>
      </c>
      <c r="D11" s="33" t="s">
        <v>63</v>
      </c>
      <c r="E11" s="234">
        <v>955</v>
      </c>
      <c r="F11" s="35"/>
      <c r="G11" s="629"/>
      <c r="H11" s="472">
        <f>Drains90!U110</f>
        <v>952.08436213991774</v>
      </c>
    </row>
    <row r="12" spans="1:8" ht="38.4" customHeight="1">
      <c r="A12" s="624" t="s">
        <v>1017</v>
      </c>
      <c r="B12" s="62" t="s">
        <v>65</v>
      </c>
      <c r="C12" s="45" t="s">
        <v>66</v>
      </c>
      <c r="D12" s="33" t="s">
        <v>24</v>
      </c>
      <c r="E12" s="234">
        <v>191</v>
      </c>
      <c r="F12" s="35"/>
      <c r="G12" s="629"/>
      <c r="H12" s="472">
        <f>Drains90!K109+Drains90!K110</f>
        <v>190.05199999999999</v>
      </c>
    </row>
    <row r="13" spans="1:8" ht="38.4" customHeight="1">
      <c r="A13" s="633" t="s">
        <v>1018</v>
      </c>
      <c r="B13" s="60"/>
      <c r="C13" s="42" t="s">
        <v>870</v>
      </c>
      <c r="D13" s="61"/>
      <c r="E13" s="235"/>
      <c r="F13" s="61"/>
      <c r="G13" s="634"/>
    </row>
    <row r="14" spans="1:8" ht="38.4" customHeight="1">
      <c r="A14" s="624" t="s">
        <v>1019</v>
      </c>
      <c r="B14" s="62" t="s">
        <v>55</v>
      </c>
      <c r="C14" s="45" t="s">
        <v>56</v>
      </c>
      <c r="D14" s="33" t="s">
        <v>36</v>
      </c>
      <c r="E14" s="234">
        <v>1</v>
      </c>
      <c r="F14" s="35"/>
      <c r="G14" s="629"/>
      <c r="H14" s="472">
        <f>Drains90!I164</f>
        <v>0.36465000000000009</v>
      </c>
    </row>
    <row r="15" spans="1:8" ht="38.4" customHeight="1">
      <c r="A15" s="624" t="s">
        <v>1020</v>
      </c>
      <c r="B15" s="62" t="s">
        <v>58</v>
      </c>
      <c r="C15" s="45" t="s">
        <v>59</v>
      </c>
      <c r="D15" s="33" t="s">
        <v>36</v>
      </c>
      <c r="E15" s="234">
        <v>2</v>
      </c>
      <c r="F15" s="35"/>
      <c r="G15" s="629"/>
      <c r="H15" s="472">
        <f>Drains90!J164+Drains90!J165</f>
        <v>1.8675918750000002</v>
      </c>
    </row>
    <row r="16" spans="1:8" ht="38.4" customHeight="1">
      <c r="A16" s="624" t="s">
        <v>1021</v>
      </c>
      <c r="B16" s="62" t="s">
        <v>61</v>
      </c>
      <c r="C16" s="45" t="s">
        <v>62</v>
      </c>
      <c r="D16" s="33" t="s">
        <v>63</v>
      </c>
      <c r="E16" s="234">
        <v>105</v>
      </c>
      <c r="F16" s="35"/>
      <c r="G16" s="629"/>
      <c r="H16" s="472">
        <f>Drains90!U165</f>
        <v>102.90123456790124</v>
      </c>
    </row>
    <row r="17" spans="1:8" ht="38.4" customHeight="1">
      <c r="A17" s="624" t="s">
        <v>1022</v>
      </c>
      <c r="B17" s="62" t="s">
        <v>65</v>
      </c>
      <c r="C17" s="45" t="s">
        <v>66</v>
      </c>
      <c r="D17" s="33" t="s">
        <v>24</v>
      </c>
      <c r="E17" s="234">
        <v>27</v>
      </c>
      <c r="F17" s="35"/>
      <c r="G17" s="629"/>
      <c r="H17" s="472">
        <f>Drains90!K164+Drains90!K165</f>
        <v>26.028750000000002</v>
      </c>
    </row>
    <row r="18" spans="1:8" s="65" customFormat="1" ht="38.4" customHeight="1">
      <c r="A18" s="633" t="s">
        <v>1023</v>
      </c>
      <c r="B18" s="46"/>
      <c r="C18" s="66" t="s">
        <v>1183</v>
      </c>
      <c r="D18" s="46"/>
      <c r="E18" s="231"/>
      <c r="F18" s="57"/>
      <c r="G18" s="277"/>
      <c r="H18" s="473"/>
    </row>
    <row r="19" spans="1:8" s="65" customFormat="1" ht="38.4" customHeight="1">
      <c r="A19" s="635" t="s">
        <v>1024</v>
      </c>
      <c r="B19" s="46" t="s">
        <v>85</v>
      </c>
      <c r="C19" s="58" t="s">
        <v>332</v>
      </c>
      <c r="D19" s="46" t="s">
        <v>5</v>
      </c>
      <c r="E19" s="231">
        <v>20</v>
      </c>
      <c r="F19" s="57"/>
      <c r="G19" s="629"/>
      <c r="H19" s="474">
        <f>Drains90!D166</f>
        <v>12</v>
      </c>
    </row>
    <row r="20" spans="1:8" ht="38.4" customHeight="1" thickBot="1">
      <c r="A20" s="631"/>
      <c r="B20" s="783" t="s">
        <v>1025</v>
      </c>
      <c r="C20" s="784"/>
      <c r="D20" s="784"/>
      <c r="E20" s="784"/>
      <c r="F20" s="785"/>
      <c r="G20" s="632"/>
    </row>
    <row r="21" spans="1:8" ht="34.799999999999997" customHeight="1"/>
    <row r="22" spans="1:8" ht="34.799999999999997" customHeight="1"/>
    <row r="23" spans="1:8" ht="34.799999999999997" customHeight="1"/>
    <row r="24" spans="1:8" ht="34.799999999999997" customHeight="1"/>
    <row r="25" spans="1:8" ht="34.799999999999997" customHeight="1"/>
    <row r="26" spans="1:8" ht="34.799999999999997" customHeight="1"/>
  </sheetData>
  <mergeCells count="3">
    <mergeCell ref="A1:C1"/>
    <mergeCell ref="D1:G1"/>
    <mergeCell ref="B20:F20"/>
  </mergeCells>
  <phoneticPr fontId="32" type="noConversion"/>
  <printOptions horizontalCentered="1"/>
  <pageMargins left="0.75" right="0.4" top="0.75" bottom="0.5" header="0" footer="0"/>
  <pageSetup paperSize="9" scale="78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3D900-01B6-40A8-84AD-323D95D77BBC}">
  <sheetPr>
    <tabColor rgb="FFFF9933"/>
    <pageSetUpPr fitToPage="1"/>
  </sheetPr>
  <dimension ref="A1:AF26"/>
  <sheetViews>
    <sheetView view="pageBreakPreview" topLeftCell="A13" zoomScale="91" zoomScaleNormal="110" zoomScaleSheetLayoutView="91" workbookViewId="0">
      <selection activeCell="H1" sqref="H1:I1048576"/>
    </sheetView>
  </sheetViews>
  <sheetFormatPr defaultColWidth="9.109375" defaultRowHeight="15"/>
  <cols>
    <col min="1" max="1" width="7.6640625" style="31" customWidth="1"/>
    <col min="2" max="2" width="9.6640625" style="279" customWidth="1"/>
    <col min="3" max="3" width="54" style="31" customWidth="1"/>
    <col min="4" max="4" width="7.6640625" style="280" customWidth="1"/>
    <col min="5" max="5" width="8.6640625" style="567" customWidth="1"/>
    <col min="6" max="6" width="13.44140625" style="31" customWidth="1"/>
    <col min="7" max="7" width="17.6640625" style="31" customWidth="1"/>
    <col min="8" max="8" width="11.5546875" style="471" hidden="1" customWidth="1"/>
    <col min="9" max="9" width="0" style="31" hidden="1" customWidth="1"/>
    <col min="10" max="16384" width="9.109375" style="31"/>
  </cols>
  <sheetData>
    <row r="1" spans="1:32" s="27" customFormat="1" ht="60" customHeight="1" thickBot="1">
      <c r="A1" s="778" t="s">
        <v>1026</v>
      </c>
      <c r="B1" s="779"/>
      <c r="C1" s="779"/>
      <c r="D1" s="789" t="str">
        <f>+'Bill 6.1.1'!D1:G1</f>
        <v>BILL NO. 6.1 - 
REDUCTION OF LANDSLIDE VULNERABILITY  BY MITIGATION MEASURES GAMMANA MAHA VIDYALAYA - AREA I (SITE NO. 90)</v>
      </c>
      <c r="E1" s="789"/>
      <c r="F1" s="789"/>
      <c r="G1" s="790"/>
      <c r="H1" s="470"/>
    </row>
    <row r="2" spans="1:32" ht="26.4">
      <c r="A2" s="620" t="s">
        <v>13</v>
      </c>
      <c r="B2" s="28" t="s">
        <v>14</v>
      </c>
      <c r="C2" s="29" t="s">
        <v>8</v>
      </c>
      <c r="D2" s="28" t="s">
        <v>15</v>
      </c>
      <c r="E2" s="565" t="s">
        <v>16</v>
      </c>
      <c r="F2" s="30" t="s">
        <v>17</v>
      </c>
      <c r="G2" s="621" t="s">
        <v>18</v>
      </c>
    </row>
    <row r="3" spans="1:32" ht="33" customHeight="1">
      <c r="A3" s="638"/>
      <c r="B3" s="261"/>
      <c r="C3" s="262" t="s">
        <v>871</v>
      </c>
      <c r="D3" s="261"/>
      <c r="E3" s="571"/>
      <c r="F3" s="263"/>
      <c r="G3" s="639"/>
    </row>
    <row r="4" spans="1:32" ht="30" customHeight="1">
      <c r="A4" s="640" t="s">
        <v>1027</v>
      </c>
      <c r="B4" s="264"/>
      <c r="C4" s="265" t="s">
        <v>343</v>
      </c>
      <c r="D4" s="266"/>
      <c r="E4" s="568"/>
      <c r="F4" s="32"/>
      <c r="G4" s="623"/>
    </row>
    <row r="5" spans="1:32" ht="30" customHeight="1">
      <c r="A5" s="661" t="s">
        <v>1028</v>
      </c>
      <c r="B5" s="62" t="s">
        <v>345</v>
      </c>
      <c r="C5" s="45" t="s">
        <v>346</v>
      </c>
      <c r="D5" s="62" t="s">
        <v>347</v>
      </c>
      <c r="E5" s="62"/>
      <c r="F5" s="35"/>
      <c r="G5" s="641"/>
    </row>
    <row r="6" spans="1:32" s="271" customFormat="1" ht="30" customHeight="1">
      <c r="A6" s="661" t="s">
        <v>1029</v>
      </c>
      <c r="B6" s="62" t="s">
        <v>349</v>
      </c>
      <c r="C6" s="45" t="s">
        <v>350</v>
      </c>
      <c r="D6" s="62" t="s">
        <v>5</v>
      </c>
      <c r="E6" s="62">
        <v>534</v>
      </c>
      <c r="F6" s="269"/>
      <c r="G6" s="642"/>
      <c r="H6" s="472">
        <f>'QTY90'!J87</f>
        <v>534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1:32" ht="30" customHeight="1">
      <c r="A7" s="661" t="s">
        <v>1030</v>
      </c>
      <c r="B7" s="62" t="s">
        <v>352</v>
      </c>
      <c r="C7" s="45" t="s">
        <v>872</v>
      </c>
      <c r="D7" s="62" t="s">
        <v>393</v>
      </c>
      <c r="E7" s="62">
        <v>440</v>
      </c>
      <c r="F7" s="269"/>
      <c r="G7" s="642"/>
      <c r="H7" s="472">
        <f>'QTY90'!J76</f>
        <v>439.20140000000004</v>
      </c>
    </row>
    <row r="8" spans="1:32" ht="30" customHeight="1">
      <c r="A8" s="661" t="s">
        <v>1031</v>
      </c>
      <c r="B8" s="62" t="s">
        <v>355</v>
      </c>
      <c r="C8" s="45" t="s">
        <v>873</v>
      </c>
      <c r="D8" s="62" t="s">
        <v>5</v>
      </c>
      <c r="E8" s="62">
        <v>435</v>
      </c>
      <c r="F8" s="478"/>
      <c r="G8" s="642"/>
      <c r="H8" s="472">
        <f>'QTY90'!J92</f>
        <v>434.25690000000003</v>
      </c>
    </row>
    <row r="9" spans="1:32" ht="30" customHeight="1">
      <c r="A9" s="661" t="s">
        <v>1032</v>
      </c>
      <c r="B9" s="62" t="s">
        <v>358</v>
      </c>
      <c r="C9" s="45" t="s">
        <v>489</v>
      </c>
      <c r="D9" s="62" t="s">
        <v>5</v>
      </c>
      <c r="E9" s="62">
        <v>142</v>
      </c>
      <c r="F9" s="269"/>
      <c r="G9" s="642"/>
      <c r="H9" s="472">
        <f>'QTY90'!J101</f>
        <v>141.07500000000002</v>
      </c>
    </row>
    <row r="10" spans="1:32" ht="30" customHeight="1">
      <c r="A10" s="661" t="s">
        <v>1033</v>
      </c>
      <c r="B10" s="62" t="s">
        <v>85</v>
      </c>
      <c r="C10" s="45" t="s">
        <v>255</v>
      </c>
      <c r="D10" s="62" t="s">
        <v>5</v>
      </c>
      <c r="E10" s="62">
        <v>100</v>
      </c>
      <c r="F10" s="269"/>
      <c r="G10" s="642"/>
    </row>
    <row r="11" spans="1:32" ht="38.4" customHeight="1">
      <c r="A11" s="661" t="s">
        <v>1034</v>
      </c>
      <c r="B11" s="62" t="s">
        <v>362</v>
      </c>
      <c r="C11" s="45" t="s">
        <v>363</v>
      </c>
      <c r="D11" s="62" t="s">
        <v>92</v>
      </c>
      <c r="E11" s="62">
        <v>6</v>
      </c>
      <c r="F11" s="269"/>
      <c r="G11" s="642"/>
      <c r="H11" s="471">
        <f>'QTY90'!C85*5%</f>
        <v>4.45</v>
      </c>
    </row>
    <row r="12" spans="1:32" ht="38.4" customHeight="1">
      <c r="A12" s="626" t="s">
        <v>1035</v>
      </c>
      <c r="B12" s="250"/>
      <c r="C12" s="251" t="s">
        <v>365</v>
      </c>
      <c r="D12" s="250"/>
      <c r="E12" s="236"/>
      <c r="F12" s="41"/>
      <c r="G12" s="630"/>
    </row>
    <row r="13" spans="1:32" ht="38.4" customHeight="1">
      <c r="A13" s="624" t="s">
        <v>1036</v>
      </c>
      <c r="B13" s="33" t="s">
        <v>367</v>
      </c>
      <c r="C13" s="272" t="s">
        <v>368</v>
      </c>
      <c r="D13" s="33" t="s">
        <v>5</v>
      </c>
      <c r="E13" s="234">
        <v>120</v>
      </c>
      <c r="F13" s="35"/>
      <c r="G13" s="629"/>
      <c r="H13" s="472">
        <f>'QTY90'!J97</f>
        <v>120</v>
      </c>
    </row>
    <row r="14" spans="1:32" ht="38.4" customHeight="1" thickBot="1">
      <c r="A14" s="631"/>
      <c r="B14" s="783" t="s">
        <v>1037</v>
      </c>
      <c r="C14" s="784"/>
      <c r="D14" s="784"/>
      <c r="E14" s="784"/>
      <c r="F14" s="785"/>
      <c r="G14" s="632"/>
    </row>
    <row r="15" spans="1:32" ht="38.4" customHeight="1"/>
    <row r="16" spans="1:32" ht="38.4" customHeight="1"/>
    <row r="17" ht="38.4" customHeight="1"/>
    <row r="18" ht="38.4" customHeight="1"/>
    <row r="19" ht="38.4" customHeight="1"/>
    <row r="20" ht="38.4" customHeight="1"/>
    <row r="21" ht="34.799999999999997" customHeight="1"/>
    <row r="22" ht="34.799999999999997" customHeight="1"/>
    <row r="23" ht="34.799999999999997" customHeight="1"/>
    <row r="24" ht="34.799999999999997" customHeight="1"/>
    <row r="25" ht="34.799999999999997" customHeight="1"/>
    <row r="26" ht="34.799999999999997" customHeight="1"/>
  </sheetData>
  <mergeCells count="3">
    <mergeCell ref="A1:C1"/>
    <mergeCell ref="D1:G1"/>
    <mergeCell ref="B14:F14"/>
  </mergeCells>
  <phoneticPr fontId="32" type="noConversion"/>
  <printOptions horizontalCentered="1"/>
  <pageMargins left="0.75" right="0.4" top="0.75" bottom="0.5" header="0" footer="0"/>
  <pageSetup paperSize="9" scale="76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45A7E-BA6B-49DC-A9EF-9B1F6BFAE418}">
  <sheetPr>
    <tabColor rgb="FFFF9933"/>
    <pageSetUpPr fitToPage="1"/>
  </sheetPr>
  <dimension ref="A1:J26"/>
  <sheetViews>
    <sheetView view="pageBreakPreview" zoomScale="96" zoomScaleNormal="100" zoomScaleSheetLayoutView="96" workbookViewId="0">
      <selection activeCell="H1" sqref="H1:J1048576"/>
    </sheetView>
  </sheetViews>
  <sheetFormatPr defaultColWidth="9.109375" defaultRowHeight="15"/>
  <cols>
    <col min="1" max="1" width="7.6640625" style="31" customWidth="1"/>
    <col min="2" max="2" width="7.88671875" style="31" customWidth="1"/>
    <col min="3" max="3" width="54" style="31" customWidth="1"/>
    <col min="4" max="4" width="7.6640625" style="31" customWidth="1"/>
    <col min="5" max="5" width="8.6640625" style="567" customWidth="1"/>
    <col min="6" max="6" width="10.6640625" style="31" customWidth="1"/>
    <col min="7" max="7" width="17.6640625" style="31" customWidth="1"/>
    <col min="8" max="8" width="9.6640625" style="542" hidden="1" customWidth="1"/>
    <col min="9" max="10" width="0" style="31" hidden="1" customWidth="1"/>
    <col min="11" max="16384" width="9.109375" style="31"/>
  </cols>
  <sheetData>
    <row r="1" spans="1:10" s="27" customFormat="1" ht="60" customHeight="1" thickBot="1">
      <c r="A1" s="778" t="s">
        <v>1038</v>
      </c>
      <c r="B1" s="779"/>
      <c r="C1" s="779"/>
      <c r="D1" s="789" t="str">
        <f>'Bill 6.1.1'!D1:G1</f>
        <v>BILL NO. 6.1 - 
REDUCTION OF LANDSLIDE VULNERABILITY  BY MITIGATION MEASURES GAMMANA MAHA VIDYALAYA - AREA I (SITE NO. 90)</v>
      </c>
      <c r="E1" s="789"/>
      <c r="F1" s="789"/>
      <c r="G1" s="790"/>
      <c r="H1" s="462"/>
    </row>
    <row r="2" spans="1:10" ht="26.4">
      <c r="A2" s="620" t="s">
        <v>13</v>
      </c>
      <c r="B2" s="28" t="s">
        <v>14</v>
      </c>
      <c r="C2" s="29" t="s">
        <v>8</v>
      </c>
      <c r="D2" s="28" t="s">
        <v>15</v>
      </c>
      <c r="E2" s="565" t="s">
        <v>16</v>
      </c>
      <c r="F2" s="30" t="s">
        <v>17</v>
      </c>
      <c r="G2" s="621" t="s">
        <v>18</v>
      </c>
    </row>
    <row r="3" spans="1:10" ht="30" customHeight="1">
      <c r="A3" s="640" t="s">
        <v>1039</v>
      </c>
      <c r="B3" s="264"/>
      <c r="C3" s="265" t="s">
        <v>496</v>
      </c>
      <c r="D3" s="266"/>
      <c r="E3" s="568"/>
      <c r="F3" s="32"/>
      <c r="G3" s="623"/>
    </row>
    <row r="4" spans="1:10" customFormat="1" ht="30" customHeight="1">
      <c r="A4" s="624" t="s">
        <v>1040</v>
      </c>
      <c r="B4" s="46" t="s">
        <v>370</v>
      </c>
      <c r="C4" s="47" t="s">
        <v>371</v>
      </c>
      <c r="D4" s="46" t="s">
        <v>372</v>
      </c>
      <c r="E4" s="234">
        <v>440</v>
      </c>
      <c r="F4" s="478"/>
      <c r="G4" s="543"/>
      <c r="H4" s="544">
        <f>'Bill 6.1.4'!H7</f>
        <v>439.20140000000004</v>
      </c>
    </row>
    <row r="5" spans="1:10" ht="30" customHeight="1">
      <c r="A5" s="624" t="s">
        <v>1041</v>
      </c>
      <c r="B5" s="33" t="s">
        <v>373</v>
      </c>
      <c r="C5" s="278" t="s">
        <v>499</v>
      </c>
      <c r="D5" s="33" t="s">
        <v>24</v>
      </c>
      <c r="E5" s="234">
        <v>440</v>
      </c>
      <c r="F5" s="269"/>
      <c r="G5" s="543"/>
      <c r="H5" s="544">
        <f>H4</f>
        <v>439.20140000000004</v>
      </c>
    </row>
    <row r="6" spans="1:10" s="27" customFormat="1" ht="30" customHeight="1">
      <c r="A6" s="624" t="s">
        <v>1042</v>
      </c>
      <c r="B6" s="643" t="s">
        <v>501</v>
      </c>
      <c r="C6" s="253" t="s">
        <v>502</v>
      </c>
      <c r="D6" s="46" t="s">
        <v>372</v>
      </c>
      <c r="E6" s="231">
        <v>50</v>
      </c>
      <c r="F6" s="57"/>
      <c r="G6" s="277"/>
      <c r="I6" s="304"/>
      <c r="J6" s="545" t="s">
        <v>874</v>
      </c>
    </row>
    <row r="7" spans="1:10" ht="22.5" customHeight="1" thickBot="1">
      <c r="A7" s="631"/>
      <c r="B7" s="783" t="s">
        <v>1043</v>
      </c>
      <c r="C7" s="784"/>
      <c r="D7" s="784"/>
      <c r="E7" s="784"/>
      <c r="F7" s="785"/>
      <c r="G7" s="632"/>
    </row>
    <row r="11" spans="1:10" ht="38.4" customHeight="1"/>
    <row r="12" spans="1:10" ht="38.4" customHeight="1"/>
    <row r="13" spans="1:10" ht="38.4" customHeight="1"/>
    <row r="14" spans="1:10" ht="38.4" customHeight="1"/>
    <row r="15" spans="1:10" ht="38.4" customHeight="1"/>
    <row r="16" spans="1:10" ht="38.4" customHeight="1"/>
    <row r="17" ht="38.4" customHeight="1"/>
    <row r="18" ht="38.4" customHeight="1"/>
    <row r="19" ht="38.4" customHeight="1"/>
    <row r="20" ht="38.4" customHeight="1"/>
    <row r="21" ht="34.799999999999997" customHeight="1"/>
    <row r="22" ht="34.799999999999997" customHeight="1"/>
    <row r="23" ht="34.799999999999997" customHeight="1"/>
    <row r="24" ht="34.799999999999997" customHeight="1"/>
    <row r="25" ht="34.799999999999997" customHeight="1"/>
    <row r="26" ht="34.799999999999997" customHeight="1"/>
  </sheetData>
  <mergeCells count="3">
    <mergeCell ref="A1:C1"/>
    <mergeCell ref="D1:G1"/>
    <mergeCell ref="B7:F7"/>
  </mergeCells>
  <phoneticPr fontId="32" type="noConversion"/>
  <printOptions horizontalCentered="1"/>
  <pageMargins left="0.75" right="0.4" top="0.75" bottom="0.5" header="0" footer="0"/>
  <pageSetup paperSize="9" scale="79" fitToHeight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EDCE6-134E-4B30-A89A-0FC81C93F13E}">
  <sheetPr>
    <tabColor rgb="FF00B050"/>
  </sheetPr>
  <dimension ref="A1:L124"/>
  <sheetViews>
    <sheetView view="pageBreakPreview" zoomScaleNormal="100" zoomScaleSheetLayoutView="100" workbookViewId="0">
      <pane ySplit="2" topLeftCell="A75" activePane="bottomLeft" state="frozen"/>
      <selection activeCell="D11" sqref="D11"/>
      <selection pane="bottomLeft" activeCell="D11" sqref="D11"/>
    </sheetView>
  </sheetViews>
  <sheetFormatPr defaultColWidth="9.109375" defaultRowHeight="13.2"/>
  <cols>
    <col min="1" max="1" width="26.5546875" style="67" customWidth="1"/>
    <col min="2" max="5" width="10.6640625" style="67" customWidth="1"/>
    <col min="6" max="7" width="12.6640625" style="67" customWidth="1"/>
    <col min="8" max="8" width="5.5546875" style="67" customWidth="1"/>
    <col min="9" max="10" width="12.6640625" style="67" customWidth="1"/>
    <col min="11" max="11" width="10.33203125" style="67" bestFit="1" customWidth="1"/>
    <col min="12" max="12" width="10" style="67" bestFit="1" customWidth="1"/>
    <col min="13" max="15" width="9.109375" style="67"/>
    <col min="16" max="16" width="11.109375" style="67" bestFit="1" customWidth="1"/>
    <col min="17" max="16384" width="9.109375" style="67"/>
  </cols>
  <sheetData>
    <row r="1" spans="1:12" ht="20.100000000000001" customHeight="1">
      <c r="A1" s="739" t="s">
        <v>875</v>
      </c>
      <c r="B1" s="740"/>
      <c r="C1" s="740"/>
      <c r="D1" s="740"/>
      <c r="E1" s="740"/>
      <c r="F1" s="740"/>
      <c r="G1" s="740"/>
      <c r="H1" s="740"/>
      <c r="I1" s="740"/>
      <c r="J1" s="741"/>
    </row>
    <row r="2" spans="1:12" s="70" customFormat="1" ht="30" customHeight="1">
      <c r="A2" s="68"/>
      <c r="B2" s="69" t="s">
        <v>90</v>
      </c>
      <c r="C2" s="69" t="s">
        <v>91</v>
      </c>
      <c r="D2" s="69" t="s">
        <v>6</v>
      </c>
      <c r="E2" s="69" t="s">
        <v>92</v>
      </c>
      <c r="F2" s="69" t="s">
        <v>93</v>
      </c>
      <c r="G2" s="69" t="s">
        <v>94</v>
      </c>
      <c r="H2" s="69" t="s">
        <v>95</v>
      </c>
      <c r="I2" s="69" t="s">
        <v>96</v>
      </c>
      <c r="J2" s="69" t="s">
        <v>97</v>
      </c>
      <c r="L2" s="71"/>
    </row>
    <row r="3" spans="1:12" ht="24.9" customHeight="1">
      <c r="A3" s="742" t="s">
        <v>98</v>
      </c>
      <c r="B3" s="743"/>
      <c r="C3" s="743"/>
      <c r="D3" s="743"/>
      <c r="E3" s="743"/>
      <c r="F3" s="743"/>
      <c r="G3" s="743"/>
      <c r="H3" s="743"/>
      <c r="I3" s="743"/>
      <c r="J3" s="744"/>
    </row>
    <row r="4" spans="1:12" ht="15">
      <c r="A4" s="745" t="s">
        <v>99</v>
      </c>
      <c r="B4" s="746"/>
      <c r="C4" s="746"/>
      <c r="D4" s="746"/>
      <c r="E4" s="746"/>
      <c r="F4" s="747"/>
      <c r="G4" s="72"/>
      <c r="H4" s="73"/>
      <c r="I4" s="72"/>
      <c r="J4" s="72"/>
    </row>
    <row r="5" spans="1:12" ht="15">
      <c r="A5" s="74"/>
      <c r="B5" s="75"/>
      <c r="C5" s="76"/>
      <c r="D5" s="77"/>
      <c r="E5" s="76"/>
      <c r="F5" s="75"/>
      <c r="G5" s="76"/>
      <c r="H5" s="76"/>
      <c r="I5" s="76"/>
      <c r="J5" s="78"/>
      <c r="L5" s="79"/>
    </row>
    <row r="6" spans="1:12" ht="15">
      <c r="A6" s="83" t="s">
        <v>577</v>
      </c>
      <c r="B6" s="81">
        <v>6.32</v>
      </c>
      <c r="C6" s="81">
        <v>4.58</v>
      </c>
      <c r="D6" s="77"/>
      <c r="E6" s="76"/>
      <c r="F6" s="75">
        <f>B6*C6</f>
        <v>28.945600000000002</v>
      </c>
      <c r="G6" s="76"/>
      <c r="H6" s="76" t="s">
        <v>100</v>
      </c>
      <c r="I6" s="78">
        <f>F6*1.1</f>
        <v>31.840160000000004</v>
      </c>
      <c r="J6" s="127">
        <f>ROUNDUP(I6,2)</f>
        <v>31.85</v>
      </c>
      <c r="L6" s="79"/>
    </row>
    <row r="7" spans="1:12" ht="15">
      <c r="A7" s="83" t="s">
        <v>876</v>
      </c>
      <c r="B7" s="81">
        <v>18.170000000000002</v>
      </c>
      <c r="C7" s="75">
        <v>5.87</v>
      </c>
      <c r="D7" s="77"/>
      <c r="E7" s="76"/>
      <c r="F7" s="75">
        <f>B7*C7</f>
        <v>106.65790000000001</v>
      </c>
      <c r="G7" s="76"/>
      <c r="H7" s="76" t="s">
        <v>100</v>
      </c>
      <c r="I7" s="78">
        <f>F7*1.1</f>
        <v>117.32369000000003</v>
      </c>
      <c r="J7" s="127">
        <f>ROUNDUP(I7,2)</f>
        <v>117.33</v>
      </c>
      <c r="L7" s="79"/>
    </row>
    <row r="8" spans="1:12" ht="15">
      <c r="A8" s="83" t="s">
        <v>877</v>
      </c>
      <c r="B8" s="81">
        <v>17.88</v>
      </c>
      <c r="C8" s="75">
        <v>10.995000000000001</v>
      </c>
      <c r="D8" s="77"/>
      <c r="E8" s="76"/>
      <c r="F8" s="75">
        <f>B8*C8</f>
        <v>196.59059999999999</v>
      </c>
      <c r="G8" s="76"/>
      <c r="H8" s="76" t="s">
        <v>100</v>
      </c>
      <c r="I8" s="78">
        <f>F8*1.1</f>
        <v>216.24966000000001</v>
      </c>
      <c r="J8" s="127">
        <f>ROUNDUP(I8,2)</f>
        <v>216.25</v>
      </c>
      <c r="L8" s="79"/>
    </row>
    <row r="9" spans="1:12" ht="15">
      <c r="A9" s="83" t="s">
        <v>878</v>
      </c>
      <c r="B9" s="75">
        <v>19.8</v>
      </c>
      <c r="C9" s="75">
        <v>9.7149999999999999</v>
      </c>
      <c r="D9" s="77"/>
      <c r="E9" s="76"/>
      <c r="F9" s="75">
        <f t="shared" ref="F9" si="0">B9*C9</f>
        <v>192.357</v>
      </c>
      <c r="G9" s="76"/>
      <c r="H9" s="76" t="s">
        <v>100</v>
      </c>
      <c r="I9" s="78">
        <f t="shared" ref="I9" si="1">F9*1.1</f>
        <v>211.59270000000001</v>
      </c>
      <c r="J9" s="127">
        <f t="shared" ref="J9" si="2">ROUNDUP(I9,2)</f>
        <v>211.6</v>
      </c>
      <c r="L9" s="79"/>
    </row>
    <row r="10" spans="1:12" ht="15">
      <c r="A10" s="83"/>
      <c r="B10" s="546"/>
      <c r="C10" s="546"/>
      <c r="D10" s="77"/>
      <c r="E10" s="76"/>
      <c r="F10" s="75"/>
      <c r="G10" s="76"/>
      <c r="H10" s="76"/>
      <c r="I10" s="78"/>
      <c r="J10" s="102">
        <f>SUM(J6:J9)</f>
        <v>577.03</v>
      </c>
      <c r="L10" s="79"/>
    </row>
    <row r="11" spans="1:12" ht="15">
      <c r="A11" s="83"/>
      <c r="B11" s="75"/>
      <c r="C11" s="75"/>
      <c r="D11" s="77"/>
      <c r="E11" s="76"/>
      <c r="F11" s="75"/>
      <c r="G11" s="76"/>
      <c r="H11" s="76"/>
      <c r="I11" s="78"/>
      <c r="J11" s="78"/>
      <c r="L11" s="79"/>
    </row>
    <row r="12" spans="1:12" ht="15">
      <c r="A12" s="86"/>
      <c r="B12" s="87"/>
      <c r="C12" s="88"/>
      <c r="D12" s="89"/>
      <c r="E12" s="90"/>
      <c r="F12" s="87"/>
      <c r="G12" s="90"/>
      <c r="H12" s="90"/>
      <c r="I12" s="91"/>
      <c r="J12" s="92"/>
    </row>
    <row r="13" spans="1:12" ht="15">
      <c r="A13" s="742" t="s">
        <v>101</v>
      </c>
      <c r="B13" s="743"/>
      <c r="C13" s="743"/>
      <c r="D13" s="743"/>
      <c r="E13" s="743"/>
      <c r="F13" s="743"/>
      <c r="G13" s="743"/>
      <c r="H13" s="743"/>
      <c r="I13" s="743"/>
      <c r="J13" s="744"/>
    </row>
    <row r="14" spans="1:12" ht="15">
      <c r="A14" s="748" t="s">
        <v>102</v>
      </c>
      <c r="B14" s="749"/>
      <c r="C14" s="749"/>
      <c r="D14" s="749"/>
      <c r="E14" s="749"/>
      <c r="F14" s="750"/>
      <c r="G14" s="72"/>
      <c r="H14" s="73"/>
      <c r="I14" s="73"/>
      <c r="J14" s="72"/>
      <c r="K14" s="93"/>
    </row>
    <row r="15" spans="1:12" ht="15">
      <c r="A15" s="748" t="s">
        <v>103</v>
      </c>
      <c r="B15" s="749"/>
      <c r="C15" s="749"/>
      <c r="D15" s="749"/>
      <c r="E15" s="749"/>
      <c r="F15" s="750"/>
      <c r="G15" s="72"/>
      <c r="H15" s="73"/>
      <c r="I15" s="72"/>
      <c r="J15" s="72"/>
      <c r="L15" s="79"/>
    </row>
    <row r="16" spans="1:12" ht="15">
      <c r="A16" s="748" t="s">
        <v>104</v>
      </c>
      <c r="B16" s="749"/>
      <c r="C16" s="749"/>
      <c r="D16" s="749"/>
      <c r="E16" s="749"/>
      <c r="F16" s="750"/>
      <c r="G16" s="94"/>
      <c r="H16" s="95"/>
      <c r="I16" s="94"/>
      <c r="J16" s="94"/>
      <c r="L16" s="79"/>
    </row>
    <row r="17" spans="1:12" ht="15">
      <c r="A17" s="83" t="s">
        <v>105</v>
      </c>
      <c r="B17" s="546"/>
      <c r="C17" s="546"/>
      <c r="D17" s="77"/>
      <c r="E17" s="76"/>
      <c r="F17" s="546"/>
      <c r="G17" s="76"/>
      <c r="H17" s="76"/>
      <c r="I17" s="78"/>
      <c r="J17" s="78"/>
      <c r="L17" s="79"/>
    </row>
    <row r="18" spans="1:12" ht="15">
      <c r="A18" s="83"/>
      <c r="B18" s="546"/>
      <c r="C18" s="546"/>
      <c r="D18" s="77"/>
      <c r="E18" s="76"/>
      <c r="F18" s="546"/>
      <c r="G18" s="76"/>
      <c r="H18" s="76"/>
      <c r="I18" s="78"/>
      <c r="J18" s="78"/>
      <c r="L18" s="79"/>
    </row>
    <row r="19" spans="1:12" ht="15">
      <c r="A19" s="83" t="str">
        <f>A6</f>
        <v>~CS01</v>
      </c>
      <c r="B19" s="546">
        <f>B6</f>
        <v>6.32</v>
      </c>
      <c r="C19" s="546">
        <v>1.54</v>
      </c>
      <c r="D19" s="77"/>
      <c r="E19" s="76"/>
      <c r="F19" s="546">
        <f t="shared" ref="F19:F22" si="3">B19*C19</f>
        <v>9.732800000000001</v>
      </c>
      <c r="G19" s="76"/>
      <c r="H19" s="76" t="s">
        <v>100</v>
      </c>
      <c r="I19" s="78">
        <f t="shared" ref="I19:I22" si="4">F19*1.1</f>
        <v>10.706080000000002</v>
      </c>
      <c r="J19" s="127">
        <f t="shared" ref="J19:J22" si="5">ROUNDUP(I19,2)</f>
        <v>10.709999999999999</v>
      </c>
      <c r="L19" s="79"/>
    </row>
    <row r="20" spans="1:12" ht="15">
      <c r="A20" s="83" t="str">
        <f t="shared" ref="A20:B22" si="6">A7</f>
        <v>CS01-CS02</v>
      </c>
      <c r="B20" s="546">
        <f t="shared" si="6"/>
        <v>18.170000000000002</v>
      </c>
      <c r="C20" s="546">
        <v>3.2149999999999999</v>
      </c>
      <c r="D20" s="77"/>
      <c r="E20" s="76"/>
      <c r="F20" s="546">
        <f t="shared" si="3"/>
        <v>58.416550000000001</v>
      </c>
      <c r="G20" s="76"/>
      <c r="H20" s="76" t="s">
        <v>100</v>
      </c>
      <c r="I20" s="78">
        <f t="shared" si="4"/>
        <v>64.258205000000004</v>
      </c>
      <c r="J20" s="127">
        <f t="shared" si="5"/>
        <v>64.260000000000005</v>
      </c>
      <c r="L20" s="79"/>
    </row>
    <row r="21" spans="1:12" ht="15">
      <c r="A21" s="83" t="str">
        <f t="shared" si="6"/>
        <v>CS02-CS03</v>
      </c>
      <c r="B21" s="546">
        <f t="shared" si="6"/>
        <v>17.88</v>
      </c>
      <c r="C21" s="546">
        <v>5.1349999999999998</v>
      </c>
      <c r="D21" s="77"/>
      <c r="E21" s="76"/>
      <c r="F21" s="546">
        <f t="shared" si="3"/>
        <v>91.813799999999986</v>
      </c>
      <c r="G21" s="76"/>
      <c r="H21" s="76" t="s">
        <v>100</v>
      </c>
      <c r="I21" s="78">
        <f t="shared" si="4"/>
        <v>100.99517999999999</v>
      </c>
      <c r="J21" s="127">
        <f t="shared" si="5"/>
        <v>101</v>
      </c>
    </row>
    <row r="22" spans="1:12" ht="15">
      <c r="A22" s="83" t="str">
        <f t="shared" si="6"/>
        <v>CS03-CS04</v>
      </c>
      <c r="B22" s="546">
        <f t="shared" si="6"/>
        <v>19.8</v>
      </c>
      <c r="C22" s="546">
        <v>3.5549999999999997</v>
      </c>
      <c r="D22" s="77"/>
      <c r="E22" s="76"/>
      <c r="F22" s="546">
        <f t="shared" si="3"/>
        <v>70.388999999999996</v>
      </c>
      <c r="G22" s="76"/>
      <c r="H22" s="76" t="s">
        <v>100</v>
      </c>
      <c r="I22" s="78">
        <f t="shared" si="4"/>
        <v>77.427900000000008</v>
      </c>
      <c r="J22" s="127">
        <f t="shared" si="5"/>
        <v>77.430000000000007</v>
      </c>
    </row>
    <row r="23" spans="1:12" ht="15">
      <c r="A23" s="83"/>
      <c r="B23" s="546"/>
      <c r="C23" s="546"/>
      <c r="D23" s="77"/>
      <c r="E23" s="76"/>
      <c r="F23" s="546"/>
      <c r="G23" s="76"/>
      <c r="H23" s="76"/>
      <c r="I23" s="78"/>
      <c r="J23" s="102">
        <f>SUM(J19:J22)</f>
        <v>253.4</v>
      </c>
    </row>
    <row r="24" spans="1:12" ht="15">
      <c r="A24" s="83"/>
      <c r="B24" s="546"/>
      <c r="C24" s="546"/>
      <c r="D24" s="77"/>
      <c r="E24" s="76"/>
      <c r="F24" s="546"/>
      <c r="G24" s="76"/>
      <c r="H24" s="76"/>
      <c r="I24" s="78"/>
      <c r="J24" s="100"/>
    </row>
    <row r="25" spans="1:12" ht="15">
      <c r="A25" s="83"/>
      <c r="B25" s="546"/>
      <c r="C25" s="546"/>
      <c r="D25" s="77"/>
      <c r="E25" s="76"/>
      <c r="F25" s="546"/>
      <c r="G25" s="76"/>
      <c r="H25" s="76"/>
      <c r="I25" s="78"/>
      <c r="J25" s="78"/>
    </row>
    <row r="26" spans="1:12" ht="15">
      <c r="A26" s="748" t="s">
        <v>106</v>
      </c>
      <c r="B26" s="749"/>
      <c r="C26" s="749"/>
      <c r="D26" s="749"/>
      <c r="E26" s="749"/>
      <c r="F26" s="750"/>
      <c r="G26" s="96"/>
      <c r="H26" s="73"/>
      <c r="I26" s="72"/>
      <c r="J26" s="72"/>
      <c r="K26" s="79"/>
      <c r="L26" s="79"/>
    </row>
    <row r="27" spans="1:12" ht="15">
      <c r="A27" s="748" t="s">
        <v>107</v>
      </c>
      <c r="B27" s="749"/>
      <c r="C27" s="749"/>
      <c r="D27" s="749"/>
      <c r="E27" s="749"/>
      <c r="F27" s="750"/>
      <c r="G27" s="96"/>
      <c r="H27" s="73"/>
      <c r="I27" s="72"/>
      <c r="J27" s="72"/>
      <c r="K27" s="79"/>
      <c r="L27" s="79"/>
    </row>
    <row r="28" spans="1:12" ht="15">
      <c r="A28" s="748" t="s">
        <v>108</v>
      </c>
      <c r="B28" s="749"/>
      <c r="C28" s="749"/>
      <c r="D28" s="749"/>
      <c r="E28" s="749"/>
      <c r="F28" s="750"/>
      <c r="G28" s="94"/>
      <c r="H28" s="95"/>
      <c r="I28" s="94"/>
      <c r="J28" s="94"/>
      <c r="K28" s="79"/>
      <c r="L28" s="79"/>
    </row>
    <row r="29" spans="1:12" ht="15">
      <c r="A29" s="97" t="s">
        <v>383</v>
      </c>
      <c r="B29" s="547"/>
      <c r="C29" s="98"/>
      <c r="D29" s="98"/>
      <c r="E29" s="99"/>
      <c r="F29" s="547"/>
      <c r="G29" s="99"/>
      <c r="H29" s="99"/>
      <c r="I29" s="78"/>
      <c r="J29" s="100"/>
      <c r="K29" s="79"/>
      <c r="L29" s="79"/>
    </row>
    <row r="30" spans="1:12" ht="15">
      <c r="A30" s="86"/>
      <c r="B30" s="522"/>
      <c r="C30" s="89"/>
      <c r="D30" s="89"/>
      <c r="E30" s="90"/>
      <c r="F30" s="522">
        <f>PRODUCT(B30:E30)</f>
        <v>0</v>
      </c>
      <c r="G30" s="101">
        <f>F30</f>
        <v>0</v>
      </c>
      <c r="H30" s="76" t="s">
        <v>100</v>
      </c>
      <c r="I30" s="78">
        <f>G30*1.1</f>
        <v>0</v>
      </c>
      <c r="J30" s="78">
        <f>I30</f>
        <v>0</v>
      </c>
      <c r="K30" s="79"/>
      <c r="L30" s="79"/>
    </row>
    <row r="31" spans="1:12" ht="15">
      <c r="A31" s="86"/>
      <c r="B31" s="522"/>
      <c r="C31" s="89"/>
      <c r="D31" s="89"/>
      <c r="E31" s="90"/>
      <c r="F31" s="522">
        <f>PRODUCT(B31:E31)</f>
        <v>0</v>
      </c>
      <c r="G31" s="101">
        <f>F31</f>
        <v>0</v>
      </c>
      <c r="H31" s="76" t="s">
        <v>100</v>
      </c>
      <c r="I31" s="78">
        <f>G31*1.1</f>
        <v>0</v>
      </c>
      <c r="J31" s="78">
        <f>I31</f>
        <v>0</v>
      </c>
      <c r="K31" s="79"/>
      <c r="L31" s="79"/>
    </row>
    <row r="32" spans="1:12" ht="15">
      <c r="A32" s="86"/>
      <c r="B32" s="522"/>
      <c r="C32" s="89"/>
      <c r="D32" s="89"/>
      <c r="E32" s="90"/>
      <c r="F32" s="522">
        <f>PRODUCT(B32:E32)</f>
        <v>0</v>
      </c>
      <c r="G32" s="101">
        <f>F32</f>
        <v>0</v>
      </c>
      <c r="H32" s="76" t="s">
        <v>100</v>
      </c>
      <c r="I32" s="78">
        <f>G32*1.1</f>
        <v>0</v>
      </c>
      <c r="J32" s="78">
        <f>I32</f>
        <v>0</v>
      </c>
      <c r="K32" s="79"/>
      <c r="L32" s="79"/>
    </row>
    <row r="33" spans="1:12" ht="15">
      <c r="A33" s="86"/>
      <c r="B33" s="522"/>
      <c r="C33" s="89"/>
      <c r="D33" s="89"/>
      <c r="E33" s="90"/>
      <c r="F33" s="522"/>
      <c r="G33" s="90"/>
      <c r="H33" s="90"/>
      <c r="I33" s="78"/>
      <c r="J33" s="100">
        <f>SUM(J30:J32)</f>
        <v>0</v>
      </c>
      <c r="K33" s="79"/>
      <c r="L33" s="79"/>
    </row>
    <row r="34" spans="1:12" ht="15">
      <c r="A34" s="86"/>
      <c r="B34" s="522"/>
      <c r="C34" s="89"/>
      <c r="D34" s="89"/>
      <c r="E34" s="90"/>
      <c r="F34" s="522"/>
      <c r="G34" s="90"/>
      <c r="H34" s="90"/>
      <c r="I34" s="78"/>
      <c r="J34" s="100"/>
      <c r="K34" s="79"/>
      <c r="L34" s="79"/>
    </row>
    <row r="35" spans="1:12" ht="15">
      <c r="A35" s="751" t="s">
        <v>109</v>
      </c>
      <c r="B35" s="752"/>
      <c r="C35" s="752"/>
      <c r="D35" s="752"/>
      <c r="E35" s="752"/>
      <c r="F35" s="752"/>
      <c r="G35" s="752"/>
      <c r="H35" s="752"/>
      <c r="I35" s="752"/>
      <c r="J35" s="753"/>
      <c r="K35" s="79"/>
      <c r="L35" s="79"/>
    </row>
    <row r="36" spans="1:12" ht="15">
      <c r="A36" s="97" t="s">
        <v>383</v>
      </c>
      <c r="B36" s="546"/>
      <c r="C36" s="77"/>
      <c r="D36" s="77"/>
      <c r="E36" s="76"/>
      <c r="F36" s="546"/>
      <c r="G36" s="76"/>
      <c r="H36" s="76"/>
      <c r="I36" s="78"/>
      <c r="J36" s="78"/>
      <c r="K36" s="79"/>
      <c r="L36" s="79"/>
    </row>
    <row r="37" spans="1:12" ht="15">
      <c r="A37" s="86"/>
      <c r="B37" s="522"/>
      <c r="C37" s="77"/>
      <c r="D37" s="77"/>
      <c r="E37" s="76"/>
      <c r="F37" s="522">
        <f>PRODUCT(B37:E37)</f>
        <v>0</v>
      </c>
      <c r="G37" s="101">
        <f>F37</f>
        <v>0</v>
      </c>
      <c r="H37" s="76" t="s">
        <v>100</v>
      </c>
      <c r="I37" s="78">
        <f>G37*1.1</f>
        <v>0</v>
      </c>
      <c r="J37" s="78">
        <f>I37</f>
        <v>0</v>
      </c>
      <c r="K37" s="79"/>
      <c r="L37" s="79"/>
    </row>
    <row r="38" spans="1:12" ht="15">
      <c r="A38" s="86"/>
      <c r="B38" s="522"/>
      <c r="C38" s="77"/>
      <c r="D38" s="77"/>
      <c r="E38" s="76"/>
      <c r="F38" s="522">
        <f>PRODUCT(B38:E38)</f>
        <v>0</v>
      </c>
      <c r="G38" s="101">
        <f>F38</f>
        <v>0</v>
      </c>
      <c r="H38" s="76" t="s">
        <v>100</v>
      </c>
      <c r="I38" s="78">
        <f>G38*1.1</f>
        <v>0</v>
      </c>
      <c r="J38" s="78">
        <f>I38</f>
        <v>0</v>
      </c>
      <c r="K38" s="79"/>
      <c r="L38" s="79"/>
    </row>
    <row r="39" spans="1:12" ht="15">
      <c r="A39" s="86"/>
      <c r="B39" s="522"/>
      <c r="C39" s="77"/>
      <c r="D39" s="77"/>
      <c r="E39" s="76"/>
      <c r="F39" s="522">
        <f>PRODUCT(B39:E39)</f>
        <v>0</v>
      </c>
      <c r="G39" s="101">
        <f>F39</f>
        <v>0</v>
      </c>
      <c r="H39" s="76" t="s">
        <v>100</v>
      </c>
      <c r="I39" s="78">
        <f>G39*1.1</f>
        <v>0</v>
      </c>
      <c r="J39" s="78">
        <f>I39</f>
        <v>0</v>
      </c>
      <c r="K39" s="79"/>
      <c r="L39" s="79"/>
    </row>
    <row r="40" spans="1:12" ht="15">
      <c r="A40" s="83"/>
      <c r="B40" s="546"/>
      <c r="C40" s="77"/>
      <c r="D40" s="77"/>
      <c r="E40" s="76"/>
      <c r="F40" s="522"/>
      <c r="G40" s="90"/>
      <c r="H40" s="90"/>
      <c r="I40" s="78"/>
      <c r="J40" s="100">
        <f>SUM(J37:J39)</f>
        <v>0</v>
      </c>
      <c r="K40" s="79"/>
      <c r="L40" s="79"/>
    </row>
    <row r="41" spans="1:12" ht="15">
      <c r="A41" s="83"/>
      <c r="B41" s="75"/>
      <c r="C41" s="77"/>
      <c r="D41" s="77"/>
      <c r="E41" s="76"/>
      <c r="F41" s="75"/>
      <c r="G41" s="76"/>
      <c r="H41" s="76"/>
      <c r="I41" s="78"/>
      <c r="J41" s="78"/>
      <c r="K41" s="79"/>
      <c r="L41" s="79"/>
    </row>
    <row r="42" spans="1:12" ht="15">
      <c r="A42" s="736"/>
      <c r="B42" s="737"/>
      <c r="C42" s="737"/>
      <c r="D42" s="737"/>
      <c r="E42" s="737"/>
      <c r="F42" s="737"/>
      <c r="G42" s="737"/>
      <c r="H42" s="737"/>
      <c r="I42" s="737"/>
      <c r="J42" s="738"/>
      <c r="L42" s="79"/>
    </row>
    <row r="43" spans="1:12" ht="15">
      <c r="A43" s="754" t="s">
        <v>110</v>
      </c>
      <c r="B43" s="755"/>
      <c r="C43" s="755"/>
      <c r="D43" s="755"/>
      <c r="E43" s="755"/>
      <c r="F43" s="755"/>
      <c r="G43" s="755"/>
      <c r="H43" s="755"/>
      <c r="I43" s="755"/>
      <c r="J43" s="756"/>
      <c r="L43" s="79"/>
    </row>
    <row r="44" spans="1:12" ht="15">
      <c r="A44" s="757" t="s">
        <v>111</v>
      </c>
      <c r="B44" s="758"/>
      <c r="C44" s="758"/>
      <c r="D44" s="758"/>
      <c r="E44" s="758"/>
      <c r="F44" s="759"/>
      <c r="G44" s="72"/>
      <c r="H44" s="73"/>
      <c r="I44" s="72"/>
      <c r="J44" s="72"/>
    </row>
    <row r="45" spans="1:12" ht="15">
      <c r="A45" s="74"/>
      <c r="B45" s="81"/>
      <c r="C45" s="98"/>
      <c r="D45" s="103"/>
      <c r="E45" s="104"/>
      <c r="F45" s="81"/>
      <c r="G45" s="105"/>
      <c r="H45" s="99"/>
      <c r="I45" s="78"/>
      <c r="J45" s="100"/>
      <c r="L45" s="106"/>
    </row>
    <row r="46" spans="1:12" s="70" customFormat="1" ht="30" customHeight="1">
      <c r="A46" s="86"/>
      <c r="B46" s="107"/>
      <c r="C46" s="108"/>
      <c r="D46" s="103"/>
      <c r="E46" s="104"/>
      <c r="F46" s="109"/>
      <c r="G46" s="110"/>
      <c r="H46" s="76"/>
      <c r="I46" s="111"/>
      <c r="J46" s="111"/>
    </row>
    <row r="47" spans="1:12" ht="15">
      <c r="A47" s="757" t="s">
        <v>112</v>
      </c>
      <c r="B47" s="758"/>
      <c r="C47" s="758"/>
      <c r="D47" s="758"/>
      <c r="E47" s="758"/>
      <c r="F47" s="759"/>
      <c r="G47" s="72"/>
      <c r="H47" s="73"/>
      <c r="I47" s="72"/>
      <c r="J47" s="72"/>
    </row>
    <row r="48" spans="1:12" ht="15">
      <c r="A48" s="754" t="s">
        <v>113</v>
      </c>
      <c r="B48" s="755"/>
      <c r="C48" s="755"/>
      <c r="D48" s="755"/>
      <c r="E48" s="755"/>
      <c r="F48" s="755"/>
      <c r="G48" s="755"/>
      <c r="H48" s="755"/>
      <c r="I48" s="755"/>
      <c r="J48" s="756"/>
      <c r="L48" s="79"/>
    </row>
    <row r="49" spans="1:12" ht="15">
      <c r="A49" s="97"/>
      <c r="B49" s="75"/>
      <c r="C49" s="77"/>
      <c r="D49" s="77"/>
      <c r="E49" s="76"/>
      <c r="F49" s="75"/>
      <c r="G49" s="76"/>
      <c r="H49" s="76"/>
      <c r="I49" s="78"/>
      <c r="J49" s="78"/>
      <c r="L49" s="79"/>
    </row>
    <row r="50" spans="1:12" ht="15">
      <c r="A50" s="86"/>
      <c r="B50" s="522"/>
      <c r="C50" s="77"/>
      <c r="D50" s="77"/>
      <c r="E50" s="76"/>
      <c r="F50" s="87">
        <f>PRODUCT(B50:E50)</f>
        <v>0</v>
      </c>
      <c r="G50" s="101">
        <f>F50</f>
        <v>0</v>
      </c>
      <c r="H50" s="76" t="s">
        <v>100</v>
      </c>
      <c r="I50" s="78">
        <f>G50*1.1</f>
        <v>0</v>
      </c>
      <c r="J50" s="100">
        <f>I50</f>
        <v>0</v>
      </c>
      <c r="L50" s="79"/>
    </row>
    <row r="51" spans="1:12" ht="15">
      <c r="A51" s="86"/>
      <c r="B51" s="522"/>
      <c r="C51" s="77"/>
      <c r="D51" s="77"/>
      <c r="E51" s="76"/>
      <c r="F51" s="87">
        <f>PRODUCT(B51:E51)</f>
        <v>0</v>
      </c>
      <c r="G51" s="101">
        <f>F51</f>
        <v>0</v>
      </c>
      <c r="H51" s="76" t="s">
        <v>100</v>
      </c>
      <c r="I51" s="78">
        <f>G51*1.1</f>
        <v>0</v>
      </c>
      <c r="J51" s="100">
        <f>I51</f>
        <v>0</v>
      </c>
      <c r="L51" s="79"/>
    </row>
    <row r="52" spans="1:12" ht="15">
      <c r="A52" s="86"/>
      <c r="B52" s="522"/>
      <c r="C52" s="77"/>
      <c r="D52" s="77"/>
      <c r="E52" s="76"/>
      <c r="F52" s="87">
        <f>PRODUCT(B52:E52)</f>
        <v>0</v>
      </c>
      <c r="G52" s="101">
        <f>F52</f>
        <v>0</v>
      </c>
      <c r="H52" s="76" t="s">
        <v>100</v>
      </c>
      <c r="I52" s="78">
        <f>G52*1.1</f>
        <v>0</v>
      </c>
      <c r="J52" s="100">
        <f>I52</f>
        <v>0</v>
      </c>
      <c r="L52" s="79"/>
    </row>
    <row r="53" spans="1:12" ht="15">
      <c r="A53" s="86"/>
      <c r="B53" s="522"/>
      <c r="C53" s="77"/>
      <c r="D53" s="77"/>
      <c r="E53" s="76"/>
      <c r="F53" s="522"/>
      <c r="G53" s="101"/>
      <c r="H53" s="76"/>
      <c r="I53" s="78"/>
      <c r="J53" s="78"/>
      <c r="L53" s="79"/>
    </row>
    <row r="54" spans="1:12" ht="15">
      <c r="A54" s="86"/>
      <c r="B54" s="522"/>
      <c r="C54" s="77"/>
      <c r="D54" s="77"/>
      <c r="E54" s="76"/>
      <c r="F54" s="522"/>
      <c r="G54" s="101"/>
      <c r="H54" s="76"/>
      <c r="I54" s="78"/>
      <c r="J54" s="78"/>
      <c r="L54" s="79"/>
    </row>
    <row r="55" spans="1:12" ht="30">
      <c r="A55" s="113"/>
      <c r="B55" s="114" t="s">
        <v>115</v>
      </c>
      <c r="C55" s="114" t="s">
        <v>92</v>
      </c>
      <c r="D55" s="114" t="s">
        <v>1</v>
      </c>
      <c r="E55" s="115" t="s">
        <v>116</v>
      </c>
      <c r="F55" s="114" t="s">
        <v>117</v>
      </c>
      <c r="G55" s="114"/>
      <c r="H55" s="114"/>
      <c r="I55" s="114"/>
      <c r="J55" s="114"/>
      <c r="L55" s="106"/>
    </row>
    <row r="56" spans="1:12" ht="15">
      <c r="A56" s="757" t="s">
        <v>118</v>
      </c>
      <c r="B56" s="758"/>
      <c r="C56" s="758"/>
      <c r="D56" s="758"/>
      <c r="E56" s="758"/>
      <c r="F56" s="759"/>
      <c r="G56" s="72"/>
      <c r="H56" s="73"/>
      <c r="I56" s="72"/>
      <c r="J56" s="72"/>
    </row>
    <row r="57" spans="1:12" ht="15">
      <c r="A57" s="116"/>
      <c r="B57" s="98"/>
      <c r="C57" s="99"/>
      <c r="D57" s="98"/>
      <c r="E57" s="99"/>
      <c r="F57" s="81"/>
      <c r="G57" s="103"/>
      <c r="H57" s="99"/>
      <c r="I57" s="103"/>
      <c r="J57" s="92"/>
      <c r="L57" s="106"/>
    </row>
    <row r="58" spans="1:12" ht="15">
      <c r="A58" s="116"/>
      <c r="B58" s="98"/>
      <c r="C58" s="99"/>
      <c r="D58" s="98"/>
      <c r="E58" s="99"/>
      <c r="F58" s="81"/>
      <c r="G58" s="103"/>
      <c r="H58" s="99"/>
      <c r="I58" s="103"/>
      <c r="J58" s="92"/>
      <c r="L58" s="106"/>
    </row>
    <row r="59" spans="1:12" ht="15">
      <c r="A59" s="757" t="s">
        <v>119</v>
      </c>
      <c r="B59" s="758"/>
      <c r="C59" s="758"/>
      <c r="D59" s="758"/>
      <c r="E59" s="758"/>
      <c r="F59" s="759"/>
      <c r="G59" s="72"/>
      <c r="H59" s="73"/>
      <c r="I59" s="72"/>
      <c r="J59" s="72"/>
    </row>
    <row r="60" spans="1:12" ht="15">
      <c r="A60" s="74"/>
      <c r="B60" s="81"/>
      <c r="C60" s="99"/>
      <c r="D60" s="98"/>
      <c r="E60" s="99"/>
      <c r="F60" s="81"/>
      <c r="G60" s="91"/>
      <c r="H60" s="99"/>
      <c r="I60" s="91"/>
      <c r="J60" s="92"/>
      <c r="L60" s="79"/>
    </row>
    <row r="61" spans="1:12" ht="15">
      <c r="A61" s="74"/>
      <c r="B61" s="81"/>
      <c r="C61" s="99"/>
      <c r="D61" s="98"/>
      <c r="E61" s="99"/>
      <c r="F61" s="81"/>
      <c r="G61" s="91"/>
      <c r="H61" s="99"/>
      <c r="I61" s="91"/>
      <c r="J61" s="92"/>
      <c r="L61" s="79"/>
    </row>
    <row r="62" spans="1:12" ht="24.9" customHeight="1">
      <c r="A62" s="757" t="s">
        <v>120</v>
      </c>
      <c r="B62" s="758"/>
      <c r="C62" s="758"/>
      <c r="D62" s="758"/>
      <c r="E62" s="758"/>
      <c r="F62" s="759"/>
      <c r="G62" s="72"/>
      <c r="H62" s="73"/>
      <c r="I62" s="72"/>
      <c r="J62" s="72"/>
    </row>
    <row r="63" spans="1:12" ht="15">
      <c r="A63" s="74"/>
      <c r="B63" s="117"/>
      <c r="C63" s="103"/>
      <c r="D63" s="103"/>
      <c r="E63" s="117"/>
      <c r="F63" s="81"/>
      <c r="G63" s="99"/>
      <c r="H63" s="99"/>
      <c r="I63" s="91"/>
      <c r="J63" s="100"/>
    </row>
    <row r="64" spans="1:12" ht="15">
      <c r="A64" s="74"/>
      <c r="B64" s="117"/>
      <c r="C64" s="103"/>
      <c r="D64" s="103"/>
      <c r="E64" s="117"/>
      <c r="F64" s="81"/>
      <c r="G64" s="99"/>
      <c r="H64" s="99"/>
      <c r="I64" s="91"/>
      <c r="J64" s="100"/>
      <c r="L64" s="79"/>
    </row>
    <row r="65" spans="1:12" ht="15">
      <c r="A65" s="754" t="s">
        <v>121</v>
      </c>
      <c r="B65" s="755"/>
      <c r="C65" s="755"/>
      <c r="D65" s="755"/>
      <c r="E65" s="755"/>
      <c r="F65" s="755"/>
      <c r="G65" s="755"/>
      <c r="H65" s="755"/>
      <c r="I65" s="755"/>
      <c r="J65" s="756"/>
      <c r="L65" s="106"/>
    </row>
    <row r="66" spans="1:12" ht="24.9" customHeight="1">
      <c r="A66" s="757"/>
      <c r="B66" s="758"/>
      <c r="C66" s="758"/>
      <c r="D66" s="758"/>
      <c r="E66" s="758"/>
      <c r="F66" s="759"/>
      <c r="G66" s="72"/>
      <c r="H66" s="73"/>
      <c r="I66" s="72"/>
      <c r="J66" s="72"/>
    </row>
    <row r="67" spans="1:12" ht="15">
      <c r="A67" s="74"/>
      <c r="B67" s="117"/>
      <c r="C67" s="99"/>
      <c r="D67" s="98"/>
      <c r="E67" s="99"/>
      <c r="F67" s="81"/>
      <c r="G67" s="99"/>
      <c r="H67" s="99"/>
      <c r="I67" s="91"/>
      <c r="J67" s="78"/>
      <c r="L67" s="79"/>
    </row>
    <row r="68" spans="1:12" ht="15">
      <c r="A68" s="118"/>
      <c r="B68" s="119"/>
      <c r="C68" s="120"/>
      <c r="D68" s="121"/>
      <c r="E68" s="120"/>
      <c r="F68" s="122"/>
      <c r="G68" s="120"/>
      <c r="H68" s="120"/>
      <c r="I68" s="123"/>
      <c r="J68" s="123"/>
      <c r="L68" s="79"/>
    </row>
    <row r="69" spans="1:12" ht="15">
      <c r="A69" s="760" t="s">
        <v>122</v>
      </c>
      <c r="B69" s="761"/>
      <c r="C69" s="761"/>
      <c r="D69" s="761"/>
      <c r="E69" s="761"/>
      <c r="F69" s="761"/>
      <c r="G69" s="761"/>
      <c r="H69" s="761"/>
      <c r="I69" s="761"/>
      <c r="J69" s="762"/>
      <c r="L69" s="79"/>
    </row>
    <row r="70" spans="1:12" ht="15">
      <c r="A70" s="751" t="s">
        <v>123</v>
      </c>
      <c r="B70" s="752"/>
      <c r="C70" s="752"/>
      <c r="D70" s="752"/>
      <c r="E70" s="752"/>
      <c r="F70" s="752"/>
      <c r="G70" s="752"/>
      <c r="H70" s="752"/>
      <c r="I70" s="124"/>
      <c r="J70" s="243"/>
      <c r="L70" s="79"/>
    </row>
    <row r="71" spans="1:12" ht="15">
      <c r="A71" s="288" t="s">
        <v>879</v>
      </c>
      <c r="B71" s="81"/>
      <c r="C71" s="90"/>
      <c r="D71" s="77"/>
      <c r="E71" s="76"/>
      <c r="F71" s="75"/>
      <c r="G71" s="76"/>
      <c r="H71" s="76"/>
      <c r="I71" s="78"/>
      <c r="J71" s="100"/>
      <c r="L71" s="79"/>
    </row>
    <row r="72" spans="1:12" ht="15">
      <c r="A72" s="83" t="s">
        <v>577</v>
      </c>
      <c r="B72" s="81">
        <v>6.32</v>
      </c>
      <c r="C72" s="90">
        <v>4.1500000000000004</v>
      </c>
      <c r="D72" s="77"/>
      <c r="E72" s="76"/>
      <c r="F72" s="75">
        <f>PRODUCT(B72:E72)</f>
        <v>26.228000000000005</v>
      </c>
      <c r="G72" s="76"/>
      <c r="H72" s="76" t="s">
        <v>5</v>
      </c>
      <c r="I72" s="78"/>
      <c r="J72" s="127">
        <f>F72</f>
        <v>26.228000000000005</v>
      </c>
      <c r="L72" s="79"/>
    </row>
    <row r="73" spans="1:12" ht="15">
      <c r="A73" s="83" t="s">
        <v>876</v>
      </c>
      <c r="B73" s="81">
        <v>18.170000000000002</v>
      </c>
      <c r="C73" s="90">
        <v>5.3000000000000007</v>
      </c>
      <c r="D73" s="77"/>
      <c r="E73" s="76"/>
      <c r="F73" s="75">
        <f>PRODUCT(B73:E73)</f>
        <v>96.301000000000016</v>
      </c>
      <c r="G73" s="76"/>
      <c r="H73" s="76" t="s">
        <v>5</v>
      </c>
      <c r="I73" s="78"/>
      <c r="J73" s="127">
        <f>F73</f>
        <v>96.301000000000016</v>
      </c>
      <c r="L73" s="79"/>
    </row>
    <row r="74" spans="1:12" ht="15">
      <c r="A74" s="83" t="s">
        <v>877</v>
      </c>
      <c r="B74" s="81">
        <v>17.88</v>
      </c>
      <c r="C74" s="90">
        <v>8.36</v>
      </c>
      <c r="D74" s="77"/>
      <c r="E74" s="76"/>
      <c r="F74" s="75">
        <f>PRODUCT(B74:E74)</f>
        <v>149.47679999999997</v>
      </c>
      <c r="G74" s="76"/>
      <c r="H74" s="76" t="s">
        <v>5</v>
      </c>
      <c r="I74" s="78"/>
      <c r="J74" s="127">
        <f>F74</f>
        <v>149.47679999999997</v>
      </c>
      <c r="L74" s="79"/>
    </row>
    <row r="75" spans="1:12" ht="15">
      <c r="A75" s="83" t="s">
        <v>510</v>
      </c>
      <c r="B75" s="81">
        <v>16.28</v>
      </c>
      <c r="C75" s="90">
        <v>10.27</v>
      </c>
      <c r="D75" s="77"/>
      <c r="E75" s="76"/>
      <c r="F75" s="75">
        <f t="shared" ref="F75" si="7">PRODUCT(B75:E75)</f>
        <v>167.19560000000001</v>
      </c>
      <c r="G75" s="76"/>
      <c r="H75" s="76" t="s">
        <v>5</v>
      </c>
      <c r="I75" s="78"/>
      <c r="J75" s="127">
        <f t="shared" ref="J75" si="8">F75</f>
        <v>167.19560000000001</v>
      </c>
      <c r="L75" s="79"/>
    </row>
    <row r="76" spans="1:12" ht="15">
      <c r="A76" s="83"/>
      <c r="B76" s="81"/>
      <c r="C76" s="90"/>
      <c r="D76" s="77"/>
      <c r="E76" s="76"/>
      <c r="F76" s="75"/>
      <c r="G76" s="76"/>
      <c r="H76" s="76"/>
      <c r="I76" s="78"/>
      <c r="J76" s="102">
        <f>SUM(J72:J75)</f>
        <v>439.20140000000004</v>
      </c>
      <c r="L76" s="79"/>
    </row>
    <row r="77" spans="1:12" ht="15">
      <c r="A77" s="288"/>
      <c r="B77" s="81"/>
      <c r="C77" s="90"/>
      <c r="D77" s="77"/>
      <c r="E77" s="76"/>
      <c r="F77" s="75"/>
      <c r="G77" s="76"/>
      <c r="H77" s="76"/>
      <c r="I77" s="78"/>
      <c r="J77" s="78"/>
      <c r="L77" s="79"/>
    </row>
    <row r="78" spans="1:12" ht="15">
      <c r="A78" s="288" t="s">
        <v>125</v>
      </c>
      <c r="B78" s="87"/>
      <c r="C78" s="90"/>
      <c r="D78" s="89"/>
      <c r="E78" s="90"/>
      <c r="F78" s="81"/>
      <c r="G78" s="90"/>
      <c r="H78" s="90"/>
      <c r="I78" s="78"/>
      <c r="J78" s="78"/>
      <c r="L78" s="79"/>
    </row>
    <row r="79" spans="1:12" ht="15">
      <c r="A79" s="83"/>
      <c r="B79" s="87"/>
      <c r="C79" s="90"/>
      <c r="D79" s="89"/>
      <c r="E79" s="90"/>
      <c r="F79" s="87"/>
      <c r="G79" s="90"/>
      <c r="H79" s="128"/>
      <c r="I79" s="78"/>
      <c r="J79" s="78"/>
      <c r="L79" s="79"/>
    </row>
    <row r="80" spans="1:12" ht="15">
      <c r="A80" s="83" t="s">
        <v>126</v>
      </c>
      <c r="B80" s="87"/>
      <c r="C80" s="90"/>
      <c r="D80" s="89"/>
      <c r="E80" s="90"/>
      <c r="F80" s="87"/>
      <c r="G80" s="90"/>
      <c r="H80" s="128"/>
      <c r="I80" s="78"/>
      <c r="J80" s="78"/>
      <c r="L80" s="79"/>
    </row>
    <row r="81" spans="1:12" ht="15">
      <c r="A81" s="83"/>
      <c r="B81" s="87"/>
      <c r="C81" s="90"/>
      <c r="D81" s="89"/>
      <c r="E81" s="90"/>
      <c r="F81" s="87"/>
      <c r="G81" s="90"/>
      <c r="H81" s="76"/>
      <c r="I81" s="78"/>
      <c r="J81" s="78"/>
      <c r="L81" s="79"/>
    </row>
    <row r="82" spans="1:12" ht="15">
      <c r="A82" s="83"/>
      <c r="B82" s="87"/>
      <c r="C82" s="90"/>
      <c r="D82" s="89"/>
      <c r="E82" s="90"/>
      <c r="F82" s="87"/>
      <c r="G82" s="90"/>
      <c r="H82" s="76"/>
      <c r="I82" s="78"/>
      <c r="J82" s="78"/>
      <c r="L82" s="79"/>
    </row>
    <row r="83" spans="1:12" ht="15">
      <c r="A83" s="751" t="s">
        <v>127</v>
      </c>
      <c r="B83" s="752"/>
      <c r="C83" s="752"/>
      <c r="D83" s="752"/>
      <c r="E83" s="752"/>
      <c r="F83" s="752"/>
      <c r="G83" s="752"/>
      <c r="H83" s="752"/>
      <c r="I83" s="752"/>
      <c r="J83" s="753"/>
      <c r="L83" s="79"/>
    </row>
    <row r="84" spans="1:12" ht="15">
      <c r="A84" s="129"/>
      <c r="B84" s="130"/>
      <c r="C84" s="76"/>
      <c r="D84" s="77"/>
      <c r="E84" s="76"/>
      <c r="F84" s="75"/>
      <c r="G84" s="76"/>
      <c r="H84" s="76"/>
      <c r="I84" s="78"/>
      <c r="J84" s="78"/>
      <c r="L84" s="79"/>
    </row>
    <row r="85" spans="1:12" ht="15" customHeight="1">
      <c r="A85" s="289" t="s">
        <v>880</v>
      </c>
      <c r="B85" s="130">
        <v>6</v>
      </c>
      <c r="C85" s="76">
        <v>89</v>
      </c>
      <c r="D85" s="77"/>
      <c r="E85" s="76"/>
      <c r="F85" s="546">
        <f>PRODUCT(B85:E85)</f>
        <v>534</v>
      </c>
      <c r="G85" s="76"/>
      <c r="H85" s="76" t="s">
        <v>5</v>
      </c>
      <c r="I85" s="78"/>
      <c r="J85" s="127">
        <f>F85</f>
        <v>534</v>
      </c>
      <c r="L85" s="79"/>
    </row>
    <row r="86" spans="1:12" ht="15">
      <c r="A86" s="129"/>
      <c r="B86" s="117"/>
      <c r="C86" s="99"/>
      <c r="D86" s="98"/>
      <c r="E86" s="99"/>
      <c r="F86" s="547"/>
      <c r="G86" s="99"/>
      <c r="H86" s="99"/>
      <c r="I86" s="91"/>
      <c r="J86" s="290"/>
      <c r="L86" s="79"/>
    </row>
    <row r="87" spans="1:12" ht="15">
      <c r="A87" s="83"/>
      <c r="B87" s="117"/>
      <c r="C87" s="99"/>
      <c r="D87" s="98"/>
      <c r="E87" s="99"/>
      <c r="F87" s="547"/>
      <c r="G87" s="99"/>
      <c r="H87" s="99"/>
      <c r="I87" s="91"/>
      <c r="J87" s="132">
        <f>SUM(J85:J85)</f>
        <v>534</v>
      </c>
      <c r="L87" s="79"/>
    </row>
    <row r="88" spans="1:12" ht="15">
      <c r="A88" s="287"/>
      <c r="B88" s="88"/>
      <c r="C88" s="90"/>
      <c r="D88" s="89"/>
      <c r="E88" s="90"/>
      <c r="F88" s="522"/>
      <c r="G88" s="90"/>
      <c r="H88" s="90"/>
      <c r="I88" s="101"/>
      <c r="J88" s="133"/>
      <c r="L88" s="79"/>
    </row>
    <row r="89" spans="1:12" ht="15">
      <c r="A89" s="751" t="s">
        <v>128</v>
      </c>
      <c r="B89" s="752"/>
      <c r="C89" s="752"/>
      <c r="D89" s="752"/>
      <c r="E89" s="752"/>
      <c r="F89" s="752"/>
      <c r="G89" s="752"/>
      <c r="H89" s="752"/>
      <c r="I89" s="752"/>
      <c r="J89" s="753"/>
      <c r="L89" s="79"/>
    </row>
    <row r="90" spans="1:12" ht="15">
      <c r="A90" s="129" t="s">
        <v>7</v>
      </c>
      <c r="B90" s="130">
        <v>174.48</v>
      </c>
      <c r="C90" s="76"/>
      <c r="D90" s="77"/>
      <c r="E90" s="76"/>
      <c r="F90" s="546">
        <f>B90</f>
        <v>174.48</v>
      </c>
      <c r="G90" s="78">
        <f>F90</f>
        <v>174.48</v>
      </c>
      <c r="H90" s="76" t="s">
        <v>5</v>
      </c>
      <c r="I90" s="78">
        <f>G90*1.1</f>
        <v>191.928</v>
      </c>
      <c r="J90" s="127">
        <f>I90*1.1</f>
        <v>211.1208</v>
      </c>
      <c r="L90" s="79"/>
    </row>
    <row r="91" spans="1:12" ht="15">
      <c r="A91" s="129" t="s">
        <v>6</v>
      </c>
      <c r="B91" s="130">
        <v>184.41</v>
      </c>
      <c r="C91" s="76"/>
      <c r="D91" s="77"/>
      <c r="E91" s="76"/>
      <c r="F91" s="546">
        <f>B91</f>
        <v>184.41</v>
      </c>
      <c r="G91" s="78">
        <f>F91</f>
        <v>184.41</v>
      </c>
      <c r="H91" s="76" t="s">
        <v>5</v>
      </c>
      <c r="I91" s="78">
        <f>G91*1.1</f>
        <v>202.851</v>
      </c>
      <c r="J91" s="127">
        <f>I91*1.1</f>
        <v>223.13610000000003</v>
      </c>
      <c r="L91" s="79"/>
    </row>
    <row r="92" spans="1:12" ht="15">
      <c r="A92" s="83"/>
      <c r="B92" s="117"/>
      <c r="C92" s="99"/>
      <c r="D92" s="98"/>
      <c r="E92" s="99"/>
      <c r="F92" s="547"/>
      <c r="G92" s="99"/>
      <c r="H92" s="99"/>
      <c r="I92" s="91"/>
      <c r="J92" s="132">
        <f>SUM(J90:J91)</f>
        <v>434.25690000000003</v>
      </c>
      <c r="L92" s="79"/>
    </row>
    <row r="93" spans="1:12" ht="15">
      <c r="A93" s="548"/>
      <c r="B93" s="549"/>
      <c r="C93" s="550"/>
      <c r="D93" s="534"/>
      <c r="E93" s="550"/>
      <c r="F93" s="551"/>
      <c r="G93" s="128"/>
      <c r="H93" s="128"/>
      <c r="I93" s="525"/>
      <c r="J93" s="552"/>
      <c r="L93" s="79"/>
    </row>
    <row r="94" spans="1:12" ht="15">
      <c r="A94" s="757" t="s">
        <v>388</v>
      </c>
      <c r="B94" s="758"/>
      <c r="C94" s="758"/>
      <c r="D94" s="758"/>
      <c r="E94" s="758"/>
      <c r="F94" s="759"/>
      <c r="G94" s="72"/>
      <c r="H94" s="73"/>
      <c r="I94" s="72"/>
      <c r="J94" s="72"/>
      <c r="L94" s="79"/>
    </row>
    <row r="95" spans="1:12" ht="15">
      <c r="A95" s="134" t="s">
        <v>389</v>
      </c>
      <c r="B95" s="88">
        <v>20</v>
      </c>
      <c r="C95" s="89"/>
      <c r="D95" s="135"/>
      <c r="E95" s="90">
        <v>6</v>
      </c>
      <c r="F95" s="547">
        <f>B95*E95</f>
        <v>120</v>
      </c>
      <c r="G95" s="91"/>
      <c r="H95" s="99" t="s">
        <v>5</v>
      </c>
      <c r="I95" s="91"/>
      <c r="J95" s="290">
        <f>F95</f>
        <v>120</v>
      </c>
      <c r="L95" s="79"/>
    </row>
    <row r="96" spans="1:12" ht="15">
      <c r="A96" s="134"/>
      <c r="B96" s="88"/>
      <c r="C96" s="89"/>
      <c r="D96" s="135"/>
      <c r="E96" s="90"/>
      <c r="F96" s="547"/>
      <c r="G96" s="91"/>
      <c r="H96" s="99"/>
      <c r="I96" s="91"/>
      <c r="J96" s="290"/>
    </row>
    <row r="97" spans="1:10" ht="15">
      <c r="A97" s="134"/>
      <c r="B97" s="88"/>
      <c r="C97" s="89"/>
      <c r="D97" s="135"/>
      <c r="E97" s="90"/>
      <c r="F97" s="522"/>
      <c r="G97" s="101"/>
      <c r="H97" s="90"/>
      <c r="I97" s="101"/>
      <c r="J97" s="137">
        <f>SUM(J95:J96)</f>
        <v>120</v>
      </c>
    </row>
    <row r="98" spans="1:10" ht="15">
      <c r="A98" s="86"/>
      <c r="B98" s="88"/>
      <c r="C98" s="89"/>
      <c r="D98" s="135"/>
      <c r="E98" s="90"/>
      <c r="F98" s="522"/>
      <c r="G98" s="101"/>
      <c r="H98" s="90"/>
      <c r="I98" s="101"/>
      <c r="J98" s="101"/>
    </row>
    <row r="99" spans="1:10" ht="15">
      <c r="A99" s="751" t="s">
        <v>390</v>
      </c>
      <c r="B99" s="752"/>
      <c r="C99" s="752"/>
      <c r="D99" s="752"/>
      <c r="E99" s="752"/>
      <c r="F99" s="752"/>
      <c r="G99" s="752"/>
      <c r="H99" s="752"/>
      <c r="I99" s="752"/>
      <c r="J99" s="753"/>
    </row>
    <row r="100" spans="1:10" ht="15">
      <c r="A100" s="238"/>
      <c r="B100" s="239"/>
      <c r="C100" s="239"/>
      <c r="D100" s="239"/>
      <c r="E100" s="239"/>
      <c r="F100" s="239"/>
      <c r="G100" s="239"/>
      <c r="H100" s="239"/>
      <c r="I100" s="239"/>
      <c r="J100" s="240"/>
    </row>
    <row r="101" spans="1:10" ht="15">
      <c r="A101" s="141"/>
      <c r="B101" s="142">
        <v>128.25</v>
      </c>
      <c r="C101" s="143"/>
      <c r="D101" s="144"/>
      <c r="E101" s="143"/>
      <c r="F101" s="553">
        <f>B101</f>
        <v>128.25</v>
      </c>
      <c r="G101" s="143"/>
      <c r="H101" s="143" t="s">
        <v>5</v>
      </c>
      <c r="I101" s="146">
        <f>F101*1.1</f>
        <v>141.07500000000002</v>
      </c>
      <c r="J101" s="147">
        <f>I101</f>
        <v>141.07500000000002</v>
      </c>
    </row>
    <row r="103" spans="1:10" ht="15">
      <c r="A103" s="751" t="s">
        <v>129</v>
      </c>
      <c r="B103" s="752"/>
      <c r="C103" s="752"/>
      <c r="D103" s="752"/>
      <c r="E103" s="752"/>
      <c r="F103" s="752"/>
      <c r="G103" s="752"/>
      <c r="H103" s="752"/>
      <c r="I103" s="752"/>
      <c r="J103" s="753"/>
    </row>
    <row r="104" spans="1:10" ht="15">
      <c r="A104" s="148"/>
      <c r="B104" s="547"/>
      <c r="C104" s="90"/>
      <c r="D104" s="547"/>
      <c r="E104" s="90"/>
      <c r="F104" s="547"/>
      <c r="G104" s="91"/>
      <c r="H104" s="99"/>
      <c r="I104" s="91"/>
      <c r="J104" s="91"/>
    </row>
    <row r="105" spans="1:10" ht="15">
      <c r="A105" s="74"/>
      <c r="B105" s="87"/>
      <c r="C105" s="90"/>
      <c r="D105" s="87"/>
      <c r="E105" s="90"/>
      <c r="F105" s="87"/>
      <c r="G105" s="101"/>
      <c r="H105" s="90"/>
      <c r="I105" s="101"/>
      <c r="J105" s="101"/>
    </row>
    <row r="106" spans="1:10" ht="15">
      <c r="A106" s="74"/>
      <c r="B106" s="87"/>
      <c r="C106" s="90"/>
      <c r="D106" s="87"/>
      <c r="E106" s="90"/>
      <c r="F106" s="87"/>
      <c r="G106" s="101"/>
      <c r="H106" s="90"/>
      <c r="I106" s="101"/>
      <c r="J106" s="101"/>
    </row>
    <row r="107" spans="1:10" ht="15">
      <c r="A107" s="74"/>
      <c r="B107" s="87"/>
      <c r="C107" s="90"/>
      <c r="D107" s="87"/>
      <c r="E107" s="90"/>
      <c r="F107" s="87"/>
      <c r="G107" s="101"/>
      <c r="H107" s="90"/>
      <c r="I107" s="101"/>
      <c r="J107" s="101"/>
    </row>
    <row r="108" spans="1:10" ht="15">
      <c r="A108" s="74"/>
      <c r="B108" s="87"/>
      <c r="C108" s="90"/>
      <c r="D108" s="87"/>
      <c r="E108" s="90"/>
      <c r="F108" s="87"/>
      <c r="G108" s="101"/>
      <c r="H108" s="90"/>
      <c r="I108" s="101"/>
      <c r="J108" s="101"/>
    </row>
    <row r="109" spans="1:10" ht="15">
      <c r="A109" s="74"/>
      <c r="B109" s="87"/>
      <c r="C109" s="90"/>
      <c r="D109" s="87"/>
      <c r="E109" s="90"/>
      <c r="F109" s="87"/>
      <c r="G109" s="101"/>
      <c r="H109" s="90"/>
      <c r="I109" s="101"/>
      <c r="J109" s="101"/>
    </row>
    <row r="110" spans="1:10" ht="15">
      <c r="A110" s="74"/>
      <c r="B110" s="87"/>
      <c r="C110" s="90"/>
      <c r="D110" s="87"/>
      <c r="E110" s="90"/>
      <c r="F110" s="87"/>
      <c r="G110" s="101"/>
      <c r="H110" s="90"/>
      <c r="I110" s="101"/>
      <c r="J110" s="101"/>
    </row>
    <row r="111" spans="1:10" ht="15">
      <c r="A111" s="554"/>
      <c r="B111" s="122"/>
      <c r="C111" s="121"/>
      <c r="D111" s="555"/>
      <c r="E111" s="120"/>
      <c r="F111" s="122"/>
      <c r="G111" s="123"/>
      <c r="H111" s="120"/>
      <c r="I111" s="123"/>
      <c r="J111" s="556"/>
    </row>
    <row r="112" spans="1:10" ht="15">
      <c r="A112" s="736" t="s">
        <v>881</v>
      </c>
      <c r="B112" s="737"/>
      <c r="C112" s="737"/>
      <c r="D112" s="737"/>
      <c r="E112" s="737"/>
      <c r="F112" s="737"/>
      <c r="G112" s="737"/>
      <c r="H112" s="737"/>
      <c r="I112" s="737"/>
      <c r="J112" s="738"/>
    </row>
    <row r="113" spans="1:12" ht="15">
      <c r="A113" s="83"/>
      <c r="B113" s="81"/>
      <c r="C113" s="90"/>
      <c r="D113" s="81"/>
      <c r="E113" s="90"/>
      <c r="F113" s="81"/>
      <c r="G113" s="91"/>
      <c r="H113" s="99"/>
      <c r="I113" s="91"/>
      <c r="J113" s="91"/>
    </row>
    <row r="114" spans="1:12" ht="15">
      <c r="A114" s="281"/>
      <c r="B114" s="122"/>
      <c r="C114" s="120"/>
      <c r="D114" s="122"/>
      <c r="E114" s="120"/>
      <c r="F114" s="122"/>
      <c r="G114" s="123"/>
      <c r="H114" s="120"/>
      <c r="I114" s="123"/>
      <c r="J114" s="123"/>
    </row>
    <row r="115" spans="1:12" ht="15">
      <c r="A115" s="736" t="s">
        <v>130</v>
      </c>
      <c r="B115" s="737"/>
      <c r="C115" s="737"/>
      <c r="D115" s="737"/>
      <c r="E115" s="737"/>
      <c r="F115" s="737"/>
      <c r="G115" s="737"/>
      <c r="H115" s="737"/>
      <c r="I115" s="737"/>
      <c r="J115" s="738"/>
    </row>
    <row r="116" spans="1:12" ht="15">
      <c r="A116" s="83"/>
      <c r="B116" s="81"/>
      <c r="C116" s="90"/>
      <c r="D116" s="81"/>
      <c r="E116" s="90"/>
      <c r="F116" s="81"/>
      <c r="G116" s="91"/>
      <c r="H116" s="99"/>
      <c r="I116" s="91"/>
      <c r="J116" s="91"/>
    </row>
    <row r="117" spans="1:12" ht="15">
      <c r="A117" s="83"/>
      <c r="B117" s="87"/>
      <c r="C117" s="90"/>
      <c r="D117" s="87"/>
      <c r="E117" s="90"/>
      <c r="F117" s="87"/>
      <c r="G117" s="101"/>
      <c r="H117" s="90"/>
      <c r="I117" s="101"/>
      <c r="J117" s="149"/>
      <c r="L117" s="67" t="s">
        <v>131</v>
      </c>
    </row>
    <row r="118" spans="1:12" ht="15">
      <c r="A118" s="736" t="s">
        <v>867</v>
      </c>
      <c r="B118" s="737"/>
      <c r="C118" s="737"/>
      <c r="D118" s="737"/>
      <c r="E118" s="737"/>
      <c r="F118" s="737"/>
      <c r="G118" s="737"/>
      <c r="H118" s="737"/>
      <c r="I118" s="737"/>
      <c r="J118" s="738"/>
    </row>
    <row r="119" spans="1:12" ht="15">
      <c r="A119" s="83"/>
      <c r="B119" s="87"/>
      <c r="C119" s="90"/>
      <c r="D119" s="87"/>
      <c r="E119" s="90"/>
      <c r="F119" s="87"/>
      <c r="G119" s="101"/>
      <c r="H119" s="90"/>
      <c r="I119" s="101"/>
      <c r="J119" s="149"/>
    </row>
    <row r="120" spans="1:12" ht="15">
      <c r="A120" s="83" t="s">
        <v>882</v>
      </c>
      <c r="B120" s="87"/>
      <c r="C120" s="557"/>
      <c r="D120" s="557"/>
      <c r="E120" s="90"/>
      <c r="F120" s="87">
        <f>PRODUCT(B120:E120)</f>
        <v>0</v>
      </c>
      <c r="G120" s="101">
        <f>F120</f>
        <v>0</v>
      </c>
      <c r="H120" s="90" t="s">
        <v>100</v>
      </c>
      <c r="I120" s="101">
        <f>G120*1.1</f>
        <v>0</v>
      </c>
      <c r="J120" s="133">
        <f>I120</f>
        <v>0</v>
      </c>
    </row>
    <row r="121" spans="1:12" ht="15">
      <c r="A121" s="83"/>
      <c r="B121" s="87"/>
      <c r="C121" s="90"/>
      <c r="D121" s="87"/>
      <c r="E121" s="90"/>
      <c r="F121" s="87"/>
      <c r="G121" s="101"/>
      <c r="H121" s="90"/>
      <c r="I121" s="101"/>
      <c r="J121" s="149"/>
    </row>
    <row r="122" spans="1:12" ht="15">
      <c r="A122" s="83"/>
      <c r="B122" s="87"/>
      <c r="C122" s="90"/>
      <c r="D122" s="87"/>
      <c r="E122" s="90"/>
      <c r="F122" s="87"/>
      <c r="G122" s="101"/>
      <c r="H122" s="90"/>
      <c r="I122" s="101"/>
      <c r="J122" s="149"/>
    </row>
    <row r="123" spans="1:12" ht="15">
      <c r="A123" s="83"/>
      <c r="B123" s="87"/>
      <c r="C123" s="90"/>
      <c r="D123" s="87"/>
      <c r="E123" s="90"/>
      <c r="F123" s="87"/>
      <c r="G123" s="101"/>
      <c r="H123" s="90"/>
      <c r="I123" s="101"/>
      <c r="J123" s="149"/>
    </row>
    <row r="124" spans="1:12" ht="15">
      <c r="A124" s="83"/>
      <c r="B124" s="122"/>
      <c r="C124" s="120"/>
      <c r="D124" s="122"/>
      <c r="E124" s="120"/>
      <c r="F124" s="122"/>
      <c r="G124" s="123"/>
      <c r="H124" s="120"/>
      <c r="I124" s="123"/>
      <c r="J124" s="123"/>
    </row>
  </sheetData>
  <mergeCells count="31">
    <mergeCell ref="A42:J42"/>
    <mergeCell ref="A1:J1"/>
    <mergeCell ref="A3:J3"/>
    <mergeCell ref="A4:F4"/>
    <mergeCell ref="A13:J13"/>
    <mergeCell ref="A14:F14"/>
    <mergeCell ref="A15:F15"/>
    <mergeCell ref="A16:F16"/>
    <mergeCell ref="A26:F26"/>
    <mergeCell ref="A27:F27"/>
    <mergeCell ref="A28:F28"/>
    <mergeCell ref="A35:J35"/>
    <mergeCell ref="A83:J83"/>
    <mergeCell ref="A43:J43"/>
    <mergeCell ref="A44:F44"/>
    <mergeCell ref="A47:F47"/>
    <mergeCell ref="A48:J48"/>
    <mergeCell ref="A56:F56"/>
    <mergeCell ref="A59:F59"/>
    <mergeCell ref="A62:F62"/>
    <mergeCell ref="A65:J65"/>
    <mergeCell ref="A66:F66"/>
    <mergeCell ref="A69:J69"/>
    <mergeCell ref="A70:H70"/>
    <mergeCell ref="A118:J118"/>
    <mergeCell ref="A89:J89"/>
    <mergeCell ref="A94:F94"/>
    <mergeCell ref="A99:J99"/>
    <mergeCell ref="A103:J103"/>
    <mergeCell ref="A112:J112"/>
    <mergeCell ref="A115:J115"/>
  </mergeCells>
  <pageMargins left="0.7" right="0.7" top="0.75" bottom="0.75" header="0.3" footer="0.3"/>
  <pageSetup paperSize="9" scale="63" orientation="portrait" r:id="rId1"/>
  <rowBreaks count="1" manualBreakCount="1">
    <brk id="45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35C32-2B58-442A-B6DA-D51A870F81CA}">
  <dimension ref="B3:W250"/>
  <sheetViews>
    <sheetView zoomScale="70" zoomScaleNormal="70" workbookViewId="0">
      <pane ySplit="1" topLeftCell="A89" activePane="bottomLeft" state="frozen"/>
      <selection activeCell="D11" sqref="D11"/>
      <selection pane="bottomLeft" activeCell="D11" sqref="D11"/>
    </sheetView>
  </sheetViews>
  <sheetFormatPr defaultColWidth="9.109375" defaultRowHeight="14.4"/>
  <cols>
    <col min="1" max="1" width="3.88671875" style="153" customWidth="1"/>
    <col min="2" max="2" width="20.44140625" style="153" customWidth="1"/>
    <col min="3" max="3" width="17.109375" style="153" customWidth="1"/>
    <col min="4" max="4" width="14.44140625" style="153" customWidth="1"/>
    <col min="5" max="5" width="15.109375" style="153" customWidth="1"/>
    <col min="6" max="10" width="14.44140625" style="153" customWidth="1"/>
    <col min="11" max="11" width="19.88671875" style="153" customWidth="1"/>
    <col min="12" max="12" width="12.109375" style="153" customWidth="1"/>
    <col min="13" max="13" width="14" style="153" customWidth="1"/>
    <col min="14" max="17" width="9.109375" style="153"/>
    <col min="18" max="18" width="11.88671875" style="153" customWidth="1"/>
    <col min="19" max="19" width="12.88671875" style="153" customWidth="1"/>
    <col min="20" max="20" width="9.109375" style="153"/>
    <col min="21" max="21" width="11.109375" style="153" bestFit="1" customWidth="1"/>
    <col min="22" max="16384" width="9.109375" style="153"/>
  </cols>
  <sheetData>
    <row r="3" spans="2:23">
      <c r="B3" s="150" t="s">
        <v>132</v>
      </c>
      <c r="C3" s="150" t="s">
        <v>133</v>
      </c>
      <c r="D3" s="150" t="s">
        <v>134</v>
      </c>
      <c r="E3" s="150" t="s">
        <v>135</v>
      </c>
      <c r="F3" s="150" t="s">
        <v>136</v>
      </c>
      <c r="G3" s="150"/>
      <c r="H3" s="765" t="s">
        <v>137</v>
      </c>
      <c r="I3" s="765"/>
      <c r="J3" s="765"/>
      <c r="K3" s="150" t="s">
        <v>138</v>
      </c>
      <c r="L3" s="151" t="s">
        <v>139</v>
      </c>
      <c r="M3" s="152"/>
    </row>
    <row r="4" spans="2:23" ht="19.5" customHeight="1">
      <c r="B4" s="154"/>
      <c r="C4" s="154"/>
      <c r="D4" s="154"/>
      <c r="E4" s="154"/>
      <c r="F4" s="155" t="s">
        <v>135</v>
      </c>
      <c r="G4" s="155" t="s">
        <v>140</v>
      </c>
      <c r="H4" s="155" t="s">
        <v>141</v>
      </c>
      <c r="I4" s="155" t="s">
        <v>140</v>
      </c>
      <c r="J4" s="155" t="s">
        <v>142</v>
      </c>
      <c r="K4" s="155" t="s">
        <v>143</v>
      </c>
      <c r="L4" s="156" t="s">
        <v>144</v>
      </c>
      <c r="M4" s="156" t="s">
        <v>145</v>
      </c>
    </row>
    <row r="5" spans="2:23">
      <c r="B5" s="157"/>
      <c r="C5" s="157"/>
      <c r="D5" s="157"/>
      <c r="E5" s="157"/>
      <c r="F5" s="158"/>
      <c r="G5" s="158"/>
      <c r="H5" s="158"/>
      <c r="I5" s="158"/>
      <c r="J5" s="158"/>
      <c r="K5" s="159"/>
      <c r="L5" s="159"/>
      <c r="M5" s="159"/>
    </row>
    <row r="6" spans="2:23" ht="18">
      <c r="B6" s="159" t="s">
        <v>146</v>
      </c>
      <c r="C6" s="160">
        <v>0.3</v>
      </c>
      <c r="D6" s="160">
        <v>0.3</v>
      </c>
      <c r="E6" s="160">
        <v>0.1</v>
      </c>
      <c r="F6" s="160">
        <v>0.05</v>
      </c>
      <c r="G6" s="160">
        <v>10</v>
      </c>
      <c r="H6" s="160">
        <v>0.2</v>
      </c>
      <c r="I6" s="160">
        <v>10</v>
      </c>
      <c r="J6" s="160">
        <v>0.25</v>
      </c>
      <c r="K6" s="160">
        <v>3</v>
      </c>
      <c r="L6" s="159"/>
      <c r="M6" s="159"/>
      <c r="T6" s="766" t="s">
        <v>147</v>
      </c>
      <c r="U6" s="766"/>
    </row>
    <row r="7" spans="2:23">
      <c r="B7" s="159"/>
      <c r="C7" s="160"/>
      <c r="D7" s="160"/>
      <c r="E7" s="160"/>
      <c r="F7" s="160"/>
      <c r="G7" s="160"/>
      <c r="H7" s="159"/>
      <c r="I7" s="159"/>
      <c r="J7" s="159"/>
      <c r="K7" s="160"/>
      <c r="L7" s="159"/>
      <c r="M7" s="159"/>
      <c r="S7" s="161"/>
      <c r="V7" s="161"/>
      <c r="W7" s="767" t="s">
        <v>6</v>
      </c>
    </row>
    <row r="8" spans="2:23">
      <c r="B8" s="159"/>
      <c r="C8" s="160"/>
      <c r="D8" s="160"/>
      <c r="E8" s="160"/>
      <c r="F8" s="160"/>
      <c r="G8" s="160"/>
      <c r="H8" s="159"/>
      <c r="I8" s="159"/>
      <c r="J8" s="159"/>
      <c r="K8" s="160"/>
      <c r="L8" s="159"/>
      <c r="M8" s="159"/>
      <c r="S8" s="161"/>
      <c r="V8" s="161"/>
      <c r="W8" s="767"/>
    </row>
    <row r="9" spans="2:23">
      <c r="B9" s="159" t="s">
        <v>148</v>
      </c>
      <c r="C9" s="160">
        <v>0.45</v>
      </c>
      <c r="D9" s="160">
        <v>0.45</v>
      </c>
      <c r="E9" s="160">
        <v>0.1</v>
      </c>
      <c r="F9" s="160">
        <v>0.05</v>
      </c>
      <c r="G9" s="160">
        <v>10</v>
      </c>
      <c r="H9" s="160">
        <v>0.2</v>
      </c>
      <c r="I9" s="160">
        <v>10</v>
      </c>
      <c r="J9" s="160">
        <v>0.25</v>
      </c>
      <c r="K9" s="160">
        <v>3</v>
      </c>
      <c r="L9" s="159"/>
      <c r="M9" s="159"/>
      <c r="S9" s="161"/>
      <c r="V9" s="161"/>
      <c r="W9" s="767"/>
    </row>
    <row r="10" spans="2:23">
      <c r="B10" s="159"/>
      <c r="C10" s="160"/>
      <c r="D10" s="160"/>
      <c r="E10" s="160"/>
      <c r="F10" s="160"/>
      <c r="G10" s="160"/>
      <c r="H10" s="160"/>
      <c r="I10" s="160"/>
      <c r="J10" s="160"/>
      <c r="K10" s="160"/>
      <c r="L10" s="159"/>
      <c r="M10" s="159"/>
      <c r="S10" s="161"/>
      <c r="V10" s="161"/>
      <c r="W10" s="767"/>
    </row>
    <row r="11" spans="2:23">
      <c r="B11" s="159"/>
      <c r="C11" s="160"/>
      <c r="D11" s="160"/>
      <c r="E11" s="160"/>
      <c r="F11" s="160"/>
      <c r="G11" s="160"/>
      <c r="H11" s="159"/>
      <c r="I11" s="159"/>
      <c r="J11" s="159"/>
      <c r="K11" s="160"/>
      <c r="L11" s="159"/>
      <c r="M11" s="159"/>
      <c r="S11" s="161"/>
      <c r="V11" s="161"/>
      <c r="W11" s="767"/>
    </row>
    <row r="12" spans="2:23">
      <c r="B12" s="159" t="s">
        <v>149</v>
      </c>
      <c r="C12" s="160">
        <v>0.6</v>
      </c>
      <c r="D12" s="160">
        <v>0.6</v>
      </c>
      <c r="E12" s="160">
        <v>0.1</v>
      </c>
      <c r="F12" s="160">
        <v>0.05</v>
      </c>
      <c r="G12" s="160">
        <v>10</v>
      </c>
      <c r="H12" s="159">
        <v>0.2</v>
      </c>
      <c r="I12" s="159">
        <v>10</v>
      </c>
      <c r="J12" s="159">
        <v>0.25</v>
      </c>
      <c r="K12" s="160">
        <v>3</v>
      </c>
      <c r="L12" s="159"/>
      <c r="M12" s="159"/>
      <c r="S12" s="161"/>
      <c r="V12" s="161"/>
      <c r="W12" s="767"/>
    </row>
    <row r="13" spans="2:23">
      <c r="B13" s="159"/>
      <c r="C13" s="160"/>
      <c r="D13" s="160"/>
      <c r="E13" s="160"/>
      <c r="F13" s="160"/>
      <c r="G13" s="160"/>
      <c r="H13" s="159"/>
      <c r="I13" s="159"/>
      <c r="J13" s="159"/>
      <c r="K13" s="160"/>
      <c r="L13" s="159"/>
      <c r="M13" s="159"/>
      <c r="S13" s="161"/>
      <c r="V13" s="161"/>
      <c r="W13" s="767"/>
    </row>
    <row r="14" spans="2:23">
      <c r="B14" s="159"/>
      <c r="C14" s="160"/>
      <c r="D14" s="160"/>
      <c r="E14" s="160"/>
      <c r="F14" s="160"/>
      <c r="G14" s="160"/>
      <c r="H14" s="159"/>
      <c r="I14" s="159"/>
      <c r="J14" s="159"/>
      <c r="K14" s="160"/>
      <c r="L14" s="159"/>
      <c r="M14" s="159"/>
      <c r="S14" s="161"/>
      <c r="V14" s="161"/>
      <c r="W14" s="767"/>
    </row>
    <row r="15" spans="2:23">
      <c r="B15" s="159" t="s">
        <v>150</v>
      </c>
      <c r="C15" s="160">
        <v>0.75</v>
      </c>
      <c r="D15" s="160">
        <v>0.75</v>
      </c>
      <c r="E15" s="162">
        <v>0.125</v>
      </c>
      <c r="F15" s="160">
        <v>0.05</v>
      </c>
      <c r="G15" s="160">
        <v>10</v>
      </c>
      <c r="H15" s="159">
        <v>0.2</v>
      </c>
      <c r="I15" s="159">
        <v>10</v>
      </c>
      <c r="J15" s="159">
        <v>0.25</v>
      </c>
      <c r="K15" s="160">
        <v>3</v>
      </c>
      <c r="L15" s="159"/>
      <c r="M15" s="159"/>
      <c r="S15" s="161"/>
      <c r="V15" s="161"/>
      <c r="W15" s="767"/>
    </row>
    <row r="16" spans="2:23">
      <c r="B16" s="159"/>
      <c r="C16" s="160"/>
      <c r="D16" s="160"/>
      <c r="E16" s="160"/>
      <c r="F16" s="160"/>
      <c r="G16" s="160"/>
      <c r="H16" s="159"/>
      <c r="I16" s="159"/>
      <c r="J16" s="159"/>
      <c r="K16" s="160"/>
      <c r="L16" s="159"/>
      <c r="M16" s="159"/>
      <c r="S16" s="161"/>
      <c r="V16" s="161"/>
      <c r="W16" s="767"/>
    </row>
    <row r="17" spans="2:23">
      <c r="B17" s="159"/>
      <c r="C17" s="160"/>
      <c r="D17" s="160"/>
      <c r="E17" s="160"/>
      <c r="F17" s="160"/>
      <c r="G17" s="160"/>
      <c r="H17" s="159"/>
      <c r="I17" s="159"/>
      <c r="J17" s="159"/>
      <c r="K17" s="160"/>
      <c r="L17" s="159"/>
      <c r="M17" s="159"/>
      <c r="S17" s="161"/>
      <c r="V17" s="161"/>
      <c r="W17" s="767"/>
    </row>
    <row r="18" spans="2:23">
      <c r="B18" s="163" t="s">
        <v>151</v>
      </c>
      <c r="C18" s="160">
        <v>0.9</v>
      </c>
      <c r="D18" s="160">
        <v>0.9</v>
      </c>
      <c r="E18" s="162">
        <v>0.15</v>
      </c>
      <c r="F18" s="160">
        <v>0.05</v>
      </c>
      <c r="G18" s="160">
        <v>10</v>
      </c>
      <c r="H18" s="159">
        <v>0.17499999999999999</v>
      </c>
      <c r="I18" s="159">
        <v>10</v>
      </c>
      <c r="J18" s="159">
        <v>0.25</v>
      </c>
      <c r="K18" s="160">
        <v>3</v>
      </c>
      <c r="L18" s="159"/>
      <c r="M18" s="159"/>
      <c r="S18" s="161"/>
      <c r="T18" s="161"/>
      <c r="U18" s="161"/>
      <c r="V18" s="161"/>
      <c r="W18" s="767" t="s">
        <v>152</v>
      </c>
    </row>
    <row r="19" spans="2:23">
      <c r="B19" s="159"/>
      <c r="C19" s="160"/>
      <c r="D19" s="160"/>
      <c r="E19" s="160"/>
      <c r="F19" s="160"/>
      <c r="G19" s="160"/>
      <c r="H19" s="159"/>
      <c r="I19" s="159"/>
      <c r="J19" s="159"/>
      <c r="K19" s="160"/>
      <c r="L19" s="159"/>
      <c r="M19" s="159"/>
      <c r="S19" s="161"/>
      <c r="T19" s="161"/>
      <c r="U19" s="161"/>
      <c r="V19" s="161"/>
      <c r="W19" s="767"/>
    </row>
    <row r="20" spans="2:23">
      <c r="B20" s="159"/>
      <c r="C20" s="160"/>
      <c r="D20" s="160"/>
      <c r="E20" s="160"/>
      <c r="F20" s="160"/>
      <c r="G20" s="160"/>
      <c r="H20" s="159"/>
      <c r="I20" s="159"/>
      <c r="J20" s="159"/>
      <c r="K20" s="160"/>
      <c r="L20" s="159"/>
      <c r="M20" s="159"/>
      <c r="S20" s="161"/>
      <c r="T20" s="161"/>
      <c r="U20" s="161"/>
      <c r="V20" s="161"/>
      <c r="W20" s="767"/>
    </row>
    <row r="21" spans="2:23">
      <c r="B21" s="159" t="s">
        <v>153</v>
      </c>
      <c r="C21" s="160">
        <v>1</v>
      </c>
      <c r="D21" s="160">
        <v>1</v>
      </c>
      <c r="E21" s="160">
        <v>0.15</v>
      </c>
      <c r="F21" s="160">
        <v>0.05</v>
      </c>
      <c r="G21" s="160">
        <v>10</v>
      </c>
      <c r="H21" s="159">
        <v>0.17499999999999999</v>
      </c>
      <c r="I21" s="159">
        <v>10</v>
      </c>
      <c r="J21" s="159">
        <v>0.25</v>
      </c>
      <c r="K21" s="160">
        <v>3</v>
      </c>
      <c r="L21" s="159"/>
      <c r="M21" s="159"/>
      <c r="S21" s="164"/>
      <c r="T21" s="164"/>
      <c r="U21" s="164"/>
      <c r="V21" s="164"/>
      <c r="W21" s="153" t="s">
        <v>154</v>
      </c>
    </row>
    <row r="22" spans="2:23">
      <c r="B22" s="159"/>
      <c r="C22" s="160"/>
      <c r="D22" s="160"/>
      <c r="E22" s="160"/>
      <c r="F22" s="160"/>
      <c r="G22" s="160"/>
      <c r="H22" s="159"/>
      <c r="I22" s="159"/>
      <c r="J22" s="159"/>
      <c r="K22" s="160"/>
      <c r="L22" s="159"/>
      <c r="M22" s="159"/>
      <c r="S22" s="164"/>
      <c r="T22" s="164"/>
      <c r="U22" s="164"/>
      <c r="V22" s="164"/>
    </row>
    <row r="23" spans="2:23">
      <c r="B23" s="159"/>
      <c r="C23" s="160"/>
      <c r="D23" s="160"/>
      <c r="E23" s="160"/>
      <c r="F23" s="160"/>
      <c r="G23" s="160"/>
      <c r="H23" s="159"/>
      <c r="I23" s="159"/>
      <c r="J23" s="159"/>
      <c r="K23" s="160"/>
      <c r="L23" s="159"/>
      <c r="M23" s="159"/>
    </row>
    <row r="24" spans="2:23">
      <c r="B24" s="159" t="s">
        <v>155</v>
      </c>
      <c r="C24" s="160">
        <v>0.3</v>
      </c>
      <c r="D24" s="160">
        <v>0.3</v>
      </c>
      <c r="E24" s="160">
        <v>0.1</v>
      </c>
      <c r="F24" s="160">
        <v>0.05</v>
      </c>
      <c r="G24" s="160">
        <v>10</v>
      </c>
      <c r="H24" s="159">
        <v>0.2</v>
      </c>
      <c r="I24" s="159">
        <v>10</v>
      </c>
      <c r="J24" s="159">
        <v>0.25</v>
      </c>
      <c r="K24" s="160">
        <v>3</v>
      </c>
      <c r="L24" s="159"/>
      <c r="M24" s="159"/>
    </row>
    <row r="25" spans="2:23">
      <c r="B25" s="159"/>
      <c r="C25" s="160"/>
      <c r="D25" s="160"/>
      <c r="E25" s="160"/>
      <c r="F25" s="160"/>
      <c r="G25" s="160"/>
      <c r="H25" s="159"/>
      <c r="I25" s="159"/>
      <c r="J25" s="159"/>
      <c r="K25" s="160"/>
      <c r="L25" s="159"/>
      <c r="M25" s="159"/>
    </row>
    <row r="26" spans="2:23">
      <c r="B26" s="159"/>
      <c r="C26" s="160"/>
      <c r="D26" s="160"/>
      <c r="E26" s="160"/>
      <c r="F26" s="160"/>
      <c r="G26" s="160"/>
      <c r="H26" s="159"/>
      <c r="I26" s="159"/>
      <c r="J26" s="159"/>
      <c r="K26" s="160"/>
      <c r="L26" s="159"/>
      <c r="M26" s="159"/>
    </row>
    <row r="27" spans="2:23">
      <c r="B27" s="159" t="s">
        <v>156</v>
      </c>
      <c r="C27" s="160">
        <v>0.6</v>
      </c>
      <c r="D27" s="160">
        <v>0.6</v>
      </c>
      <c r="E27" s="160">
        <v>0.1</v>
      </c>
      <c r="F27" s="160">
        <v>0.05</v>
      </c>
      <c r="G27" s="160">
        <v>10</v>
      </c>
      <c r="H27" s="159">
        <v>0.2</v>
      </c>
      <c r="I27" s="159">
        <v>10</v>
      </c>
      <c r="J27" s="159">
        <v>0.25</v>
      </c>
      <c r="K27" s="160">
        <v>3</v>
      </c>
      <c r="L27" s="159"/>
      <c r="M27" s="159"/>
    </row>
    <row r="28" spans="2:23">
      <c r="B28" s="165"/>
      <c r="C28" s="166"/>
      <c r="D28" s="166"/>
      <c r="E28" s="166"/>
      <c r="F28" s="166"/>
      <c r="G28" s="166"/>
      <c r="H28" s="165"/>
      <c r="I28" s="165"/>
      <c r="J28" s="165"/>
      <c r="K28" s="160"/>
      <c r="L28" s="159"/>
      <c r="M28" s="159"/>
    </row>
    <row r="29" spans="2:23">
      <c r="B29" s="165"/>
      <c r="C29" s="166"/>
      <c r="D29" s="166"/>
      <c r="E29" s="166"/>
      <c r="F29" s="166"/>
      <c r="G29" s="166"/>
      <c r="H29" s="165"/>
      <c r="I29" s="165"/>
      <c r="J29" s="165"/>
      <c r="K29" s="166"/>
      <c r="L29" s="159"/>
      <c r="M29" s="159"/>
    </row>
    <row r="30" spans="2:23">
      <c r="B30" s="167" t="s">
        <v>157</v>
      </c>
      <c r="C30" s="160">
        <v>0.3</v>
      </c>
      <c r="D30" s="160">
        <v>0.3</v>
      </c>
      <c r="E30" s="160">
        <v>0.1</v>
      </c>
      <c r="F30" s="160">
        <v>0.05</v>
      </c>
      <c r="G30" s="160">
        <v>10</v>
      </c>
      <c r="H30" s="159">
        <v>0.25</v>
      </c>
      <c r="I30" s="159">
        <v>10</v>
      </c>
      <c r="J30" s="159">
        <v>0.25</v>
      </c>
      <c r="K30" s="160">
        <v>0</v>
      </c>
      <c r="L30" s="159"/>
      <c r="M30" s="159"/>
    </row>
    <row r="31" spans="2:23">
      <c r="B31" s="165" t="s">
        <v>158</v>
      </c>
      <c r="C31" s="166">
        <v>1.5</v>
      </c>
      <c r="D31" s="166"/>
      <c r="E31" s="166">
        <v>0.1</v>
      </c>
      <c r="F31" s="166"/>
      <c r="G31" s="166">
        <v>10</v>
      </c>
      <c r="H31" s="165">
        <v>0.25</v>
      </c>
      <c r="I31" s="165">
        <v>10</v>
      </c>
      <c r="J31" s="165">
        <v>0.15</v>
      </c>
      <c r="K31" s="160"/>
      <c r="L31" s="159"/>
      <c r="M31" s="159"/>
    </row>
    <row r="32" spans="2:23">
      <c r="B32" s="165"/>
      <c r="C32" s="166"/>
      <c r="D32" s="166"/>
      <c r="E32" s="166"/>
      <c r="F32" s="166"/>
      <c r="G32" s="166"/>
      <c r="H32" s="165"/>
      <c r="I32" s="165"/>
      <c r="J32" s="165"/>
      <c r="K32" s="166"/>
      <c r="L32" s="159"/>
      <c r="M32" s="159"/>
    </row>
    <row r="33" spans="2:13">
      <c r="B33" s="168" t="s">
        <v>159</v>
      </c>
      <c r="C33" s="160">
        <v>0.45</v>
      </c>
      <c r="D33" s="160">
        <v>0.45</v>
      </c>
      <c r="E33" s="160">
        <v>0.1</v>
      </c>
      <c r="F33" s="160">
        <v>0.05</v>
      </c>
      <c r="G33" s="160">
        <v>10</v>
      </c>
      <c r="H33" s="159">
        <v>0.25</v>
      </c>
      <c r="I33" s="159">
        <v>10</v>
      </c>
      <c r="J33" s="159">
        <v>0.25</v>
      </c>
      <c r="K33" s="160">
        <v>0</v>
      </c>
      <c r="L33" s="159"/>
      <c r="M33" s="159"/>
    </row>
    <row r="34" spans="2:13">
      <c r="B34" s="165" t="s">
        <v>158</v>
      </c>
      <c r="C34" s="166">
        <v>1.5</v>
      </c>
      <c r="D34" s="166"/>
      <c r="E34" s="166">
        <v>0.1</v>
      </c>
      <c r="F34" s="166"/>
      <c r="G34" s="166">
        <v>10</v>
      </c>
      <c r="H34" s="165">
        <v>0.25</v>
      </c>
      <c r="I34" s="165">
        <v>10</v>
      </c>
      <c r="J34" s="165">
        <v>0.15</v>
      </c>
      <c r="K34" s="160"/>
      <c r="L34" s="159"/>
      <c r="M34" s="159"/>
    </row>
    <row r="35" spans="2:13">
      <c r="B35" s="165"/>
      <c r="C35" s="166"/>
      <c r="D35" s="166"/>
      <c r="E35" s="166"/>
      <c r="F35" s="166"/>
      <c r="G35" s="166"/>
      <c r="H35" s="165"/>
      <c r="I35" s="165"/>
      <c r="J35" s="165"/>
      <c r="K35" s="166" t="s">
        <v>160</v>
      </c>
      <c r="L35" s="159"/>
      <c r="M35" s="159"/>
    </row>
    <row r="36" spans="2:13">
      <c r="B36" s="167" t="s">
        <v>161</v>
      </c>
      <c r="C36" s="160">
        <v>1</v>
      </c>
      <c r="D36" s="160">
        <v>0.15</v>
      </c>
      <c r="E36" s="160">
        <v>0.1</v>
      </c>
      <c r="F36" s="160">
        <v>0.05</v>
      </c>
      <c r="G36" s="160">
        <v>10</v>
      </c>
      <c r="H36" s="159">
        <v>0.25</v>
      </c>
      <c r="I36" s="159">
        <v>10</v>
      </c>
      <c r="J36" s="159">
        <v>0.25</v>
      </c>
      <c r="K36" s="160">
        <v>0</v>
      </c>
      <c r="L36" s="159"/>
      <c r="M36" s="159"/>
    </row>
    <row r="37" spans="2:13">
      <c r="B37" s="165" t="s">
        <v>158</v>
      </c>
      <c r="C37" s="166">
        <v>1.5</v>
      </c>
      <c r="D37" s="166"/>
      <c r="E37" s="166">
        <v>0.1</v>
      </c>
      <c r="F37" s="166"/>
      <c r="G37" s="166">
        <v>10</v>
      </c>
      <c r="H37" s="165">
        <v>0.25</v>
      </c>
      <c r="I37" s="165">
        <v>10</v>
      </c>
      <c r="J37" s="165">
        <v>0.15</v>
      </c>
      <c r="K37" s="160"/>
      <c r="L37" s="159"/>
      <c r="M37" s="159"/>
    </row>
    <row r="38" spans="2:13">
      <c r="B38" s="165"/>
      <c r="C38" s="166"/>
      <c r="D38" s="166"/>
      <c r="E38" s="166"/>
      <c r="F38" s="166"/>
      <c r="G38" s="166"/>
      <c r="H38" s="165"/>
      <c r="I38" s="165"/>
      <c r="J38" s="165"/>
      <c r="K38" s="166"/>
      <c r="L38" s="159"/>
      <c r="M38" s="159"/>
    </row>
    <row r="39" spans="2:13">
      <c r="B39" s="169" t="s">
        <v>162</v>
      </c>
      <c r="C39" s="160">
        <v>1</v>
      </c>
      <c r="D39" s="160">
        <v>0.2</v>
      </c>
      <c r="E39" s="160">
        <v>0.1</v>
      </c>
      <c r="F39" s="160">
        <v>0.05</v>
      </c>
      <c r="G39" s="160">
        <v>10</v>
      </c>
      <c r="H39" s="159">
        <v>0.25</v>
      </c>
      <c r="I39" s="159">
        <v>10</v>
      </c>
      <c r="J39" s="159">
        <v>0.25</v>
      </c>
      <c r="K39" s="160">
        <v>0</v>
      </c>
      <c r="L39" s="159"/>
      <c r="M39" s="159"/>
    </row>
    <row r="40" spans="2:13">
      <c r="B40" s="165"/>
      <c r="C40" s="166"/>
      <c r="D40" s="166"/>
      <c r="E40" s="166"/>
      <c r="F40" s="166"/>
      <c r="G40" s="166"/>
      <c r="H40" s="165"/>
      <c r="I40" s="165"/>
      <c r="J40" s="165"/>
      <c r="K40" s="166"/>
      <c r="L40" s="159"/>
      <c r="M40" s="159"/>
    </row>
    <row r="41" spans="2:13">
      <c r="B41" s="169" t="s">
        <v>163</v>
      </c>
      <c r="C41" s="160">
        <v>1</v>
      </c>
      <c r="D41" s="160">
        <v>0.3</v>
      </c>
      <c r="E41" s="160">
        <v>0.1</v>
      </c>
      <c r="F41" s="160">
        <v>0.05</v>
      </c>
      <c r="G41" s="160">
        <v>10</v>
      </c>
      <c r="H41" s="159">
        <v>0.25</v>
      </c>
      <c r="I41" s="159">
        <v>10</v>
      </c>
      <c r="J41" s="159">
        <v>0.25</v>
      </c>
      <c r="K41" s="160">
        <v>0</v>
      </c>
      <c r="L41" s="159"/>
      <c r="M41" s="159"/>
    </row>
    <row r="42" spans="2:13">
      <c r="B42" s="165"/>
      <c r="C42" s="166"/>
      <c r="D42" s="166"/>
      <c r="E42" s="166"/>
      <c r="F42" s="166"/>
      <c r="G42" s="166"/>
      <c r="H42" s="165"/>
      <c r="I42" s="165"/>
      <c r="J42" s="165"/>
      <c r="K42" s="166"/>
      <c r="L42" s="159"/>
      <c r="M42" s="159"/>
    </row>
    <row r="43" spans="2:13">
      <c r="B43" s="170" t="s">
        <v>164</v>
      </c>
      <c r="C43" s="160">
        <v>0.6</v>
      </c>
      <c r="D43" s="160">
        <v>0.6</v>
      </c>
      <c r="E43" s="160">
        <v>0.15</v>
      </c>
      <c r="F43" s="160">
        <v>0.05</v>
      </c>
      <c r="G43" s="160">
        <v>10</v>
      </c>
      <c r="H43" s="159">
        <v>0.25</v>
      </c>
      <c r="I43" s="159">
        <v>10</v>
      </c>
      <c r="J43" s="159">
        <v>0.25</v>
      </c>
      <c r="K43" s="160">
        <v>0</v>
      </c>
      <c r="L43" s="159"/>
      <c r="M43" s="159"/>
    </row>
    <row r="44" spans="2:13">
      <c r="B44" s="165"/>
      <c r="C44" s="166"/>
      <c r="D44" s="166"/>
      <c r="E44" s="166"/>
      <c r="F44" s="166"/>
      <c r="G44" s="166"/>
      <c r="H44" s="165"/>
      <c r="I44" s="165"/>
      <c r="J44" s="165"/>
      <c r="K44" s="166"/>
      <c r="L44" s="159"/>
      <c r="M44" s="159"/>
    </row>
    <row r="45" spans="2:13">
      <c r="B45" s="170" t="s">
        <v>165</v>
      </c>
      <c r="C45" s="160">
        <v>0.8</v>
      </c>
      <c r="D45" s="160">
        <v>0.8</v>
      </c>
      <c r="E45" s="160">
        <v>0.15</v>
      </c>
      <c r="F45" s="160">
        <v>0.05</v>
      </c>
      <c r="G45" s="160">
        <v>10</v>
      </c>
      <c r="H45" s="159">
        <v>0.25</v>
      </c>
      <c r="I45" s="159">
        <v>10</v>
      </c>
      <c r="J45" s="159">
        <v>0.25</v>
      </c>
      <c r="K45" s="160">
        <v>0</v>
      </c>
      <c r="L45" s="159"/>
      <c r="M45" s="159"/>
    </row>
    <row r="46" spans="2:13">
      <c r="B46" s="165"/>
      <c r="C46" s="166"/>
      <c r="D46" s="166"/>
      <c r="E46" s="166"/>
      <c r="F46" s="166"/>
      <c r="G46" s="166"/>
      <c r="H46" s="165"/>
      <c r="I46" s="165"/>
      <c r="J46" s="165"/>
      <c r="K46" s="166"/>
      <c r="L46" s="159"/>
      <c r="M46" s="159"/>
    </row>
    <row r="47" spans="2:13">
      <c r="B47" s="171" t="s">
        <v>166</v>
      </c>
      <c r="C47" s="160">
        <v>1</v>
      </c>
      <c r="D47" s="160">
        <v>0.6</v>
      </c>
      <c r="E47" s="160">
        <v>0.1</v>
      </c>
      <c r="F47" s="160">
        <v>0.05</v>
      </c>
      <c r="G47" s="160">
        <v>10</v>
      </c>
      <c r="H47" s="159">
        <v>0.25</v>
      </c>
      <c r="I47" s="159">
        <v>10</v>
      </c>
      <c r="J47" s="159">
        <v>0.25</v>
      </c>
      <c r="K47" s="160">
        <v>3</v>
      </c>
      <c r="L47" s="159"/>
      <c r="M47" s="159"/>
    </row>
    <row r="48" spans="2:13">
      <c r="B48" s="172"/>
      <c r="C48" s="166"/>
      <c r="D48" s="166"/>
      <c r="E48" s="166"/>
      <c r="F48" s="166"/>
      <c r="G48" s="166"/>
      <c r="H48" s="165"/>
      <c r="I48" s="165"/>
      <c r="J48" s="165"/>
      <c r="K48" s="166"/>
      <c r="L48" s="159"/>
      <c r="M48" s="159"/>
    </row>
    <row r="49" spans="2:13">
      <c r="B49" s="165"/>
      <c r="C49" s="166"/>
      <c r="D49" s="166"/>
      <c r="E49" s="166"/>
      <c r="F49" s="166"/>
      <c r="G49" s="166"/>
      <c r="H49" s="165"/>
      <c r="I49" s="165"/>
      <c r="J49" s="165"/>
      <c r="K49" s="166"/>
      <c r="L49" s="159"/>
      <c r="M49" s="159"/>
    </row>
    <row r="50" spans="2:13">
      <c r="B50" s="171" t="s">
        <v>167</v>
      </c>
      <c r="C50" s="160">
        <v>1</v>
      </c>
      <c r="D50" s="160">
        <v>0.8</v>
      </c>
      <c r="E50" s="160">
        <v>0.125</v>
      </c>
      <c r="F50" s="160">
        <v>0.05</v>
      </c>
      <c r="G50" s="160">
        <v>10</v>
      </c>
      <c r="H50" s="159">
        <v>0.25</v>
      </c>
      <c r="I50" s="159">
        <v>10</v>
      </c>
      <c r="J50" s="159">
        <v>0.25</v>
      </c>
      <c r="K50" s="160">
        <v>3</v>
      </c>
      <c r="L50" s="159"/>
      <c r="M50" s="159"/>
    </row>
    <row r="51" spans="2:13">
      <c r="B51" s="172"/>
      <c r="C51" s="166"/>
      <c r="D51" s="166"/>
      <c r="E51" s="166"/>
      <c r="F51" s="166"/>
      <c r="G51" s="166"/>
      <c r="H51" s="165"/>
      <c r="I51" s="165"/>
      <c r="J51" s="165"/>
      <c r="K51" s="166"/>
      <c r="L51" s="159"/>
      <c r="M51" s="159"/>
    </row>
    <row r="52" spans="2:13">
      <c r="B52" s="165"/>
      <c r="C52" s="166"/>
      <c r="D52" s="166"/>
      <c r="E52" s="166"/>
      <c r="F52" s="166"/>
      <c r="G52" s="166"/>
      <c r="H52" s="165"/>
      <c r="I52" s="165"/>
      <c r="J52" s="165"/>
      <c r="K52" s="166"/>
      <c r="L52" s="159"/>
      <c r="M52" s="159"/>
    </row>
    <row r="53" spans="2:13">
      <c r="B53" s="171" t="s">
        <v>168</v>
      </c>
      <c r="C53" s="160">
        <v>1</v>
      </c>
      <c r="D53" s="160">
        <v>1</v>
      </c>
      <c r="E53" s="160">
        <v>0.125</v>
      </c>
      <c r="F53" s="160">
        <v>0.05</v>
      </c>
      <c r="G53" s="160">
        <v>10</v>
      </c>
      <c r="H53" s="159">
        <v>0.25</v>
      </c>
      <c r="I53" s="159">
        <v>10</v>
      </c>
      <c r="J53" s="159">
        <v>0.25</v>
      </c>
      <c r="K53" s="160">
        <v>3</v>
      </c>
      <c r="L53" s="159"/>
      <c r="M53" s="159"/>
    </row>
    <row r="54" spans="2:13">
      <c r="B54" s="172"/>
      <c r="C54" s="166"/>
      <c r="D54" s="166"/>
      <c r="E54" s="166"/>
      <c r="F54" s="166"/>
      <c r="G54" s="166"/>
      <c r="H54" s="165"/>
      <c r="I54" s="165"/>
      <c r="J54" s="165"/>
      <c r="K54" s="166"/>
      <c r="L54" s="159"/>
      <c r="M54" s="159"/>
    </row>
    <row r="55" spans="2:13">
      <c r="B55" s="165"/>
      <c r="C55" s="166"/>
      <c r="D55" s="166"/>
      <c r="E55" s="166"/>
      <c r="F55" s="166"/>
      <c r="G55" s="166"/>
      <c r="H55" s="165"/>
      <c r="I55" s="165"/>
      <c r="J55" s="165"/>
      <c r="K55" s="166"/>
      <c r="L55" s="159"/>
      <c r="M55" s="159"/>
    </row>
    <row r="56" spans="2:13">
      <c r="B56" s="171" t="s">
        <v>169</v>
      </c>
      <c r="C56" s="160">
        <v>1</v>
      </c>
      <c r="D56" s="160">
        <v>1</v>
      </c>
      <c r="E56" s="160">
        <v>0.125</v>
      </c>
      <c r="F56" s="160">
        <v>0.05</v>
      </c>
      <c r="G56" s="160">
        <v>10</v>
      </c>
      <c r="H56" s="159">
        <v>0.25</v>
      </c>
      <c r="I56" s="159">
        <v>10</v>
      </c>
      <c r="J56" s="159">
        <v>0.25</v>
      </c>
      <c r="K56" s="160">
        <v>3</v>
      </c>
      <c r="L56" s="159"/>
      <c r="M56" s="159"/>
    </row>
    <row r="57" spans="2:13">
      <c r="B57" s="172"/>
      <c r="C57" s="166"/>
      <c r="D57" s="166"/>
      <c r="E57" s="166"/>
      <c r="F57" s="166"/>
      <c r="G57" s="166"/>
      <c r="H57" s="165"/>
      <c r="I57" s="165"/>
      <c r="J57" s="165"/>
      <c r="K57" s="166"/>
      <c r="L57" s="159"/>
      <c r="M57" s="159"/>
    </row>
    <row r="58" spans="2:13">
      <c r="B58" s="172"/>
      <c r="C58" s="166"/>
      <c r="D58" s="166"/>
      <c r="E58" s="166"/>
      <c r="F58" s="166"/>
      <c r="G58" s="166"/>
      <c r="H58" s="165"/>
      <c r="I58" s="165"/>
      <c r="J58" s="165"/>
      <c r="K58" s="166"/>
      <c r="L58" s="159"/>
      <c r="M58" s="159"/>
    </row>
    <row r="59" spans="2:13">
      <c r="B59" s="159" t="s">
        <v>170</v>
      </c>
      <c r="C59" s="160">
        <v>0.45</v>
      </c>
      <c r="D59" s="160">
        <v>0.45</v>
      </c>
      <c r="E59" s="160">
        <v>0.1</v>
      </c>
      <c r="F59" s="160">
        <v>0.05</v>
      </c>
      <c r="G59" s="160">
        <v>10</v>
      </c>
      <c r="H59" s="159">
        <v>0.25</v>
      </c>
      <c r="I59" s="159">
        <v>10</v>
      </c>
      <c r="J59" s="159">
        <v>0.25</v>
      </c>
      <c r="K59" s="160"/>
      <c r="L59" s="159">
        <v>0.27500000000000002</v>
      </c>
      <c r="M59" s="159">
        <v>0.27500000000000002</v>
      </c>
    </row>
    <row r="60" spans="2:13">
      <c r="B60" s="165"/>
      <c r="C60" s="166"/>
      <c r="D60" s="166"/>
      <c r="E60" s="166"/>
      <c r="F60" s="166"/>
      <c r="G60" s="166"/>
      <c r="H60" s="165"/>
      <c r="I60" s="165"/>
      <c r="J60" s="165"/>
      <c r="K60" s="166"/>
      <c r="L60" s="159"/>
      <c r="M60" s="159"/>
    </row>
    <row r="61" spans="2:13">
      <c r="B61" s="165"/>
      <c r="C61" s="166"/>
      <c r="D61" s="166"/>
      <c r="E61" s="166"/>
      <c r="F61" s="166"/>
      <c r="G61" s="166"/>
      <c r="H61" s="165"/>
      <c r="I61" s="165"/>
      <c r="J61" s="165"/>
      <c r="K61" s="166"/>
      <c r="L61" s="159"/>
      <c r="M61" s="159"/>
    </row>
    <row r="62" spans="2:13">
      <c r="B62" s="165"/>
      <c r="C62" s="166"/>
      <c r="D62" s="166"/>
      <c r="E62" s="166"/>
      <c r="F62" s="166"/>
      <c r="G62" s="166"/>
      <c r="H62" s="165"/>
      <c r="I62" s="165"/>
      <c r="J62" s="165"/>
      <c r="K62" s="166"/>
      <c r="L62" s="159"/>
      <c r="M62" s="159"/>
    </row>
    <row r="63" spans="2:13">
      <c r="B63" s="159" t="s">
        <v>171</v>
      </c>
      <c r="C63" s="160">
        <v>0.45</v>
      </c>
      <c r="D63" s="160">
        <v>0.6</v>
      </c>
      <c r="E63" s="160">
        <v>0.1</v>
      </c>
      <c r="F63" s="160">
        <v>0.05</v>
      </c>
      <c r="G63" s="160">
        <v>10</v>
      </c>
      <c r="H63" s="159">
        <v>0.25</v>
      </c>
      <c r="I63" s="159">
        <v>10</v>
      </c>
      <c r="J63" s="159">
        <v>0.25</v>
      </c>
      <c r="K63" s="160"/>
      <c r="L63" s="159">
        <v>0.27500000000000002</v>
      </c>
      <c r="M63" s="159">
        <v>0.27500000000000002</v>
      </c>
    </row>
    <row r="64" spans="2:13">
      <c r="B64" s="165"/>
      <c r="C64" s="166"/>
      <c r="D64" s="166"/>
      <c r="E64" s="166"/>
      <c r="F64" s="166"/>
      <c r="G64" s="166"/>
      <c r="H64" s="165"/>
      <c r="I64" s="165"/>
      <c r="J64" s="165"/>
      <c r="K64" s="166"/>
      <c r="L64" s="159"/>
      <c r="M64" s="159"/>
    </row>
    <row r="65" spans="2:13">
      <c r="B65" s="165"/>
      <c r="C65" s="166"/>
      <c r="D65" s="166"/>
      <c r="E65" s="166"/>
      <c r="F65" s="166"/>
      <c r="G65" s="166"/>
      <c r="H65" s="165"/>
      <c r="I65" s="165"/>
      <c r="J65" s="165"/>
      <c r="K65" s="166"/>
      <c r="L65" s="159"/>
      <c r="M65" s="159"/>
    </row>
    <row r="66" spans="2:13">
      <c r="B66" s="172"/>
      <c r="C66" s="166"/>
      <c r="D66" s="166"/>
      <c r="E66" s="166"/>
      <c r="F66" s="166"/>
      <c r="G66" s="166"/>
      <c r="H66" s="165"/>
      <c r="I66" s="165"/>
      <c r="J66" s="165"/>
      <c r="K66" s="166"/>
      <c r="L66" s="159"/>
      <c r="M66" s="159"/>
    </row>
    <row r="67" spans="2:13">
      <c r="B67" s="159" t="s">
        <v>172</v>
      </c>
      <c r="C67" s="160">
        <v>0.6</v>
      </c>
      <c r="D67" s="160">
        <v>0.6</v>
      </c>
      <c r="E67" s="160">
        <v>0.1</v>
      </c>
      <c r="F67" s="160">
        <v>0.05</v>
      </c>
      <c r="G67" s="160">
        <v>10</v>
      </c>
      <c r="H67" s="159">
        <v>0.25</v>
      </c>
      <c r="I67" s="159">
        <v>10</v>
      </c>
      <c r="J67" s="159">
        <v>0.25</v>
      </c>
      <c r="K67" s="160"/>
      <c r="L67" s="159">
        <v>0.27500000000000002</v>
      </c>
      <c r="M67" s="159">
        <v>0.27500000000000002</v>
      </c>
    </row>
    <row r="68" spans="2:13">
      <c r="B68" s="165"/>
      <c r="C68" s="166"/>
      <c r="D68" s="166"/>
      <c r="E68" s="166"/>
      <c r="F68" s="166"/>
      <c r="G68" s="166"/>
      <c r="H68" s="165"/>
      <c r="I68" s="165"/>
      <c r="J68" s="165"/>
      <c r="K68" s="166"/>
      <c r="L68" s="159"/>
      <c r="M68" s="159"/>
    </row>
    <row r="69" spans="2:13">
      <c r="B69" s="165"/>
      <c r="C69" s="166"/>
      <c r="D69" s="166"/>
      <c r="E69" s="166"/>
      <c r="F69" s="166"/>
      <c r="G69" s="166"/>
      <c r="H69" s="165"/>
      <c r="I69" s="165"/>
      <c r="J69" s="165"/>
      <c r="K69" s="166"/>
      <c r="L69" s="159"/>
      <c r="M69" s="159"/>
    </row>
    <row r="70" spans="2:13">
      <c r="B70" s="165"/>
      <c r="C70" s="166"/>
      <c r="D70" s="166"/>
      <c r="E70" s="166"/>
      <c r="F70" s="166"/>
      <c r="G70" s="166"/>
      <c r="H70" s="165"/>
      <c r="I70" s="165"/>
      <c r="J70" s="165"/>
      <c r="K70" s="166"/>
      <c r="L70" s="159"/>
      <c r="M70" s="159"/>
    </row>
    <row r="71" spans="2:13">
      <c r="B71" s="159" t="s">
        <v>173</v>
      </c>
      <c r="C71" s="160">
        <v>0.8</v>
      </c>
      <c r="D71" s="160">
        <v>0.8</v>
      </c>
      <c r="E71" s="160">
        <v>0.1</v>
      </c>
      <c r="F71" s="160">
        <v>0.05</v>
      </c>
      <c r="G71" s="160">
        <v>10</v>
      </c>
      <c r="H71" s="159">
        <v>0.25</v>
      </c>
      <c r="I71" s="159">
        <v>10</v>
      </c>
      <c r="J71" s="159">
        <v>0.25</v>
      </c>
      <c r="K71" s="160"/>
      <c r="L71" s="159">
        <v>0.27500000000000002</v>
      </c>
      <c r="M71" s="159">
        <v>0.27500000000000002</v>
      </c>
    </row>
    <row r="72" spans="2:13">
      <c r="B72" s="165"/>
      <c r="C72" s="166"/>
      <c r="D72" s="166"/>
      <c r="E72" s="166"/>
      <c r="F72" s="166"/>
      <c r="G72" s="166"/>
      <c r="H72" s="165"/>
      <c r="I72" s="165"/>
      <c r="J72" s="165"/>
      <c r="K72" s="166"/>
      <c r="L72" s="159"/>
      <c r="M72" s="159"/>
    </row>
    <row r="73" spans="2:13">
      <c r="B73" s="165"/>
      <c r="C73" s="166"/>
      <c r="D73" s="166"/>
      <c r="E73" s="166"/>
      <c r="F73" s="166"/>
      <c r="G73" s="166"/>
      <c r="H73" s="165"/>
      <c r="I73" s="165"/>
      <c r="J73" s="165"/>
      <c r="K73" s="166"/>
      <c r="L73" s="159"/>
      <c r="M73" s="159"/>
    </row>
    <row r="74" spans="2:13">
      <c r="B74" s="165"/>
      <c r="C74" s="166"/>
      <c r="D74" s="166"/>
      <c r="E74" s="166"/>
      <c r="F74" s="166"/>
      <c r="G74" s="166"/>
      <c r="H74" s="165"/>
      <c r="I74" s="165"/>
      <c r="J74" s="165"/>
      <c r="K74" s="166"/>
      <c r="L74" s="159"/>
      <c r="M74" s="159"/>
    </row>
    <row r="75" spans="2:13">
      <c r="B75" s="159" t="s">
        <v>174</v>
      </c>
      <c r="C75" s="160">
        <v>1</v>
      </c>
      <c r="D75" s="160">
        <v>1</v>
      </c>
      <c r="E75" s="160">
        <v>0.125</v>
      </c>
      <c r="F75" s="160">
        <v>0.05</v>
      </c>
      <c r="G75" s="160">
        <v>10</v>
      </c>
      <c r="H75" s="159">
        <v>0.25</v>
      </c>
      <c r="I75" s="159">
        <v>10</v>
      </c>
      <c r="J75" s="159">
        <v>0.25</v>
      </c>
      <c r="K75" s="160"/>
      <c r="L75" s="159">
        <v>0.27500000000000002</v>
      </c>
      <c r="M75" s="159">
        <v>0.27500000000000002</v>
      </c>
    </row>
    <row r="76" spans="2:13">
      <c r="B76" s="165"/>
      <c r="C76" s="166"/>
      <c r="D76" s="166"/>
      <c r="E76" s="166"/>
      <c r="F76" s="166"/>
      <c r="G76" s="166"/>
      <c r="H76" s="165"/>
      <c r="I76" s="165"/>
      <c r="J76" s="165"/>
      <c r="K76" s="166"/>
      <c r="L76" s="159"/>
      <c r="M76" s="159"/>
    </row>
    <row r="77" spans="2:13">
      <c r="B77" s="165"/>
      <c r="C77" s="166"/>
      <c r="D77" s="166"/>
      <c r="E77" s="166"/>
      <c r="F77" s="166"/>
      <c r="G77" s="166"/>
      <c r="H77" s="165"/>
      <c r="I77" s="165"/>
      <c r="J77" s="165"/>
      <c r="K77" s="166"/>
      <c r="L77" s="159"/>
      <c r="M77" s="159"/>
    </row>
    <row r="78" spans="2:13">
      <c r="B78" s="165"/>
      <c r="C78" s="166"/>
      <c r="D78" s="166"/>
      <c r="E78" s="166"/>
      <c r="F78" s="166"/>
      <c r="G78" s="166"/>
      <c r="H78" s="165"/>
      <c r="I78" s="165"/>
      <c r="J78" s="165"/>
      <c r="K78" s="166"/>
      <c r="L78" s="159"/>
      <c r="M78" s="159"/>
    </row>
    <row r="79" spans="2:13">
      <c r="B79" s="173" t="s">
        <v>175</v>
      </c>
      <c r="C79" s="160">
        <v>0.45</v>
      </c>
      <c r="D79" s="160">
        <v>0.45</v>
      </c>
      <c r="E79" s="160">
        <v>0.1</v>
      </c>
      <c r="F79" s="160">
        <v>0.05</v>
      </c>
      <c r="G79" s="160">
        <v>10</v>
      </c>
      <c r="H79" s="159">
        <v>0.25</v>
      </c>
      <c r="I79" s="159">
        <v>10</v>
      </c>
      <c r="J79" s="159">
        <v>0.25</v>
      </c>
      <c r="K79" s="160"/>
      <c r="L79" s="159">
        <v>0.9</v>
      </c>
      <c r="M79" s="159">
        <v>0.45</v>
      </c>
    </row>
    <row r="80" spans="2:13">
      <c r="B80" s="174"/>
      <c r="C80" s="166"/>
      <c r="D80" s="166"/>
      <c r="E80" s="166"/>
      <c r="F80" s="166"/>
      <c r="G80" s="166"/>
      <c r="H80" s="165"/>
      <c r="I80" s="165"/>
      <c r="J80" s="165"/>
      <c r="K80" s="166"/>
      <c r="L80" s="159"/>
      <c r="M80" s="159"/>
    </row>
    <row r="81" spans="2:13">
      <c r="B81" s="174"/>
      <c r="C81" s="166"/>
      <c r="D81" s="166"/>
      <c r="E81" s="166"/>
      <c r="F81" s="166"/>
      <c r="G81" s="166"/>
      <c r="H81" s="165"/>
      <c r="I81" s="165"/>
      <c r="J81" s="165"/>
      <c r="K81" s="166"/>
      <c r="L81" s="159"/>
      <c r="M81" s="159"/>
    </row>
    <row r="82" spans="2:13">
      <c r="B82" s="174"/>
      <c r="C82" s="166"/>
      <c r="D82" s="166"/>
      <c r="E82" s="166"/>
      <c r="F82" s="166"/>
      <c r="G82" s="166"/>
      <c r="H82" s="165"/>
      <c r="I82" s="165"/>
      <c r="J82" s="165"/>
      <c r="K82" s="166"/>
      <c r="L82" s="159"/>
      <c r="M82" s="159"/>
    </row>
    <row r="83" spans="2:13">
      <c r="B83" s="173" t="s">
        <v>176</v>
      </c>
      <c r="C83" s="160">
        <v>0.45</v>
      </c>
      <c r="D83" s="160">
        <v>0.6</v>
      </c>
      <c r="E83" s="160">
        <v>0.1</v>
      </c>
      <c r="F83" s="160">
        <v>0.05</v>
      </c>
      <c r="G83" s="160">
        <v>10</v>
      </c>
      <c r="H83" s="159">
        <v>0.25</v>
      </c>
      <c r="I83" s="159">
        <v>10</v>
      </c>
      <c r="J83" s="159">
        <v>0.25</v>
      </c>
      <c r="K83" s="160"/>
      <c r="L83" s="159">
        <v>0.9</v>
      </c>
      <c r="M83" s="159">
        <v>0.45</v>
      </c>
    </row>
    <row r="84" spans="2:13">
      <c r="B84" s="174"/>
      <c r="C84" s="166"/>
      <c r="D84" s="166"/>
      <c r="E84" s="166"/>
      <c r="F84" s="166"/>
      <c r="G84" s="166"/>
      <c r="H84" s="165"/>
      <c r="I84" s="165"/>
      <c r="J84" s="165"/>
      <c r="K84" s="166"/>
      <c r="L84" s="159"/>
      <c r="M84" s="159"/>
    </row>
    <row r="85" spans="2:13">
      <c r="B85" s="174"/>
      <c r="C85" s="166"/>
      <c r="D85" s="166"/>
      <c r="E85" s="166"/>
      <c r="F85" s="166"/>
      <c r="G85" s="166"/>
      <c r="H85" s="165"/>
      <c r="I85" s="165"/>
      <c r="J85" s="165"/>
      <c r="K85" s="166"/>
      <c r="L85" s="159"/>
      <c r="M85" s="159"/>
    </row>
    <row r="86" spans="2:13">
      <c r="B86" s="174"/>
      <c r="C86" s="166"/>
      <c r="D86" s="166"/>
      <c r="E86" s="166"/>
      <c r="F86" s="166"/>
      <c r="G86" s="166"/>
      <c r="H86" s="165"/>
      <c r="I86" s="165"/>
      <c r="J86" s="165"/>
      <c r="K86" s="166"/>
      <c r="L86" s="159"/>
      <c r="M86" s="159"/>
    </row>
    <row r="87" spans="2:13">
      <c r="B87" s="173" t="s">
        <v>177</v>
      </c>
      <c r="C87" s="160">
        <v>0.6</v>
      </c>
      <c r="D87" s="160">
        <v>0.6</v>
      </c>
      <c r="E87" s="160">
        <v>0.1</v>
      </c>
      <c r="F87" s="160">
        <v>0.05</v>
      </c>
      <c r="G87" s="160">
        <v>10</v>
      </c>
      <c r="H87" s="159">
        <v>0.25</v>
      </c>
      <c r="I87" s="159">
        <v>10</v>
      </c>
      <c r="J87" s="159">
        <v>0.25</v>
      </c>
      <c r="K87" s="160"/>
      <c r="L87" s="159">
        <v>0.9</v>
      </c>
      <c r="M87" s="159">
        <v>0.45</v>
      </c>
    </row>
    <row r="88" spans="2:13">
      <c r="B88" s="174"/>
      <c r="C88" s="166"/>
      <c r="D88" s="166"/>
      <c r="E88" s="166"/>
      <c r="F88" s="166"/>
      <c r="G88" s="166"/>
      <c r="H88" s="165"/>
      <c r="I88" s="165"/>
      <c r="J88" s="165"/>
      <c r="K88" s="166"/>
      <c r="L88" s="159"/>
      <c r="M88" s="159"/>
    </row>
    <row r="89" spans="2:13">
      <c r="B89" s="174"/>
      <c r="C89" s="166"/>
      <c r="D89" s="166"/>
      <c r="E89" s="166"/>
      <c r="F89" s="166"/>
      <c r="G89" s="166"/>
      <c r="H89" s="165"/>
      <c r="I89" s="165"/>
      <c r="J89" s="165"/>
      <c r="K89" s="166"/>
      <c r="L89" s="159"/>
      <c r="M89" s="159"/>
    </row>
    <row r="90" spans="2:13">
      <c r="B90" s="174"/>
      <c r="C90" s="166"/>
      <c r="D90" s="166"/>
      <c r="E90" s="166"/>
      <c r="F90" s="166"/>
      <c r="G90" s="166"/>
      <c r="H90" s="165"/>
      <c r="I90" s="165"/>
      <c r="J90" s="165"/>
      <c r="K90" s="166"/>
      <c r="L90" s="159"/>
      <c r="M90" s="159"/>
    </row>
    <row r="91" spans="2:13">
      <c r="B91" s="173" t="s">
        <v>178</v>
      </c>
      <c r="C91" s="160">
        <v>0.8</v>
      </c>
      <c r="D91" s="160">
        <v>0.8</v>
      </c>
      <c r="E91" s="160">
        <v>0.1</v>
      </c>
      <c r="F91" s="160">
        <v>0.05</v>
      </c>
      <c r="G91" s="160">
        <v>10</v>
      </c>
      <c r="H91" s="159">
        <v>0.25</v>
      </c>
      <c r="I91" s="159">
        <v>10</v>
      </c>
      <c r="J91" s="159">
        <v>0.25</v>
      </c>
      <c r="K91" s="160"/>
      <c r="L91" s="159">
        <v>0.9</v>
      </c>
      <c r="M91" s="159">
        <v>0.45</v>
      </c>
    </row>
    <row r="92" spans="2:13">
      <c r="B92" s="174"/>
      <c r="C92" s="166"/>
      <c r="D92" s="166"/>
      <c r="E92" s="166"/>
      <c r="F92" s="166"/>
      <c r="G92" s="166"/>
      <c r="H92" s="165"/>
      <c r="I92" s="165"/>
      <c r="J92" s="165"/>
      <c r="K92" s="166"/>
      <c r="L92" s="159"/>
      <c r="M92" s="159"/>
    </row>
    <row r="93" spans="2:13">
      <c r="B93" s="174"/>
      <c r="C93" s="166"/>
      <c r="D93" s="166"/>
      <c r="E93" s="166"/>
      <c r="F93" s="166"/>
      <c r="G93" s="166"/>
      <c r="H93" s="165"/>
      <c r="I93" s="165"/>
      <c r="J93" s="165"/>
      <c r="K93" s="166"/>
      <c r="L93" s="159"/>
      <c r="M93" s="159"/>
    </row>
    <row r="94" spans="2:13">
      <c r="B94" s="174"/>
      <c r="C94" s="166"/>
      <c r="D94" s="166"/>
      <c r="E94" s="166"/>
      <c r="F94" s="166"/>
      <c r="G94" s="166"/>
      <c r="H94" s="165"/>
      <c r="I94" s="165"/>
      <c r="J94" s="165"/>
      <c r="K94" s="166"/>
      <c r="L94" s="159"/>
      <c r="M94" s="159"/>
    </row>
    <row r="95" spans="2:13">
      <c r="B95" s="173" t="s">
        <v>179</v>
      </c>
      <c r="C95" s="160">
        <v>1</v>
      </c>
      <c r="D95" s="160">
        <v>0.75</v>
      </c>
      <c r="E95" s="160">
        <v>0.125</v>
      </c>
      <c r="F95" s="160">
        <v>0.05</v>
      </c>
      <c r="G95" s="160">
        <v>10</v>
      </c>
      <c r="H95" s="159">
        <v>0.25</v>
      </c>
      <c r="I95" s="159">
        <v>10</v>
      </c>
      <c r="J95" s="159">
        <v>0.25</v>
      </c>
      <c r="K95" s="160"/>
      <c r="L95" s="159">
        <v>0.9</v>
      </c>
      <c r="M95" s="159">
        <v>0.45</v>
      </c>
    </row>
    <row r="96" spans="2:13">
      <c r="B96" s="174"/>
      <c r="C96" s="166"/>
      <c r="D96" s="166"/>
      <c r="E96" s="166"/>
      <c r="F96" s="166"/>
      <c r="G96" s="166"/>
      <c r="H96" s="165"/>
      <c r="I96" s="165"/>
      <c r="J96" s="165"/>
      <c r="K96" s="166"/>
      <c r="L96" s="159"/>
      <c r="M96" s="159"/>
    </row>
    <row r="97" spans="2:21">
      <c r="B97" s="174"/>
      <c r="C97" s="166"/>
      <c r="D97" s="166"/>
      <c r="E97" s="166"/>
      <c r="F97" s="166"/>
      <c r="G97" s="166"/>
      <c r="H97" s="165"/>
      <c r="I97" s="165"/>
      <c r="J97" s="165"/>
      <c r="K97" s="166"/>
      <c r="L97" s="159"/>
      <c r="M97" s="159"/>
    </row>
    <row r="98" spans="2:21">
      <c r="B98" s="174"/>
      <c r="C98" s="166"/>
      <c r="D98" s="166"/>
      <c r="E98" s="166"/>
      <c r="F98" s="166"/>
      <c r="G98" s="166"/>
      <c r="H98" s="165"/>
      <c r="I98" s="165"/>
      <c r="J98" s="165"/>
      <c r="K98" s="166"/>
      <c r="L98" s="159"/>
      <c r="M98" s="159"/>
    </row>
    <row r="99" spans="2:21">
      <c r="B99" s="165"/>
      <c r="C99" s="166"/>
      <c r="D99" s="166"/>
      <c r="E99" s="166"/>
      <c r="F99" s="166"/>
      <c r="G99" s="166"/>
      <c r="H99" s="165"/>
      <c r="I99" s="165"/>
      <c r="J99" s="165"/>
      <c r="K99" s="166"/>
      <c r="L99" s="159"/>
      <c r="M99" s="159"/>
    </row>
    <row r="100" spans="2:21">
      <c r="B100" s="175"/>
      <c r="C100" s="175"/>
      <c r="D100" s="175"/>
      <c r="E100" s="175"/>
      <c r="F100" s="175"/>
      <c r="G100" s="175"/>
      <c r="H100" s="175"/>
      <c r="I100" s="175"/>
      <c r="J100" s="175"/>
      <c r="K100" s="176"/>
      <c r="L100" s="175"/>
      <c r="M100" s="175"/>
    </row>
    <row r="103" spans="2:21">
      <c r="K103" s="177" t="s">
        <v>180</v>
      </c>
      <c r="L103" s="768" t="s">
        <v>181</v>
      </c>
      <c r="M103" s="769"/>
      <c r="N103" s="769"/>
      <c r="O103" s="769"/>
      <c r="P103" s="769"/>
      <c r="Q103" s="769"/>
      <c r="R103" s="769"/>
      <c r="S103" s="770"/>
    </row>
    <row r="104" spans="2:21">
      <c r="B104" s="177" t="s">
        <v>182</v>
      </c>
      <c r="K104" s="178">
        <v>1</v>
      </c>
      <c r="L104" s="763" t="s">
        <v>7</v>
      </c>
      <c r="M104" s="771"/>
      <c r="N104" s="764"/>
      <c r="O104" s="763" t="s">
        <v>6</v>
      </c>
      <c r="P104" s="771"/>
      <c r="Q104" s="764"/>
      <c r="R104" s="763" t="s">
        <v>183</v>
      </c>
      <c r="S104" s="764"/>
    </row>
    <row r="105" spans="2:21" ht="27" customHeight="1">
      <c r="D105" s="179" t="s">
        <v>184</v>
      </c>
      <c r="E105" s="180" t="s">
        <v>1</v>
      </c>
      <c r="G105" s="181" t="s">
        <v>185</v>
      </c>
      <c r="H105" s="181" t="s">
        <v>186</v>
      </c>
      <c r="I105" s="181" t="s">
        <v>187</v>
      </c>
      <c r="J105" s="181" t="s">
        <v>188</v>
      </c>
      <c r="K105" s="181" t="s">
        <v>189</v>
      </c>
      <c r="L105" s="763" t="s">
        <v>190</v>
      </c>
      <c r="M105" s="764"/>
      <c r="N105" s="182" t="s">
        <v>1</v>
      </c>
      <c r="O105" s="763" t="s">
        <v>190</v>
      </c>
      <c r="P105" s="764"/>
      <c r="Q105" s="182" t="s">
        <v>1</v>
      </c>
      <c r="R105" s="182" t="s">
        <v>1</v>
      </c>
      <c r="S105" s="182" t="s">
        <v>117</v>
      </c>
    </row>
    <row r="106" spans="2:21">
      <c r="B106" s="306" t="s">
        <v>191</v>
      </c>
      <c r="C106" s="307" t="s">
        <v>192</v>
      </c>
      <c r="E106" s="183">
        <v>83.88</v>
      </c>
      <c r="G106" s="184">
        <f>+E106*(C6+E6*2+1.5)</f>
        <v>167.76</v>
      </c>
      <c r="H106" s="184">
        <f>+E106*(C6+E6*2)*(D6+E6+F6)</f>
        <v>18.873000000000001</v>
      </c>
      <c r="I106" s="185">
        <f>+(C6+E6*2)*E106*F6</f>
        <v>2.097</v>
      </c>
      <c r="J106" s="185">
        <f>+E106*((C6+E6*2)*E6+(D6*E6*2))</f>
        <v>9.226799999999999</v>
      </c>
      <c r="K106" s="185">
        <f>+(D6+$K$104*(D6+E6))*E106*2</f>
        <v>117.43199999999999</v>
      </c>
      <c r="L106" s="186">
        <f>+(E106)/H6+ IF(E106&gt;0,1,0)</f>
        <v>420.4</v>
      </c>
      <c r="M106" s="187">
        <f>+ROUNDUP(L106,0)</f>
        <v>421</v>
      </c>
      <c r="N106" s="188">
        <f>+(D6+E6-0.08)*2+(C6+E6*2-0.08)</f>
        <v>1.06</v>
      </c>
      <c r="O106" s="186">
        <f>+N106/J6+1</f>
        <v>5.24</v>
      </c>
      <c r="P106" s="187">
        <f>+ROUNDUP(O106,0)</f>
        <v>6</v>
      </c>
      <c r="Q106" s="187">
        <f>+E106+E106/6*50*(G6/1000)</f>
        <v>90.86999999999999</v>
      </c>
      <c r="R106" s="189">
        <f>+N106*M106+P106*Q106</f>
        <v>991.48</v>
      </c>
      <c r="S106" s="185">
        <f>((I6*I6)/162)*R106</f>
        <v>612.02469135802471</v>
      </c>
      <c r="T106" s="153" t="s">
        <v>193</v>
      </c>
    </row>
    <row r="107" spans="2:21">
      <c r="C107" s="153" t="s">
        <v>138</v>
      </c>
      <c r="D107" s="190">
        <f>ROUNDUP(+E106/K6,0)</f>
        <v>28</v>
      </c>
      <c r="E107" s="183"/>
      <c r="G107" s="191"/>
      <c r="H107" s="191"/>
      <c r="I107" s="190"/>
      <c r="J107" s="190">
        <f>0.5*(0.075+0.05)*0.075*C6*D107</f>
        <v>3.9375E-2</v>
      </c>
      <c r="K107" s="190">
        <f>+(0.075+0.08)*C6*D107</f>
        <v>1.302</v>
      </c>
      <c r="L107" s="192">
        <f>+D107</f>
        <v>28</v>
      </c>
      <c r="M107" s="187">
        <f>+ROUNDUP(L107,0)</f>
        <v>28</v>
      </c>
      <c r="N107" s="193">
        <f>+(C6-0.08)+((0.075+0.05-0.04)*2)</f>
        <v>0.38999999999999996</v>
      </c>
      <c r="O107" s="192"/>
      <c r="P107" s="194"/>
      <c r="Q107" s="194"/>
      <c r="R107" s="189">
        <f>+N107*M107+P107*Q107</f>
        <v>10.919999999999998</v>
      </c>
      <c r="S107" s="185">
        <f>((I6*I6)/162)*R107</f>
        <v>6.7407407407407396</v>
      </c>
      <c r="T107" s="153" t="s">
        <v>193</v>
      </c>
      <c r="U107" s="190">
        <f>S106+S107</f>
        <v>618.76543209876547</v>
      </c>
    </row>
    <row r="108" spans="2:21">
      <c r="E108" s="183"/>
    </row>
    <row r="109" spans="2:21">
      <c r="B109" s="306" t="s">
        <v>191</v>
      </c>
      <c r="C109" s="307" t="s">
        <v>194</v>
      </c>
      <c r="E109" s="183">
        <v>93.91</v>
      </c>
      <c r="G109" s="184">
        <f>+E109*(C9+E9*2+3)</f>
        <v>342.7715</v>
      </c>
      <c r="H109" s="184">
        <f>+E109*(C9+E9*2)*(D9+E9+F9)</f>
        <v>36.624900000000004</v>
      </c>
      <c r="I109" s="185">
        <f>+(C9+E9*2)*E109*F9</f>
        <v>3.0520750000000003</v>
      </c>
      <c r="J109" s="185">
        <f>+E109*((C9+E9*2)*E9+(D9*E9*2))</f>
        <v>14.556050000000003</v>
      </c>
      <c r="K109" s="185">
        <f>+(D9+$K$104*(D9+E9))*E109*2</f>
        <v>187.82</v>
      </c>
      <c r="L109" s="186">
        <f>+(E109)/H9+ IF(E109&gt;0,1,0)</f>
        <v>470.54999999999995</v>
      </c>
      <c r="M109" s="187">
        <f>+ROUNDUP(L109,0)</f>
        <v>471</v>
      </c>
      <c r="N109" s="188">
        <f>+(D9+E9-0.08)*2+(C9+E9*2-0.08)</f>
        <v>1.5100000000000002</v>
      </c>
      <c r="O109" s="186">
        <f>+N109/J9+1</f>
        <v>7.0400000000000009</v>
      </c>
      <c r="P109" s="187">
        <f>+ROUNDUP(O109,0)</f>
        <v>8</v>
      </c>
      <c r="Q109" s="187">
        <f>+E109+E109/6*50*(G9/1000)</f>
        <v>101.73583333333333</v>
      </c>
      <c r="R109" s="189">
        <f>+N109*M109+P109*Q109</f>
        <v>1525.0966666666668</v>
      </c>
      <c r="S109" s="185">
        <f>((I9*I9)/162)*R109</f>
        <v>941.41769547325111</v>
      </c>
      <c r="T109" s="153" t="s">
        <v>193</v>
      </c>
    </row>
    <row r="110" spans="2:21">
      <c r="C110" s="153" t="s">
        <v>138</v>
      </c>
      <c r="D110" s="190">
        <f>ROUNDUP(+E109/K9,0)</f>
        <v>32</v>
      </c>
      <c r="E110" s="183"/>
      <c r="G110" s="191"/>
      <c r="H110" s="191"/>
      <c r="I110" s="190"/>
      <c r="J110" s="190">
        <f>0.5*(0.075+0.05)*0.075*C9*D110</f>
        <v>6.7500000000000004E-2</v>
      </c>
      <c r="K110" s="190">
        <f>+(0.075+0.08)*C9*D110</f>
        <v>2.2320000000000002</v>
      </c>
      <c r="L110" s="192">
        <f>+D110</f>
        <v>32</v>
      </c>
      <c r="M110" s="187">
        <f>+ROUNDUP(L110,0)</f>
        <v>32</v>
      </c>
      <c r="N110" s="193">
        <f>+(C9-0.08)+((0.075+0.05-0.04)*2)</f>
        <v>0.54</v>
      </c>
      <c r="O110" s="192"/>
      <c r="P110" s="194"/>
      <c r="Q110" s="194"/>
      <c r="R110" s="189">
        <f>+N110*M110+P110*Q110</f>
        <v>17.28</v>
      </c>
      <c r="S110" s="185">
        <f>((I9*I9)/162)*R110</f>
        <v>10.666666666666666</v>
      </c>
      <c r="T110" s="153" t="s">
        <v>193</v>
      </c>
      <c r="U110" s="190">
        <f>S109+S110</f>
        <v>952.08436213991774</v>
      </c>
    </row>
    <row r="111" spans="2:21" hidden="1">
      <c r="E111" s="183"/>
    </row>
    <row r="112" spans="2:21" hidden="1">
      <c r="B112" s="306" t="s">
        <v>191</v>
      </c>
      <c r="C112" s="307" t="s">
        <v>195</v>
      </c>
      <c r="E112" s="183"/>
      <c r="G112" s="184">
        <f>+E112*(C12+E12*2+3)</f>
        <v>0</v>
      </c>
      <c r="H112" s="184">
        <f>+E112*(C12+E12*2)*(D12+E12+F12)</f>
        <v>0</v>
      </c>
      <c r="I112" s="185">
        <f>+(C12+E12*2)*E112*F12</f>
        <v>0</v>
      </c>
      <c r="J112" s="185">
        <f>+E112*((C12+E12*2)*E12+(D12*E12*2))</f>
        <v>0</v>
      </c>
      <c r="K112" s="185">
        <f>+(D12+$K$104*(D12+E12))*E112*2</f>
        <v>0</v>
      </c>
      <c r="L112" s="186">
        <f>+(E112)/H12+ IF(E112&gt;0,1,0)</f>
        <v>0</v>
      </c>
      <c r="M112" s="187">
        <f>+ROUNDUP(L112,0)</f>
        <v>0</v>
      </c>
      <c r="N112" s="188">
        <f>+(D12+E12-0.08)*2+(C12+E12*2-0.08)</f>
        <v>1.96</v>
      </c>
      <c r="O112" s="186">
        <f>+N112/J12+1</f>
        <v>8.84</v>
      </c>
      <c r="P112" s="187">
        <f>+ROUNDUP(O112,0)</f>
        <v>9</v>
      </c>
      <c r="Q112" s="187">
        <f>+E112+E112/6*50*(G12/1000)</f>
        <v>0</v>
      </c>
      <c r="R112" s="189">
        <f>+N112*M112+P112*Q112</f>
        <v>0</v>
      </c>
      <c r="S112" s="185">
        <f>((I12*I12)/162)*R112</f>
        <v>0</v>
      </c>
      <c r="T112" s="153" t="s">
        <v>193</v>
      </c>
    </row>
    <row r="113" spans="2:21" hidden="1">
      <c r="C113" s="153" t="s">
        <v>138</v>
      </c>
      <c r="D113" s="190">
        <f>ROUNDUP(+E112/K12,0)</f>
        <v>0</v>
      </c>
      <c r="E113" s="183"/>
      <c r="G113" s="191"/>
      <c r="H113" s="191">
        <f>E112*0.6*0.6</f>
        <v>0</v>
      </c>
      <c r="I113" s="190"/>
      <c r="J113" s="190">
        <f>0.5*(0.075+0.05)*0.075*C12*D113</f>
        <v>0</v>
      </c>
      <c r="K113" s="190">
        <f>+(0.075+0.08)*C12*D113</f>
        <v>0</v>
      </c>
      <c r="L113" s="192">
        <f>+D113</f>
        <v>0</v>
      </c>
      <c r="M113" s="187">
        <f>+ROUNDUP(L113,0)</f>
        <v>0</v>
      </c>
      <c r="N113" s="193">
        <f>+(C12-0.08)+((0.075+0.05-0.04)*2)</f>
        <v>0.69</v>
      </c>
      <c r="O113" s="192"/>
      <c r="P113" s="194"/>
      <c r="Q113" s="194"/>
      <c r="R113" s="189">
        <f>+N113*M113+P113*Q113</f>
        <v>0</v>
      </c>
      <c r="S113" s="185">
        <f>((I12*I12)/162)*R113</f>
        <v>0</v>
      </c>
      <c r="T113" s="153" t="s">
        <v>193</v>
      </c>
      <c r="U113" s="190">
        <f>S112+S113</f>
        <v>0</v>
      </c>
    </row>
    <row r="114" spans="2:21" hidden="1">
      <c r="E114" s="183"/>
    </row>
    <row r="115" spans="2:21" hidden="1">
      <c r="B115" s="153" t="s">
        <v>191</v>
      </c>
      <c r="C115" s="177" t="s">
        <v>196</v>
      </c>
      <c r="E115" s="183"/>
      <c r="G115" s="184">
        <f>+E115*(C15+E15*2+1.5)</f>
        <v>0</v>
      </c>
      <c r="H115" s="184">
        <f>+E115*(C15+E15*2)*(D15+E15+F15)</f>
        <v>0</v>
      </c>
      <c r="I115" s="185">
        <f>+(C15+E15*2)*E115*F15</f>
        <v>0</v>
      </c>
      <c r="J115" s="185">
        <f>+E115*((C15+E15*2)*E15+(D15*E15*2))</f>
        <v>0</v>
      </c>
      <c r="K115" s="185">
        <f>+(D15+$K$104*(D15+E15))*E115*2</f>
        <v>0</v>
      </c>
      <c r="L115" s="186">
        <f>+(E115)/H15+ IF(E115&gt;0,1,0)</f>
        <v>0</v>
      </c>
      <c r="M115" s="187">
        <f>+ROUNDUP(L115,0)</f>
        <v>0</v>
      </c>
      <c r="N115" s="188">
        <f>+(D15+E15-0.08)*2+(C15+E15*2-0.08)</f>
        <v>2.5100000000000002</v>
      </c>
      <c r="O115" s="186">
        <f>+N115/J15+1</f>
        <v>11.040000000000001</v>
      </c>
      <c r="P115" s="187">
        <f>+ROUNDUP(O115,0)</f>
        <v>12</v>
      </c>
      <c r="Q115" s="187">
        <f>+E115+E115/6*50*(G15/1000)</f>
        <v>0</v>
      </c>
      <c r="R115" s="189">
        <f>+N115*M115+P115*Q115</f>
        <v>0</v>
      </c>
      <c r="S115" s="185">
        <f>((I15*I15)/162)*R115</f>
        <v>0</v>
      </c>
      <c r="T115" s="153" t="s">
        <v>193</v>
      </c>
    </row>
    <row r="116" spans="2:21" hidden="1">
      <c r="C116" s="153" t="s">
        <v>138</v>
      </c>
      <c r="D116" s="190">
        <f>ROUNDUP(+E115/K15,0)</f>
        <v>0</v>
      </c>
      <c r="E116" s="183"/>
      <c r="G116" s="191"/>
      <c r="H116" s="191"/>
      <c r="I116" s="190"/>
      <c r="J116" s="190">
        <f>0.5*(0.075+0.05)*0.075*C15*D116</f>
        <v>0</v>
      </c>
      <c r="K116" s="190">
        <f>+(0.075+0.08)*C15*D116</f>
        <v>0</v>
      </c>
      <c r="L116" s="192">
        <f>+D116</f>
        <v>0</v>
      </c>
      <c r="M116" s="187">
        <f>+ROUNDUP(L116,0)</f>
        <v>0</v>
      </c>
      <c r="N116" s="193">
        <f>+(C15-0.08)+((0.075+0.05-0.04)*2)</f>
        <v>0.84000000000000008</v>
      </c>
      <c r="O116" s="192"/>
      <c r="P116" s="194"/>
      <c r="Q116" s="194"/>
      <c r="R116" s="189">
        <f>+N116*M116+P116*Q116</f>
        <v>0</v>
      </c>
      <c r="S116" s="185">
        <f>((I15*I15)/162)*R116</f>
        <v>0</v>
      </c>
      <c r="T116" s="153" t="s">
        <v>193</v>
      </c>
      <c r="U116" s="190">
        <f>S115+S116</f>
        <v>0</v>
      </c>
    </row>
    <row r="117" spans="2:21" hidden="1">
      <c r="B117" s="306" t="s">
        <v>191</v>
      </c>
      <c r="C117" s="307" t="s">
        <v>197</v>
      </c>
      <c r="E117" s="183"/>
      <c r="G117" s="195">
        <f>+E117*(C15+E15*2+1.5)</f>
        <v>0</v>
      </c>
      <c r="H117" s="195">
        <f>+E117*(C15+E15*2)*(D15+E15+F15)</f>
        <v>0</v>
      </c>
      <c r="I117" s="196">
        <f>+(C15+E15*2)*E117*F15</f>
        <v>0</v>
      </c>
      <c r="J117" s="196">
        <f>+E117*((C15+E15*2)*E15+(D15*E15*2))</f>
        <v>0</v>
      </c>
      <c r="K117" s="196">
        <f>+(D15+$K$104*(D15+E15))*E117*2</f>
        <v>0</v>
      </c>
      <c r="L117" s="186">
        <f>+(E117)/H15+ IF(E117&gt;0,1,0)</f>
        <v>0</v>
      </c>
      <c r="M117" s="197">
        <f>+ROUNDUP(L117,0)</f>
        <v>0</v>
      </c>
      <c r="N117" s="188">
        <f>+(D15+E15-0.08)*2+(C15+E15*2-0.08)</f>
        <v>2.5100000000000002</v>
      </c>
      <c r="O117" s="186">
        <f>+N117/J15+1</f>
        <v>11.040000000000001</v>
      </c>
      <c r="P117" s="197">
        <f>+ROUNDUP(O117,0)</f>
        <v>12</v>
      </c>
      <c r="Q117" s="187">
        <f>+E117+E117/6*50*(G15/1000)</f>
        <v>0</v>
      </c>
      <c r="R117" s="189">
        <f>+N117*M117+P117*Q117</f>
        <v>0</v>
      </c>
      <c r="S117" s="196">
        <f>((I15*I15)/162)*R117</f>
        <v>0</v>
      </c>
      <c r="T117" s="153" t="s">
        <v>193</v>
      </c>
    </row>
    <row r="118" spans="2:21" hidden="1">
      <c r="C118" s="153" t="s">
        <v>138</v>
      </c>
      <c r="D118" s="190">
        <f>ROUNDUP(+E117/K15,0)</f>
        <v>0</v>
      </c>
      <c r="E118" s="183"/>
      <c r="G118" s="198"/>
      <c r="H118" s="198"/>
      <c r="I118" s="199"/>
      <c r="J118" s="199">
        <f>0.5*(0.075+0.05)*0.075*C15*D118</f>
        <v>0</v>
      </c>
      <c r="K118" s="199">
        <f>+(0.075+0.08)*C15*D118</f>
        <v>0</v>
      </c>
      <c r="L118" s="192">
        <f>+D118</f>
        <v>0</v>
      </c>
      <c r="M118" s="197">
        <f>+ROUNDUP(L118,0)</f>
        <v>0</v>
      </c>
      <c r="N118" s="193">
        <f>+(C15-0.08)+((0.075+0.05-0.04)*2)</f>
        <v>0.84000000000000008</v>
      </c>
      <c r="O118" s="192"/>
      <c r="P118" s="200"/>
      <c r="Q118" s="194"/>
      <c r="R118" s="189">
        <f>+N118*M118+P118*Q118</f>
        <v>0</v>
      </c>
      <c r="S118" s="196">
        <f>((I15*I15)/162)*R118</f>
        <v>0</v>
      </c>
      <c r="T118" s="153" t="s">
        <v>193</v>
      </c>
    </row>
    <row r="119" spans="2:21" hidden="1">
      <c r="B119" s="201" t="s">
        <v>198</v>
      </c>
      <c r="D119" s="190"/>
      <c r="E119" s="183"/>
      <c r="G119" s="295"/>
      <c r="H119" s="295"/>
      <c r="I119" s="190"/>
      <c r="J119" s="190"/>
      <c r="K119" s="190"/>
      <c r="L119" s="296"/>
      <c r="M119" s="194"/>
      <c r="N119" s="193"/>
      <c r="O119" s="296"/>
      <c r="P119" s="194"/>
      <c r="Q119" s="194"/>
      <c r="R119" s="558"/>
      <c r="S119" s="190"/>
    </row>
    <row r="120" spans="2:21" hidden="1">
      <c r="C120" s="201" t="s">
        <v>199</v>
      </c>
      <c r="D120" s="190"/>
      <c r="E120" s="183"/>
      <c r="G120" s="295"/>
      <c r="H120" s="295"/>
      <c r="I120" s="190"/>
      <c r="J120" s="190"/>
      <c r="K120" s="190"/>
      <c r="L120" s="296"/>
      <c r="M120" s="194"/>
      <c r="N120" s="193"/>
      <c r="O120" s="296"/>
      <c r="P120" s="194"/>
      <c r="Q120" s="194"/>
      <c r="R120" s="558"/>
      <c r="S120" s="190"/>
    </row>
    <row r="121" spans="2:21" hidden="1">
      <c r="C121" s="201" t="s">
        <v>200</v>
      </c>
      <c r="D121" s="190"/>
      <c r="E121" s="183"/>
      <c r="G121" s="295"/>
      <c r="H121" s="295"/>
      <c r="I121" s="190"/>
      <c r="J121" s="190"/>
      <c r="K121" s="190"/>
      <c r="L121" s="296"/>
      <c r="M121" s="194"/>
      <c r="N121" s="193"/>
      <c r="O121" s="296"/>
      <c r="P121" s="194"/>
      <c r="Q121" s="194"/>
      <c r="R121" s="558"/>
      <c r="S121" s="190"/>
    </row>
    <row r="122" spans="2:21" hidden="1"/>
    <row r="123" spans="2:21" hidden="1">
      <c r="B123" s="153" t="s">
        <v>191</v>
      </c>
      <c r="C123" s="177" t="s">
        <v>201</v>
      </c>
      <c r="E123" s="183"/>
      <c r="G123" s="195">
        <f>+E123*(C18+E18*2+1.5)</f>
        <v>0</v>
      </c>
      <c r="H123" s="195">
        <f>+E123*(C18+E18*2)*(D18+E18+F18)</f>
        <v>0</v>
      </c>
      <c r="I123" s="196">
        <f>+(C18+E18*2)*E123*F18</f>
        <v>0</v>
      </c>
      <c r="J123" s="196">
        <f>+E123*((C18+E18*2)*E18+(D18*E18*2))</f>
        <v>0</v>
      </c>
      <c r="K123" s="196">
        <f>+(D18+$K$104*(D18+E18))*E123*2</f>
        <v>0</v>
      </c>
      <c r="L123" s="186">
        <f>+(E123)/H18+ IF(E123&gt;0,1,0)</f>
        <v>0</v>
      </c>
      <c r="M123" s="197">
        <f>+ROUNDUP(L123,0)</f>
        <v>0</v>
      </c>
      <c r="N123" s="188">
        <f>+(D18+E18-0.08)*2+(C18+E18*2-0.08)</f>
        <v>3.06</v>
      </c>
      <c r="O123" s="186">
        <f>+N123/J18+1</f>
        <v>13.24</v>
      </c>
      <c r="P123" s="197">
        <f>+ROUNDUP(O123,0)</f>
        <v>14</v>
      </c>
      <c r="Q123" s="187">
        <f>+E123+E123/6*50*(G18/1000)</f>
        <v>0</v>
      </c>
      <c r="R123" s="189">
        <f>+N123*M123+P123*Q123</f>
        <v>0</v>
      </c>
      <c r="S123" s="196">
        <f>((I18*I18)/162)*R123</f>
        <v>0</v>
      </c>
      <c r="T123" s="153" t="s">
        <v>193</v>
      </c>
    </row>
    <row r="124" spans="2:21" hidden="1">
      <c r="C124" s="153" t="s">
        <v>138</v>
      </c>
      <c r="D124" s="190">
        <f>ROUNDUP(+E123/K18,0)</f>
        <v>0</v>
      </c>
      <c r="E124" s="183"/>
      <c r="G124" s="198"/>
      <c r="H124" s="198"/>
      <c r="I124" s="199"/>
      <c r="J124" s="199">
        <f>0.5*(0.075+0.05)*0.075*C18*D124</f>
        <v>0</v>
      </c>
      <c r="K124" s="199">
        <f>+(0.075+0.08)*C18*D124</f>
        <v>0</v>
      </c>
      <c r="L124" s="192">
        <f>+D124</f>
        <v>0</v>
      </c>
      <c r="M124" s="197">
        <f>+ROUNDUP(L124,0)</f>
        <v>0</v>
      </c>
      <c r="N124" s="193">
        <f>+(C18-0.08)+((0.075+0.05-0.04)*2)</f>
        <v>0.99</v>
      </c>
      <c r="O124" s="192"/>
      <c r="P124" s="200"/>
      <c r="Q124" s="194"/>
      <c r="R124" s="189">
        <f>+N124*M124+P124*Q124</f>
        <v>0</v>
      </c>
      <c r="S124" s="196">
        <f>((I18*I18)/162)*R124</f>
        <v>0</v>
      </c>
      <c r="T124" s="153" t="s">
        <v>193</v>
      </c>
    </row>
    <row r="125" spans="2:21" hidden="1"/>
    <row r="126" spans="2:21" hidden="1">
      <c r="B126" s="153" t="s">
        <v>191</v>
      </c>
      <c r="C126" s="177" t="s">
        <v>202</v>
      </c>
      <c r="E126" s="183"/>
      <c r="G126" s="184">
        <f>+E126*(C21+E21*2+3)</f>
        <v>0</v>
      </c>
      <c r="H126" s="184">
        <f>+E126*(C21+E21*2)*(D21+E21+F21)</f>
        <v>0</v>
      </c>
      <c r="I126" s="185">
        <f>+(C21+E21*2)*E126*F21</f>
        <v>0</v>
      </c>
      <c r="J126" s="185">
        <f>+E126*((C21+E21*2)*E21+(D21*E21*2))</f>
        <v>0</v>
      </c>
      <c r="K126" s="185">
        <f>+(D21+$K$104*(D21+E21))*E126*2</f>
        <v>0</v>
      </c>
      <c r="L126" s="186">
        <f>+(E126)/H21+ IF(E126&gt;0,1,0)</f>
        <v>0</v>
      </c>
      <c r="M126" s="187">
        <f>+ROUNDUP(L126,0)</f>
        <v>0</v>
      </c>
      <c r="N126" s="188">
        <f>+(D21+E21-0.08)*2+(C21+E21*2-0.08)</f>
        <v>3.3599999999999994</v>
      </c>
      <c r="O126" s="186">
        <f>+N126/J21+1</f>
        <v>14.439999999999998</v>
      </c>
      <c r="P126" s="187">
        <f>+ROUNDUP(O126,0)</f>
        <v>15</v>
      </c>
      <c r="Q126" s="187">
        <f>+E126+E126/6*50*(G21/1000)</f>
        <v>0</v>
      </c>
      <c r="R126" s="189">
        <f>+N126*M126+P126*Q126</f>
        <v>0</v>
      </c>
      <c r="S126" s="185">
        <f>((I21*I21)/162)*R126</f>
        <v>0</v>
      </c>
      <c r="T126" s="153" t="s">
        <v>193</v>
      </c>
    </row>
    <row r="127" spans="2:21" hidden="1">
      <c r="C127" s="153" t="s">
        <v>138</v>
      </c>
      <c r="D127" s="190">
        <f>ROUNDUP(+E126/K21,0)</f>
        <v>0</v>
      </c>
      <c r="E127" s="183"/>
      <c r="G127" s="191"/>
      <c r="H127" s="191"/>
      <c r="I127" s="190"/>
      <c r="J127" s="190">
        <f>0.5*(0.075+0.05)*0.075*C21*D127</f>
        <v>0</v>
      </c>
      <c r="K127" s="190">
        <f>+(0.075+0.08)*C21*D127</f>
        <v>0</v>
      </c>
      <c r="L127" s="192">
        <f>+D127</f>
        <v>0</v>
      </c>
      <c r="M127" s="187">
        <f>+ROUNDUP(L127,0)</f>
        <v>0</v>
      </c>
      <c r="N127" s="193">
        <f>+(C21-0.08)+((0.075+0.05-0.04)*2)</f>
        <v>1.0900000000000001</v>
      </c>
      <c r="O127" s="192"/>
      <c r="P127" s="194"/>
      <c r="Q127" s="194"/>
      <c r="R127" s="189">
        <f>+N127*M127+P127*Q127</f>
        <v>0</v>
      </c>
      <c r="S127" s="185">
        <f>((I21*I21)/162)*R127</f>
        <v>0</v>
      </c>
      <c r="T127" s="153" t="s">
        <v>193</v>
      </c>
    </row>
    <row r="128" spans="2:21" hidden="1"/>
    <row r="129" spans="2:20" hidden="1">
      <c r="B129" s="153" t="s">
        <v>191</v>
      </c>
      <c r="C129" s="177" t="s">
        <v>203</v>
      </c>
      <c r="E129" s="183"/>
      <c r="G129" s="195">
        <f>+E129*(C24+E24*2+1.5)</f>
        <v>0</v>
      </c>
      <c r="H129" s="195">
        <f>+E129*(C24+E24*2)*(((D24+E24+F24)*2+0.1)/2)</f>
        <v>0</v>
      </c>
      <c r="I129" s="196">
        <f>+(C24+E24*2)*E129*F24</f>
        <v>0</v>
      </c>
      <c r="J129" s="196">
        <f>+E129*((C24+E24*2)*E24+(D24*E24)+((D24+0.1)*E24))</f>
        <v>0</v>
      </c>
      <c r="K129" s="196">
        <f>+((D24*2)+$K$104*((D24+E24)+(D24+E24+0.1)))*E129</f>
        <v>0</v>
      </c>
      <c r="L129" s="186">
        <f>+(E129)/H24+ IF(E129&gt;0,1,0)</f>
        <v>0</v>
      </c>
      <c r="M129" s="197">
        <f>+ROUNDUP(L129,0)</f>
        <v>0</v>
      </c>
      <c r="N129" s="188">
        <f>+(D24+E24-0.08)+(D24+E24+0.1-0.08)+(C24+E24*2-0.08)</f>
        <v>1.1599999999999999</v>
      </c>
      <c r="O129" s="186">
        <f>+N129/J24+1</f>
        <v>5.64</v>
      </c>
      <c r="P129" s="197">
        <f>+ROUNDUP(O129,0)</f>
        <v>6</v>
      </c>
      <c r="Q129" s="187">
        <f>+E129+E129/6*50*(G24/1000)</f>
        <v>0</v>
      </c>
      <c r="R129" s="189">
        <f>+N129*M129+P129*Q129</f>
        <v>0</v>
      </c>
      <c r="S129" s="196">
        <f>((I24*I24)/162)*R129</f>
        <v>0</v>
      </c>
      <c r="T129" s="153" t="s">
        <v>193</v>
      </c>
    </row>
    <row r="130" spans="2:20" hidden="1">
      <c r="C130" s="153" t="s">
        <v>138</v>
      </c>
      <c r="D130" s="190">
        <f>ROUNDUP(+E129/K24,0)</f>
        <v>0</v>
      </c>
      <c r="E130" s="183"/>
      <c r="G130" s="198"/>
      <c r="H130" s="198"/>
      <c r="I130" s="199"/>
      <c r="J130" s="199">
        <f>0.5*(0.075+0.05)*0.075*C24*D130</f>
        <v>0</v>
      </c>
      <c r="K130" s="199">
        <f>+(0.075+0.08)*C24*D130</f>
        <v>0</v>
      </c>
      <c r="L130" s="192">
        <f>+D130</f>
        <v>0</v>
      </c>
      <c r="M130" s="197">
        <f>+ROUNDUP(L130,0)</f>
        <v>0</v>
      </c>
      <c r="N130" s="193">
        <f>+(C24-0.08)+((0.075+0.05-0.04)*2)</f>
        <v>0.38999999999999996</v>
      </c>
      <c r="O130" s="192"/>
      <c r="P130" s="200"/>
      <c r="Q130" s="194"/>
      <c r="R130" s="189">
        <f>+N130*M130+P130*Q130</f>
        <v>0</v>
      </c>
      <c r="S130" s="196">
        <f>((I24*I24)/162)*R130</f>
        <v>0</v>
      </c>
      <c r="T130" s="153" t="s">
        <v>193</v>
      </c>
    </row>
    <row r="131" spans="2:20" hidden="1"/>
    <row r="132" spans="2:20" hidden="1">
      <c r="B132" s="153" t="s">
        <v>191</v>
      </c>
      <c r="C132" s="177" t="s">
        <v>204</v>
      </c>
      <c r="E132" s="183"/>
      <c r="G132" s="184">
        <f>+E132*(C27+E27*2+1.5)</f>
        <v>0</v>
      </c>
      <c r="H132" s="184">
        <f>+E132*(C27+E27*2)*(((D27+E27+F27)*2+0.1)/2)</f>
        <v>0</v>
      </c>
      <c r="I132" s="185">
        <f>+(C27+E27*2)*E132*F27</f>
        <v>0</v>
      </c>
      <c r="J132" s="185">
        <f>+E132*((C27+E27*2)*E27+(D27*E27)+((D27+0.1)*E27))</f>
        <v>0</v>
      </c>
      <c r="K132" s="185">
        <f>+((D27*2)+$K$104*((D27+E27)+(D27+E27+0.1)))*E132</f>
        <v>0</v>
      </c>
      <c r="L132" s="186">
        <f>+(E132)/H27+ IF(E132&gt;0,1,0)</f>
        <v>0</v>
      </c>
      <c r="M132" s="187">
        <f>+ROUNDUP(L132,0)</f>
        <v>0</v>
      </c>
      <c r="N132" s="188">
        <f>+(D27+E27-0.08)+(D27+E27+0.1-0.08)+(C27+E27*2-0.08)</f>
        <v>2.06</v>
      </c>
      <c r="O132" s="186">
        <f>+N132/J27+1</f>
        <v>9.24</v>
      </c>
      <c r="P132" s="187">
        <f>+ROUNDUP(O132,0)</f>
        <v>10</v>
      </c>
      <c r="Q132" s="187">
        <f>+E132+E132/6*50*(G27/1000)</f>
        <v>0</v>
      </c>
      <c r="R132" s="189">
        <f>+N132*M132+P132*Q132</f>
        <v>0</v>
      </c>
      <c r="S132" s="185">
        <f>((I27*I27)/162)*R132</f>
        <v>0</v>
      </c>
      <c r="T132" s="153" t="s">
        <v>193</v>
      </c>
    </row>
    <row r="133" spans="2:20" hidden="1">
      <c r="C133" s="153" t="s">
        <v>138</v>
      </c>
      <c r="D133" s="190">
        <f>ROUNDUP(+E132/K27,0)</f>
        <v>0</v>
      </c>
      <c r="E133" s="183"/>
      <c r="G133" s="191"/>
      <c r="H133" s="191"/>
      <c r="I133" s="190"/>
      <c r="J133" s="190">
        <f>0.5*(0.075+0.05)*0.075*C27*D133</f>
        <v>0</v>
      </c>
      <c r="K133" s="190">
        <f>+(0.075+0.08)*C27*D133</f>
        <v>0</v>
      </c>
      <c r="L133" s="192">
        <f>+D133</f>
        <v>0</v>
      </c>
      <c r="M133" s="187">
        <f>+ROUNDUP(L133,0)</f>
        <v>0</v>
      </c>
      <c r="N133" s="193">
        <f>+(C27-0.08)+((0.075+0.05-0.04)*2)</f>
        <v>0.69</v>
      </c>
      <c r="O133" s="192"/>
      <c r="P133" s="194"/>
      <c r="Q133" s="194"/>
      <c r="R133" s="189">
        <f>+N133*M133+P133*Q133</f>
        <v>0</v>
      </c>
      <c r="S133" s="185">
        <f>((I27*I27)/162)*R133</f>
        <v>0</v>
      </c>
      <c r="T133" s="153" t="s">
        <v>193</v>
      </c>
    </row>
    <row r="134" spans="2:20" hidden="1"/>
    <row r="135" spans="2:20" hidden="1">
      <c r="B135" s="306" t="s">
        <v>191</v>
      </c>
      <c r="C135" s="307" t="s">
        <v>205</v>
      </c>
      <c r="E135" s="183"/>
      <c r="G135" s="184">
        <f>+E135*(C30+E30*2+0.5)</f>
        <v>0</v>
      </c>
      <c r="H135" s="184">
        <f>+E135*(C30+E30*2)*(((D30+E30+F30)*2+0.1)/2)</f>
        <v>0</v>
      </c>
      <c r="I135" s="185">
        <f>+(C30+E30*2)*E135*F30</f>
        <v>0</v>
      </c>
      <c r="J135" s="185">
        <f>+E135*((C30+E30*2)*E30+(D30*E30)+((D30+0.1)*E30))</f>
        <v>0</v>
      </c>
      <c r="K135" s="185">
        <f>+((D30*2)+$K$104*((D30+E30)+(D30+E30+0.1)))*E135</f>
        <v>0</v>
      </c>
      <c r="L135" s="186">
        <f>+(E135)/H30+ IF(E135&gt;0,1,0)</f>
        <v>0</v>
      </c>
      <c r="M135" s="187">
        <f>+ROUNDUP(L135,0)</f>
        <v>0</v>
      </c>
      <c r="N135" s="188">
        <f>+(D30+E30-0.08)+(D30+E30+0.1-0.08)+(C30+E30*2-0.08)</f>
        <v>1.1599999999999999</v>
      </c>
      <c r="O135" s="186">
        <f>+N135/J30+1</f>
        <v>5.64</v>
      </c>
      <c r="P135" s="187">
        <f>+ROUNDUP(O135,0)</f>
        <v>6</v>
      </c>
      <c r="Q135" s="187">
        <f>+E135+E135/6*50*(G30/1000)</f>
        <v>0</v>
      </c>
      <c r="R135" s="189">
        <f>+N135*M135+P135*Q135</f>
        <v>0</v>
      </c>
      <c r="S135" s="185">
        <f>((I30*I30)/162)*R135</f>
        <v>0</v>
      </c>
      <c r="T135" s="153" t="s">
        <v>193</v>
      </c>
    </row>
    <row r="136" spans="2:20" hidden="1">
      <c r="C136" s="153" t="s">
        <v>158</v>
      </c>
      <c r="D136" s="190"/>
      <c r="E136" s="183"/>
      <c r="G136" s="184">
        <f>+E136*(C31+0.5)</f>
        <v>0</v>
      </c>
      <c r="H136" s="191">
        <f>+E136*C31*E31</f>
        <v>0</v>
      </c>
      <c r="I136" s="190"/>
      <c r="J136" s="190">
        <f>+E136*C31*E31</f>
        <v>0</v>
      </c>
      <c r="K136" s="190">
        <f>+E136*E31</f>
        <v>0</v>
      </c>
      <c r="L136" s="186">
        <f>+(E136)/H31+ IF(E136&gt;0,1,0)</f>
        <v>0</v>
      </c>
      <c r="M136" s="187">
        <f>+ROUNDUP(L136,0)</f>
        <v>0</v>
      </c>
      <c r="N136" s="188">
        <f>+C31-0.04</f>
        <v>1.46</v>
      </c>
      <c r="O136" s="186">
        <f>+N136/J31+1</f>
        <v>10.733333333333334</v>
      </c>
      <c r="P136" s="187">
        <f>+ROUNDUP(O136,0)</f>
        <v>11</v>
      </c>
      <c r="Q136" s="187">
        <f>+E136+E136/6*50*(G31/1000)</f>
        <v>0</v>
      </c>
      <c r="R136" s="189">
        <f>+N136*M136+P136*Q136</f>
        <v>0</v>
      </c>
      <c r="S136" s="185">
        <f>((I31*I31)/162)*R136</f>
        <v>0</v>
      </c>
      <c r="T136" s="153" t="s">
        <v>193</v>
      </c>
    </row>
    <row r="137" spans="2:20" hidden="1">
      <c r="N137" s="188"/>
    </row>
    <row r="138" spans="2:20" hidden="1">
      <c r="B138" s="153" t="s">
        <v>191</v>
      </c>
      <c r="C138" s="177" t="s">
        <v>206</v>
      </c>
      <c r="E138" s="183"/>
      <c r="G138" s="195">
        <f>+E138*(C33+E33*2+0.5)</f>
        <v>0</v>
      </c>
      <c r="H138" s="195">
        <f>+E138*(C33+E33*2)*(((D33+E33+F33)*2+0.1)/2)</f>
        <v>0</v>
      </c>
      <c r="I138" s="196">
        <f>+(C33+E33*2)*E138*F33</f>
        <v>0</v>
      </c>
      <c r="J138" s="196">
        <f>+E138*((C33+E33*2)*E33+(D33*E33)+((D33+0.1)*E33))</f>
        <v>0</v>
      </c>
      <c r="K138" s="196">
        <f>+((D33*2)+$K$104*((D33+E33)+(D33+E33+0.1)))*E138</f>
        <v>0</v>
      </c>
      <c r="L138" s="186">
        <f>+(E138)/H33+ IF(E138&gt;0,1,0)</f>
        <v>0</v>
      </c>
      <c r="M138" s="197">
        <f>+ROUNDUP(L138,0)</f>
        <v>0</v>
      </c>
      <c r="N138" s="188">
        <f>+(D33+E33-0.08)+(D33+E33+0.1-0.08)+(C33+E33*2-0.08)</f>
        <v>1.61</v>
      </c>
      <c r="O138" s="186">
        <f>+N138/J33+1</f>
        <v>7.44</v>
      </c>
      <c r="P138" s="197">
        <f>+ROUNDUP(O138,0)</f>
        <v>8</v>
      </c>
      <c r="Q138" s="187">
        <f>+E138+E138/6*50*(G33/1000)</f>
        <v>0</v>
      </c>
      <c r="R138" s="189">
        <f>+N138*M138+P138*Q138</f>
        <v>0</v>
      </c>
      <c r="S138" s="196">
        <f>((I33*I33)/162)*R138</f>
        <v>0</v>
      </c>
      <c r="T138" s="153" t="s">
        <v>193</v>
      </c>
    </row>
    <row r="139" spans="2:20" hidden="1">
      <c r="C139" s="153" t="s">
        <v>158</v>
      </c>
      <c r="D139" s="190"/>
      <c r="E139" s="183"/>
      <c r="G139" s="195">
        <f>+E139*(C34+0.5)</f>
        <v>0</v>
      </c>
      <c r="H139" s="198">
        <f>+E139*C34*E34</f>
        <v>0</v>
      </c>
      <c r="I139" s="199"/>
      <c r="J139" s="199">
        <f>+E139*C34*E34</f>
        <v>0</v>
      </c>
      <c r="K139" s="199">
        <f>+E139*E34</f>
        <v>0</v>
      </c>
      <c r="L139" s="186">
        <f>+(E139)/H34+ IF(E139&gt;0,1,0)</f>
        <v>0</v>
      </c>
      <c r="M139" s="197">
        <f>+ROUNDUP(L139,0)</f>
        <v>0</v>
      </c>
      <c r="N139" s="188">
        <f>+C34-0.04</f>
        <v>1.46</v>
      </c>
      <c r="O139" s="186">
        <f>+N139/J34+1</f>
        <v>10.733333333333334</v>
      </c>
      <c r="P139" s="197">
        <f>+ROUNDUP(O139,0)</f>
        <v>11</v>
      </c>
      <c r="Q139" s="187">
        <f>+E139+E139/6*50*(G34/1000)</f>
        <v>0</v>
      </c>
      <c r="R139" s="189">
        <f>+N139*M139+P139*Q139</f>
        <v>0</v>
      </c>
      <c r="S139" s="196">
        <f>((I34*I34)/162)*R139</f>
        <v>0</v>
      </c>
      <c r="T139" s="153" t="s">
        <v>193</v>
      </c>
    </row>
    <row r="140" spans="2:20" hidden="1">
      <c r="N140" s="188"/>
    </row>
    <row r="141" spans="2:20" hidden="1">
      <c r="B141" s="153" t="s">
        <v>191</v>
      </c>
      <c r="C141" s="177" t="s">
        <v>207</v>
      </c>
      <c r="E141" s="183"/>
      <c r="G141" s="195">
        <f>+E141*(C36+E36*2+0.5)</f>
        <v>0</v>
      </c>
      <c r="H141" s="195">
        <f>+E141*(C36+E36*2)*(((D36+E36+F36)*2+0.1)/2)</f>
        <v>0</v>
      </c>
      <c r="I141" s="196">
        <f>+(C36+E36*2)*E141*F36</f>
        <v>0</v>
      </c>
      <c r="J141" s="196">
        <f>+E141*((C36+E36*2)*E36+(D36*E36)+((D36+0.1)*E36))</f>
        <v>0</v>
      </c>
      <c r="K141" s="196">
        <f>+((D36*2)+$K$104*((D36+E36)+(D36+E36+0.1)))*E141</f>
        <v>0</v>
      </c>
      <c r="L141" s="186">
        <f>+(E141)/H36+ IF(E141&gt;0,1,0)</f>
        <v>0</v>
      </c>
      <c r="M141" s="197">
        <f>+ROUNDUP(L141,0)</f>
        <v>0</v>
      </c>
      <c r="N141" s="188">
        <f>+(D36+E36-0.08)+(D36+E36+0.1-0.08)+(C36+E36*2-0.08)</f>
        <v>1.5599999999999998</v>
      </c>
      <c r="O141" s="186">
        <f>+N141/J36+1</f>
        <v>7.2399999999999993</v>
      </c>
      <c r="P141" s="197">
        <f>+ROUNDUP(O141,0)</f>
        <v>8</v>
      </c>
      <c r="Q141" s="187">
        <f>+E141+E141/6*50*(G36/1000)</f>
        <v>0</v>
      </c>
      <c r="R141" s="189">
        <f>+N141*M141+P141*Q141</f>
        <v>0</v>
      </c>
      <c r="S141" s="196">
        <f>((I36*I36)/162)*R141</f>
        <v>0</v>
      </c>
      <c r="T141" s="153" t="s">
        <v>193</v>
      </c>
    </row>
    <row r="142" spans="2:20" hidden="1">
      <c r="C142" s="153" t="s">
        <v>158</v>
      </c>
      <c r="D142" s="190"/>
      <c r="E142" s="183"/>
      <c r="G142" s="195">
        <f>+E142*(C37+0.5)</f>
        <v>0</v>
      </c>
      <c r="H142" s="198">
        <f>+E142*C37*E37</f>
        <v>0</v>
      </c>
      <c r="I142" s="199"/>
      <c r="J142" s="199">
        <f>+E142*C37*E37</f>
        <v>0</v>
      </c>
      <c r="K142" s="199">
        <f>+E142*E37</f>
        <v>0</v>
      </c>
      <c r="L142" s="186">
        <f>+(E142)/H37+ IF(E142&gt;0,1,0)</f>
        <v>0</v>
      </c>
      <c r="M142" s="197">
        <f>+ROUNDUP(L142,0)</f>
        <v>0</v>
      </c>
      <c r="N142" s="188">
        <f>+C37-0.04</f>
        <v>1.46</v>
      </c>
      <c r="O142" s="186">
        <f>+N142/J37+1</f>
        <v>10.733333333333334</v>
      </c>
      <c r="P142" s="197">
        <f>+ROUNDUP(O142,0)</f>
        <v>11</v>
      </c>
      <c r="Q142" s="187">
        <f>+E142+E142/6*50*(G37/1000)</f>
        <v>0</v>
      </c>
      <c r="R142" s="189">
        <f>+N142*M142+P142*Q142</f>
        <v>0</v>
      </c>
      <c r="S142" s="196">
        <f>((I37*I37)/162)*R142</f>
        <v>0</v>
      </c>
      <c r="T142" s="153" t="s">
        <v>193</v>
      </c>
    </row>
    <row r="143" spans="2:20" hidden="1">
      <c r="N143" s="188"/>
    </row>
    <row r="144" spans="2:20" hidden="1">
      <c r="B144" s="298" t="s">
        <v>191</v>
      </c>
      <c r="C144" s="299" t="s">
        <v>208</v>
      </c>
      <c r="E144" s="183"/>
      <c r="G144" s="184">
        <f>+E144*(C39+E39)</f>
        <v>0</v>
      </c>
      <c r="H144" s="184">
        <f>+E144*(C39+E39)*E39</f>
        <v>0</v>
      </c>
      <c r="I144" s="185">
        <f>+E144*(C39+E39)*F39</f>
        <v>0</v>
      </c>
      <c r="J144" s="185">
        <f>+E144*((C39+E39)*E39+(E39*D39))</f>
        <v>0</v>
      </c>
      <c r="K144" s="185">
        <f>+E144*(E39*2+D39*2)</f>
        <v>0</v>
      </c>
      <c r="L144" s="186">
        <f>+(E144)/H39+ IF(E144&gt;0,1,0)</f>
        <v>0</v>
      </c>
      <c r="M144" s="187">
        <f>+ROUNDUP(L144,0)</f>
        <v>0</v>
      </c>
      <c r="N144" s="188">
        <f>+(C39+E39-0.08)+(D39+E39-0.08)</f>
        <v>1.24</v>
      </c>
      <c r="O144" s="186">
        <f>+N144/J39+1</f>
        <v>5.96</v>
      </c>
      <c r="P144" s="187">
        <f>+ROUNDUP(O144,0)</f>
        <v>6</v>
      </c>
      <c r="Q144" s="187">
        <f>+E144+E144/6*50*(G39/1000)</f>
        <v>0</v>
      </c>
      <c r="R144" s="189">
        <f>+N144*M144+P144*Q144</f>
        <v>0</v>
      </c>
      <c r="S144" s="185">
        <f>((I39*I39)/162)*R144</f>
        <v>0</v>
      </c>
      <c r="T144" s="153" t="s">
        <v>193</v>
      </c>
    </row>
    <row r="145" spans="2:20" hidden="1">
      <c r="N145" s="188"/>
    </row>
    <row r="146" spans="2:20" hidden="1">
      <c r="B146" s="153" t="s">
        <v>191</v>
      </c>
      <c r="C146" s="177" t="s">
        <v>209</v>
      </c>
      <c r="E146" s="183"/>
      <c r="G146" s="195">
        <f>+E146*(C41+E41)</f>
        <v>0</v>
      </c>
      <c r="H146" s="195">
        <f>+E146*(C41+E41)*E41</f>
        <v>0</v>
      </c>
      <c r="I146" s="196">
        <f>+E146*(C41+E41)*F41</f>
        <v>0</v>
      </c>
      <c r="J146" s="196">
        <f>+E146*((C41+E41)*E41+(E41*D41))</f>
        <v>0</v>
      </c>
      <c r="K146" s="196">
        <f>+E146*(E41*2+D41*2)</f>
        <v>0</v>
      </c>
      <c r="L146" s="186">
        <f>+(E146)/H41+ IF(E146&gt;0,1,0)</f>
        <v>0</v>
      </c>
      <c r="M146" s="197">
        <f>+ROUNDUP(L146,0)</f>
        <v>0</v>
      </c>
      <c r="N146" s="188">
        <f>+(C41+E41-0.08)+(D41+E41-0.08)</f>
        <v>1.34</v>
      </c>
      <c r="O146" s="186">
        <f>+N146/J41+1</f>
        <v>6.36</v>
      </c>
      <c r="P146" s="197">
        <f>+ROUNDUP(O146,0)</f>
        <v>7</v>
      </c>
      <c r="Q146" s="187">
        <f>+E146+E146/6*50*(G41/1000)</f>
        <v>0</v>
      </c>
      <c r="R146" s="189">
        <f>+N146*M146+P146*Q146</f>
        <v>0</v>
      </c>
      <c r="S146" s="196">
        <f>((I41*I41)/162)*R146</f>
        <v>0</v>
      </c>
      <c r="T146" s="153" t="s">
        <v>193</v>
      </c>
    </row>
    <row r="147" spans="2:20" hidden="1">
      <c r="N147" s="188"/>
    </row>
    <row r="148" spans="2:20" hidden="1">
      <c r="B148" s="153" t="s">
        <v>191</v>
      </c>
      <c r="C148" s="177" t="s">
        <v>210</v>
      </c>
      <c r="E148" s="183"/>
      <c r="G148" s="195">
        <f>+E148*(C43+E43*2+1.5)</f>
        <v>0</v>
      </c>
      <c r="H148" s="195">
        <f>+E148*(C43+E43*2)*(((D43+E43+F43)*2+0.6)/2)</f>
        <v>0</v>
      </c>
      <c r="I148" s="196">
        <f>+(C43+E43*2)*E148*F43</f>
        <v>0</v>
      </c>
      <c r="J148" s="196">
        <f>+E148*((C43+E43*2)*E43+(D43*E43)+((D43+0.6)*E43))</f>
        <v>0</v>
      </c>
      <c r="K148" s="196">
        <f>+((D43*2)+$K$104*((D43+E43)+(D43+E43+0.6)))*E148</f>
        <v>0</v>
      </c>
      <c r="L148" s="186">
        <f>+(E148)/H43+ IF(E148&gt;0,1,0)</f>
        <v>0</v>
      </c>
      <c r="M148" s="197">
        <f>+ROUNDUP(L148,0)</f>
        <v>0</v>
      </c>
      <c r="N148" s="188">
        <f>+(E43+D43+E43+C43+2*E43+E43+D43+0.6+E43-9*0.04)+(E43+D43+2*E43-5*0.04)+(E43+0.6+D43+2*E43-5*0.04)+(C43+4*E43-6*0.04)</f>
        <v>6.2</v>
      </c>
      <c r="O148" s="186">
        <f>2*(D43/J43+1)+2*((D43+0.6)/J43+1)+((C43+2*E43)/J43+1)</f>
        <v>23</v>
      </c>
      <c r="P148" s="197">
        <f>+ROUNDUP(O148,0)</f>
        <v>23</v>
      </c>
      <c r="Q148" s="187">
        <f>+E148+E148/6*50*(G43/1000)</f>
        <v>0</v>
      </c>
      <c r="R148" s="189">
        <f>+N148*M148+P148*Q148</f>
        <v>0</v>
      </c>
      <c r="S148" s="196">
        <f>((I43*I43)/162)*R148</f>
        <v>0</v>
      </c>
      <c r="T148" s="153" t="s">
        <v>193</v>
      </c>
    </row>
    <row r="149" spans="2:20" hidden="1"/>
    <row r="150" spans="2:20" hidden="1">
      <c r="B150" s="153" t="s">
        <v>191</v>
      </c>
      <c r="C150" s="177" t="s">
        <v>211</v>
      </c>
      <c r="E150" s="183"/>
      <c r="G150" s="195">
        <f>+E150*(C45+E45*2+1.5)</f>
        <v>0</v>
      </c>
      <c r="H150" s="195">
        <f>+E150*(C45+E45*2)*(((D45+E45+F45)*2+0.6)/2)</f>
        <v>0</v>
      </c>
      <c r="I150" s="196">
        <f>+(C45+E45*2)*E150*F45</f>
        <v>0</v>
      </c>
      <c r="J150" s="196">
        <f>+E150*((C45+E45*2)*E45+(D45*E45)+((D45+0.6)*E45))</f>
        <v>0</v>
      </c>
      <c r="K150" s="196">
        <f>+((D45*2)+$K$104*((D45+E45)+(D45+E45+0.6)))*E150</f>
        <v>0</v>
      </c>
      <c r="L150" s="186">
        <f>+(E150)/H45+ IF(E150&gt;0,1,0)</f>
        <v>0</v>
      </c>
      <c r="M150" s="197">
        <f>+ROUNDUP(L150,0)</f>
        <v>0</v>
      </c>
      <c r="N150" s="188">
        <f>+(E45+D45+E45+C45+2*E45+E45+D45+0.6+E45-9*0.04)+(E45+D45+2*E45-5*0.04)+(E45+0.6+D45+2*E45-5*0.04)+(C45+4*E45-6*0.04)</f>
        <v>7.4000000000000012</v>
      </c>
      <c r="O150" s="186">
        <f>2*(D45/J45+1)+2*((D45+0.6)/J45+1)+((C45+2*E45)/J45+1)</f>
        <v>27</v>
      </c>
      <c r="P150" s="197">
        <f>+ROUNDUP(O150,0)</f>
        <v>27</v>
      </c>
      <c r="Q150" s="187">
        <f>+E150+E150/6*50*(G45/1000)</f>
        <v>0</v>
      </c>
      <c r="R150" s="189">
        <f>+N150*M150+P150*Q150</f>
        <v>0</v>
      </c>
      <c r="S150" s="196">
        <f>((I45*I45)/162)*R150</f>
        <v>0</v>
      </c>
      <c r="T150" s="153" t="s">
        <v>193</v>
      </c>
    </row>
    <row r="151" spans="2:20" hidden="1"/>
    <row r="152" spans="2:20" hidden="1">
      <c r="B152" s="153" t="s">
        <v>191</v>
      </c>
      <c r="C152" s="177" t="s">
        <v>212</v>
      </c>
      <c r="E152" s="183"/>
      <c r="G152" s="195">
        <f>+E152*(C47+E47*2+1.5)</f>
        <v>0</v>
      </c>
      <c r="H152" s="195">
        <f>+E152*(C47+E47*2)*(D47+F47+F47)</f>
        <v>0</v>
      </c>
      <c r="I152" s="196">
        <f>+(C47+E47*2)*E152*F47</f>
        <v>0</v>
      </c>
      <c r="J152" s="196">
        <f>+E152*((C47+E47*2)*E47+(D47*E47*2))</f>
        <v>0</v>
      </c>
      <c r="K152" s="196">
        <f>+(D47+$K$104*(D47+E47))*E152*2</f>
        <v>0</v>
      </c>
      <c r="L152" s="186">
        <f>+(E152)/H47+ IF(E152&gt;0,1,0)</f>
        <v>0</v>
      </c>
      <c r="M152" s="197">
        <f>+ROUNDUP(L152,0)</f>
        <v>0</v>
      </c>
      <c r="N152" s="188">
        <f>+(D47+E47-0.08)*2+(C47+E47*2-0.08)</f>
        <v>2.36</v>
      </c>
      <c r="O152" s="186">
        <f>+N152/J47+1</f>
        <v>10.44</v>
      </c>
      <c r="P152" s="197">
        <f>+ROUNDUP(O152,0)</f>
        <v>11</v>
      </c>
      <c r="Q152" s="187">
        <f>+E152+E152/6*50*(G47/1000)</f>
        <v>0</v>
      </c>
      <c r="R152" s="189">
        <f>+N152*M152+P152*Q152</f>
        <v>0</v>
      </c>
      <c r="S152" s="196">
        <f>((I47*I47)/162)*R152</f>
        <v>0</v>
      </c>
      <c r="T152" s="153" t="s">
        <v>193</v>
      </c>
    </row>
    <row r="153" spans="2:20" hidden="1">
      <c r="C153" s="153" t="s">
        <v>138</v>
      </c>
      <c r="D153" s="190">
        <f>ROUNDUP(+E152/K47,0)</f>
        <v>0</v>
      </c>
      <c r="E153" s="183"/>
      <c r="G153" s="198"/>
      <c r="H153" s="198"/>
      <c r="I153" s="199"/>
      <c r="J153" s="199">
        <f>0.5*(0.075+0.05)*0.075*C47*D153</f>
        <v>0</v>
      </c>
      <c r="K153" s="199">
        <f>+(0.075+0.08)*C47*D153</f>
        <v>0</v>
      </c>
      <c r="L153" s="192">
        <f>+D153</f>
        <v>0</v>
      </c>
      <c r="M153" s="197">
        <f>+ROUNDUP(L153,0)</f>
        <v>0</v>
      </c>
      <c r="N153" s="193">
        <f>+(C47-0.08)+((0.075+0.05-2*0.04)*2)</f>
        <v>1.01</v>
      </c>
      <c r="O153" s="192"/>
      <c r="P153" s="200"/>
      <c r="Q153" s="194"/>
      <c r="R153" s="189">
        <f>+N153*M153+P153*Q153</f>
        <v>0</v>
      </c>
      <c r="S153" s="196">
        <f>((I47*I47)/162)*R153</f>
        <v>0</v>
      </c>
      <c r="T153" s="153" t="s">
        <v>193</v>
      </c>
    </row>
    <row r="154" spans="2:20" hidden="1">
      <c r="E154" s="183"/>
      <c r="M154" s="203"/>
    </row>
    <row r="155" spans="2:20" hidden="1">
      <c r="B155" s="306" t="s">
        <v>191</v>
      </c>
      <c r="C155" s="307" t="s">
        <v>213</v>
      </c>
      <c r="E155" s="183"/>
      <c r="G155" s="195">
        <f>+E155*(C50+E50*2+1.5)</f>
        <v>0</v>
      </c>
      <c r="H155" s="195">
        <f>+E155*(C50+E50*2)*(D50+F50+F50)</f>
        <v>0</v>
      </c>
      <c r="I155" s="196">
        <f>+(C50+E50*2)*E155*F50</f>
        <v>0</v>
      </c>
      <c r="J155" s="196">
        <f>+E155*((C50+E50*2)*E50+(D50*E50*2))</f>
        <v>0</v>
      </c>
      <c r="K155" s="196">
        <f>+(D50+$K$104*(D50+E50))*E155*2</f>
        <v>0</v>
      </c>
      <c r="L155" s="186">
        <f>+(E155)/H50+ IF(E155&gt;0,1,0)</f>
        <v>0</v>
      </c>
      <c r="M155" s="197">
        <f>+ROUNDUP(L155,0)</f>
        <v>0</v>
      </c>
      <c r="N155" s="188">
        <f>+(D50+E50-0.08)*2+(C50+E50*2-0.08)</f>
        <v>2.8600000000000003</v>
      </c>
      <c r="O155" s="186">
        <f>+N155/J50+1</f>
        <v>12.440000000000001</v>
      </c>
      <c r="P155" s="197">
        <f>+ROUNDUP(O155,0)</f>
        <v>13</v>
      </c>
      <c r="Q155" s="187">
        <f>+E155+E155/6*50*(G50/1000)</f>
        <v>0</v>
      </c>
      <c r="R155" s="189">
        <f>+N155*M155+P155*Q155</f>
        <v>0</v>
      </c>
      <c r="S155" s="196">
        <f>((I50*I50)/162)*R155</f>
        <v>0</v>
      </c>
      <c r="T155" s="153" t="s">
        <v>193</v>
      </c>
    </row>
    <row r="156" spans="2:20" hidden="1">
      <c r="C156" s="153" t="s">
        <v>138</v>
      </c>
      <c r="D156" s="190">
        <f>ROUNDUP(+E155/K50,0)</f>
        <v>0</v>
      </c>
      <c r="E156" s="183"/>
      <c r="G156" s="198"/>
      <c r="H156" s="198"/>
      <c r="I156" s="199"/>
      <c r="J156" s="199">
        <f>0.5*(0.075+0.05)*0.075*C50*D156</f>
        <v>0</v>
      </c>
      <c r="K156" s="199">
        <f>+(0.075+0.08)*C50*D156</f>
        <v>0</v>
      </c>
      <c r="L156" s="192">
        <f>+D156</f>
        <v>0</v>
      </c>
      <c r="M156" s="197">
        <f>+ROUNDUP(L156,0)</f>
        <v>0</v>
      </c>
      <c r="N156" s="193">
        <f>+(C50-0.08)+((0.075+0.05-2*0.04)*2)</f>
        <v>1.01</v>
      </c>
      <c r="O156" s="192"/>
      <c r="P156" s="200"/>
      <c r="Q156" s="194"/>
      <c r="R156" s="189">
        <f>+N156*M156+P156*Q156</f>
        <v>0</v>
      </c>
      <c r="S156" s="196">
        <f>((I50*I50)/162)*R156</f>
        <v>0</v>
      </c>
      <c r="T156" s="153" t="s">
        <v>193</v>
      </c>
    </row>
    <row r="157" spans="2:20" hidden="1"/>
    <row r="158" spans="2:20" hidden="1">
      <c r="B158" s="153" t="s">
        <v>191</v>
      </c>
      <c r="C158" s="177" t="s">
        <v>214</v>
      </c>
      <c r="E158" s="183"/>
      <c r="G158" s="195">
        <f>+E158*(C53+E53*2+1.5)</f>
        <v>0</v>
      </c>
      <c r="H158" s="195">
        <f>+E158*(C53+E53*2)*(D53+F53+F53)</f>
        <v>0</v>
      </c>
      <c r="I158" s="196">
        <f>+(C53+E53*2)*E158*F53</f>
        <v>0</v>
      </c>
      <c r="J158" s="196">
        <f>+E158*((C53+E53*2)*E53+(D53*E53*2))</f>
        <v>0</v>
      </c>
      <c r="K158" s="196">
        <f>+(D53+$K$104*(D53+E53))*E158*2</f>
        <v>0</v>
      </c>
      <c r="L158" s="186">
        <f>+(E158)/H53+ IF(E158&gt;0,1,0)</f>
        <v>0</v>
      </c>
      <c r="M158" s="197">
        <f>+ROUNDUP(L158,0)</f>
        <v>0</v>
      </c>
      <c r="N158" s="188">
        <f>+(E53+D53+E53+C53+2*E53+D53+2*E53-0.04*10)+(E53+D53+2*E53-5*0.04)*2+(C53+4*E53-6*0.04)</f>
        <v>6.96</v>
      </c>
      <c r="O158" s="186">
        <f>(2*(D53+E53)+(C53+2*E53)-6*0.04)/J53*2</f>
        <v>26.08</v>
      </c>
      <c r="P158" s="197">
        <f>+ROUNDUP(O158,0)</f>
        <v>27</v>
      </c>
      <c r="Q158" s="187">
        <f>+E158+E158/6*50*(G53/1000)</f>
        <v>0</v>
      </c>
      <c r="R158" s="189">
        <f>+N158*M158+P158*Q158</f>
        <v>0</v>
      </c>
      <c r="S158" s="196">
        <f>((I53*I53)/162)*R158</f>
        <v>0</v>
      </c>
      <c r="T158" s="153" t="s">
        <v>193</v>
      </c>
    </row>
    <row r="159" spans="2:20" hidden="1">
      <c r="C159" s="153" t="s">
        <v>138</v>
      </c>
      <c r="D159" s="190">
        <f>ROUNDUP(+E158/K53,0)</f>
        <v>0</v>
      </c>
      <c r="E159" s="183"/>
      <c r="G159" s="198"/>
      <c r="H159" s="198"/>
      <c r="I159" s="199"/>
      <c r="J159" s="199">
        <f>0.5*(0.075+0.05)*0.075*C53*D159</f>
        <v>0</v>
      </c>
      <c r="K159" s="199">
        <f>+(0.075+0.08)*C53*D159</f>
        <v>0</v>
      </c>
      <c r="L159" s="192">
        <f>+D159</f>
        <v>0</v>
      </c>
      <c r="M159" s="197">
        <f>+ROUNDUP(L159,0)</f>
        <v>0</v>
      </c>
      <c r="N159" s="193">
        <f>+(C53-0.08)+((0.075+0.05-2*0.04)*2)</f>
        <v>1.01</v>
      </c>
      <c r="O159" s="192"/>
      <c r="P159" s="200"/>
      <c r="Q159" s="194"/>
      <c r="R159" s="189">
        <f>+N159*M159+P159*Q159</f>
        <v>0</v>
      </c>
      <c r="S159" s="196">
        <f>((I53*I53)/162)*R159</f>
        <v>0</v>
      </c>
      <c r="T159" s="153" t="s">
        <v>193</v>
      </c>
    </row>
    <row r="160" spans="2:20" hidden="1"/>
    <row r="161" spans="2:21" hidden="1">
      <c r="B161" s="153" t="s">
        <v>191</v>
      </c>
      <c r="C161" s="177" t="s">
        <v>215</v>
      </c>
      <c r="E161" s="183"/>
      <c r="G161" s="195">
        <f>+E161*(C56+E56*2+1.5)</f>
        <v>0</v>
      </c>
      <c r="H161" s="195">
        <f>+E161*(C56+E56*2)*(D56+F56+F56)</f>
        <v>0</v>
      </c>
      <c r="I161" s="196">
        <f>+(C56+E56*2)*E161*F56</f>
        <v>0</v>
      </c>
      <c r="J161" s="196">
        <f>+E161*((C56+E56*2)*E56+(D56*E56*2))</f>
        <v>0</v>
      </c>
      <c r="K161" s="196">
        <f>+(D56+$K$104*(D56+E56))*E161*2</f>
        <v>0</v>
      </c>
      <c r="L161" s="186">
        <f>+(E161)/H56+ IF(E161&gt;0,1,0)</f>
        <v>0</v>
      </c>
      <c r="M161" s="197">
        <f>+ROUNDUP(L161,0)</f>
        <v>0</v>
      </c>
      <c r="N161" s="188">
        <f>+(E56+D56+E56+C56+2*E56+D56+2*E56-0.04*10)+(E56+D56+2*E56-5*0.04)*2+(C56+4*E56-6*0.04)</f>
        <v>6.96</v>
      </c>
      <c r="O161" s="186">
        <f>(2*(D56+E56)+(C56+2*E56)-6*0.04)/J56*2</f>
        <v>26.08</v>
      </c>
      <c r="P161" s="197">
        <f>+ROUNDUP(O161,0)</f>
        <v>27</v>
      </c>
      <c r="Q161" s="187">
        <f>+E161+E161/6*50*(G56/1000)</f>
        <v>0</v>
      </c>
      <c r="R161" s="189">
        <f>+N161*M161+P161*Q161</f>
        <v>0</v>
      </c>
      <c r="S161" s="196">
        <f>((I56*I56)/162)*R161</f>
        <v>0</v>
      </c>
      <c r="T161" s="153" t="s">
        <v>193</v>
      </c>
    </row>
    <row r="162" spans="2:21" hidden="1">
      <c r="C162" s="153" t="s">
        <v>138</v>
      </c>
      <c r="D162" s="190">
        <f>ROUNDUP(+E161/K56,0)</f>
        <v>0</v>
      </c>
      <c r="E162" s="183"/>
      <c r="G162" s="198"/>
      <c r="H162" s="198"/>
      <c r="I162" s="199"/>
      <c r="J162" s="199">
        <f>0.5*(0.075+0.05)*0.075*C56*D162</f>
        <v>0</v>
      </c>
      <c r="K162" s="199">
        <f>+(0.075+0.08)*C56*D162</f>
        <v>0</v>
      </c>
      <c r="L162" s="192">
        <f>+D162</f>
        <v>0</v>
      </c>
      <c r="M162" s="197">
        <f>+ROUNDUP(L162,0)</f>
        <v>0</v>
      </c>
      <c r="N162" s="193">
        <f>+(C56-0.08)+((0.075+0.05-2*0.04)*2)</f>
        <v>1.01</v>
      </c>
      <c r="O162" s="192"/>
      <c r="P162" s="200"/>
      <c r="Q162" s="194"/>
      <c r="R162" s="189">
        <f>+N162*M162+P162*Q162</f>
        <v>0</v>
      </c>
      <c r="S162" s="196">
        <f>((I56*I56)/162)*R162</f>
        <v>0</v>
      </c>
      <c r="T162" s="153" t="s">
        <v>193</v>
      </c>
    </row>
    <row r="164" spans="2:21">
      <c r="B164" s="308" t="s">
        <v>216</v>
      </c>
      <c r="C164" s="307" t="s">
        <v>217</v>
      </c>
      <c r="E164" s="183">
        <v>11.22</v>
      </c>
      <c r="G164" s="195">
        <f>+E164*(C59+E59*2+1)</f>
        <v>18.513000000000002</v>
      </c>
      <c r="H164" s="195">
        <f>(+E164*(C59+E59*2)*(D59+F59+F59))*50%</f>
        <v>2.0055750000000003</v>
      </c>
      <c r="I164" s="196">
        <f>+(C59+E59*2)*E164*F59</f>
        <v>0.36465000000000009</v>
      </c>
      <c r="J164" s="196">
        <f>+E164*((C59+E59*2+0.06)*E59+(D59*E59*2))</f>
        <v>1.8064200000000001</v>
      </c>
      <c r="K164" s="196">
        <f>+(D59+(D59+E59))*E164*2</f>
        <v>22.44</v>
      </c>
      <c r="L164" s="186">
        <f>+(E164)/H59+ IF(E164&gt;0,1,0)</f>
        <v>45.88</v>
      </c>
      <c r="M164" s="197">
        <f>+ROUNDUP(L164,0)</f>
        <v>46</v>
      </c>
      <c r="N164" s="188">
        <f>+(D59+E59-0.08)*2+(C59+E59*2-0.08)</f>
        <v>1.5100000000000002</v>
      </c>
      <c r="O164" s="186">
        <f>+N164/J59+1</f>
        <v>7.0400000000000009</v>
      </c>
      <c r="P164" s="197">
        <f>+ROUNDUP(O164,0)</f>
        <v>8</v>
      </c>
      <c r="Q164" s="187">
        <f>+E164+E164/6*50*(G59/1000)</f>
        <v>12.155000000000001</v>
      </c>
      <c r="R164" s="189">
        <f>+N164*M164+P164*Q164</f>
        <v>166.70000000000002</v>
      </c>
      <c r="S164" s="196">
        <f>((I59*I59)/162)*R164</f>
        <v>102.90123456790124</v>
      </c>
      <c r="T164" s="153" t="s">
        <v>193</v>
      </c>
    </row>
    <row r="165" spans="2:21">
      <c r="C165" s="153" t="s">
        <v>218</v>
      </c>
      <c r="D165" s="190">
        <f>ROUNDUP(+(E164/SQRT(L59^2+M59^2)),0)</f>
        <v>29</v>
      </c>
      <c r="E165" s="183"/>
      <c r="G165" s="198"/>
      <c r="H165" s="198"/>
      <c r="I165" s="199"/>
      <c r="J165" s="199">
        <f>0.5*(0.075+0.05)*0.075*C59*D165</f>
        <v>6.1171875000000001E-2</v>
      </c>
      <c r="K165" s="199">
        <f>+M59*C59*D165</f>
        <v>3.5887500000000006</v>
      </c>
      <c r="L165" s="192"/>
      <c r="M165" s="197">
        <f>+ROUNDUP(L165,0)</f>
        <v>0</v>
      </c>
      <c r="N165" s="193"/>
      <c r="O165" s="192"/>
      <c r="P165" s="200"/>
      <c r="Q165" s="194"/>
      <c r="R165" s="189">
        <f>+N165*M165+P165*Q165</f>
        <v>0</v>
      </c>
      <c r="S165" s="196">
        <f>((I59*I59)/162)*R165</f>
        <v>0</v>
      </c>
      <c r="U165" s="190">
        <f>S164+S165</f>
        <v>102.90123456790124</v>
      </c>
    </row>
    <row r="166" spans="2:21">
      <c r="C166" s="153" t="s">
        <v>219</v>
      </c>
      <c r="D166" s="153">
        <f>ROUNDUP(+E164/1,0)</f>
        <v>12</v>
      </c>
    </row>
    <row r="168" spans="2:21" hidden="1">
      <c r="B168" s="204" t="s">
        <v>216</v>
      </c>
      <c r="C168" s="177" t="s">
        <v>220</v>
      </c>
      <c r="E168" s="183">
        <f>(57.1+9.59+17.56)*1.0785</f>
        <v>90.863624999999999</v>
      </c>
      <c r="G168" s="184">
        <f>+E168*(C63+E63*2+1)</f>
        <v>149.92498125</v>
      </c>
      <c r="H168" s="184">
        <f>(+E168*(C63+E63*2)*(D63+F63+F63))*50%</f>
        <v>20.671474687500002</v>
      </c>
      <c r="I168" s="185">
        <f>+(C63+E63*2)*E168*F63</f>
        <v>2.9530678125000005</v>
      </c>
      <c r="J168" s="185">
        <f>+E168*((C63+E63*2+0.06)*E63+(D63*E63*2))</f>
        <v>17.354952375</v>
      </c>
      <c r="K168" s="185">
        <f>+(D63+(D63+E63))*E168*2</f>
        <v>236.24542499999995</v>
      </c>
      <c r="L168" s="186">
        <f>+(E168)/H63+ IF(E168&gt;0,1,0)</f>
        <v>364.4545</v>
      </c>
      <c r="M168" s="187">
        <f>+ROUNDUP(L168,0)</f>
        <v>365</v>
      </c>
      <c r="N168" s="188">
        <f>+(D63+E63-0.08)*2+(C63+E63*2-0.08)</f>
        <v>1.81</v>
      </c>
      <c r="O168" s="186">
        <f>+N168/J63+1</f>
        <v>8.24</v>
      </c>
      <c r="P168" s="187">
        <f>+ROUNDUP(O168,0)</f>
        <v>9</v>
      </c>
      <c r="Q168" s="187">
        <f>+E168+E168/6*50*(G63/1000)</f>
        <v>98.435593749999995</v>
      </c>
      <c r="R168" s="189">
        <f>+N168*M168+P168*Q168</f>
        <v>1546.5703437499999</v>
      </c>
      <c r="S168" s="185">
        <f>((I63*I63)/162)*R168</f>
        <v>954.6730516975307</v>
      </c>
      <c r="T168" s="153" t="s">
        <v>193</v>
      </c>
    </row>
    <row r="169" spans="2:21" hidden="1">
      <c r="C169" s="153" t="s">
        <v>218</v>
      </c>
      <c r="D169" s="190">
        <f>ROUNDUP(+(E168/SQRT(L63^2+M63^2)),0)</f>
        <v>234</v>
      </c>
      <c r="E169" s="183"/>
      <c r="G169" s="191"/>
      <c r="H169" s="191"/>
      <c r="I169" s="190"/>
      <c r="J169" s="190">
        <f>0.5*(0.075+0.05)*0.075*C63*D169</f>
        <v>0.49359375000000005</v>
      </c>
      <c r="K169" s="190">
        <f>+M63*C63*D169</f>
        <v>28.957500000000003</v>
      </c>
      <c r="L169" s="192"/>
      <c r="M169" s="187">
        <f>+ROUNDUP(L169,0)</f>
        <v>0</v>
      </c>
      <c r="N169" s="193"/>
      <c r="O169" s="192"/>
      <c r="P169" s="194"/>
      <c r="Q169" s="194"/>
      <c r="R169" s="189">
        <f>+N169*M169+P169*Q169</f>
        <v>0</v>
      </c>
      <c r="S169" s="185">
        <f>((I63*I63)/162)*R169</f>
        <v>0</v>
      </c>
    </row>
    <row r="170" spans="2:21" hidden="1">
      <c r="C170" s="153" t="s">
        <v>219</v>
      </c>
      <c r="D170" s="153">
        <f>ROUNDUP(+E168/1,0)</f>
        <v>91</v>
      </c>
    </row>
    <row r="171" spans="2:21" hidden="1">
      <c r="K171" s="185"/>
    </row>
    <row r="172" spans="2:21" hidden="1">
      <c r="B172" s="204" t="s">
        <v>216</v>
      </c>
      <c r="C172" s="177" t="s">
        <v>221</v>
      </c>
      <c r="E172" s="183">
        <v>47.63</v>
      </c>
      <c r="G172" s="184">
        <f>+E172*(C67+E67*2+1)</f>
        <v>85.734000000000009</v>
      </c>
      <c r="H172" s="184">
        <f>(+E172*(C67+E67*2)*(D67+F67+F67))*50%</f>
        <v>13.336400000000003</v>
      </c>
      <c r="I172" s="185">
        <f>+(C67+E67*2)*E172*F67</f>
        <v>1.9052000000000004</v>
      </c>
      <c r="J172" s="185">
        <f>+E172*((C67+E67*2+0.06)*E67+(D67*E67*2))</f>
        <v>9.8117800000000006</v>
      </c>
      <c r="K172" s="185">
        <f>+(D67+(D67+E67))*E172*2</f>
        <v>123.83799999999999</v>
      </c>
      <c r="L172" s="186">
        <f>+(E172)/H67+ IF(E172&gt;0,1,0)</f>
        <v>191.52</v>
      </c>
      <c r="M172" s="187">
        <f>+ROUNDUP(L172,0)</f>
        <v>192</v>
      </c>
      <c r="N172" s="188">
        <f>+(D67+E67-0.08)*2+(C67+E67*2-0.08)</f>
        <v>1.96</v>
      </c>
      <c r="O172" s="186">
        <f>+N172/J67+1</f>
        <v>8.84</v>
      </c>
      <c r="P172" s="187">
        <f>+ROUNDUP(O172,0)</f>
        <v>9</v>
      </c>
      <c r="Q172" s="187">
        <f>+E172+E172/6*50*(G67/1000)</f>
        <v>51.599166666666669</v>
      </c>
      <c r="R172" s="189">
        <f>+N172*M172+P172*Q172</f>
        <v>840.71250000000009</v>
      </c>
      <c r="S172" s="185">
        <f>((I67*I67)/162)*R172</f>
        <v>518.95833333333337</v>
      </c>
      <c r="T172" s="153" t="s">
        <v>193</v>
      </c>
    </row>
    <row r="173" spans="2:21" hidden="1">
      <c r="C173" s="153" t="s">
        <v>218</v>
      </c>
      <c r="D173" s="190">
        <f>ROUNDUP(+(E172/SQRT(L67^2+M67^2)),0)</f>
        <v>123</v>
      </c>
      <c r="E173" s="183"/>
      <c r="G173" s="191"/>
      <c r="H173" s="191"/>
      <c r="I173" s="190"/>
      <c r="J173" s="190">
        <f>0.5*(0.075+0.05)*0.075*C67*D173</f>
        <v>0.34593750000000001</v>
      </c>
      <c r="K173" s="190">
        <f>+M67*C67*D173</f>
        <v>20.295000000000002</v>
      </c>
      <c r="L173" s="192"/>
      <c r="M173" s="187">
        <f>+ROUNDUP(L173,0)</f>
        <v>0</v>
      </c>
      <c r="N173" s="193"/>
      <c r="O173" s="192"/>
      <c r="P173" s="194"/>
      <c r="Q173" s="194"/>
      <c r="R173" s="189">
        <f>+N173*M173+P173*Q173</f>
        <v>0</v>
      </c>
      <c r="S173" s="185">
        <f>((I67*I67)/162)*R173</f>
        <v>0</v>
      </c>
    </row>
    <row r="174" spans="2:21" hidden="1">
      <c r="C174" s="153" t="s">
        <v>219</v>
      </c>
      <c r="D174" s="153">
        <f>ROUNDUP(+E172/1,0)</f>
        <v>48</v>
      </c>
    </row>
    <row r="175" spans="2:21" hidden="1"/>
    <row r="176" spans="2:21" hidden="1">
      <c r="B176" s="204" t="s">
        <v>216</v>
      </c>
      <c r="C176" s="177" t="s">
        <v>222</v>
      </c>
      <c r="E176" s="183">
        <v>8.6</v>
      </c>
      <c r="G176" s="195">
        <f>+E176*(C71+E71*2+1)</f>
        <v>17.2</v>
      </c>
      <c r="H176" s="195">
        <f>(+E176*(C71+E71*2)*(D71+F71+F71))*50%</f>
        <v>3.8700000000000006</v>
      </c>
      <c r="I176" s="196">
        <f>+(C71+E71*2)*E176*F71</f>
        <v>0.43</v>
      </c>
      <c r="J176" s="196">
        <f>+E176*((C71+E71*2+0.06)*E71+(D71*E71*2))</f>
        <v>2.2875999999999999</v>
      </c>
      <c r="K176" s="196">
        <f>+(D71+(D71+E71))*E176*2</f>
        <v>29.240000000000002</v>
      </c>
      <c r="L176" s="186">
        <f>+(E176)/H71+ IF(E176&gt;0,1,0)</f>
        <v>35.4</v>
      </c>
      <c r="M176" s="197">
        <f>+ROUNDUP(L176,0)</f>
        <v>36</v>
      </c>
      <c r="N176" s="188">
        <f>+(D71+E71-0.08)*2+(C71+E71*2-0.08)</f>
        <v>2.56</v>
      </c>
      <c r="O176" s="186">
        <f>+N176/J71+1</f>
        <v>11.24</v>
      </c>
      <c r="P176" s="197">
        <f>+ROUNDUP(O176,0)</f>
        <v>12</v>
      </c>
      <c r="Q176" s="187">
        <f>+E176+E176/6*50*(G71/1000)</f>
        <v>9.3166666666666664</v>
      </c>
      <c r="R176" s="189">
        <f>+N176*M176+P176*Q176</f>
        <v>203.95999999999998</v>
      </c>
      <c r="S176" s="196">
        <f>((I71*I71)/162)*R176</f>
        <v>125.90123456790121</v>
      </c>
      <c r="T176" s="153" t="s">
        <v>193</v>
      </c>
    </row>
    <row r="177" spans="2:20" hidden="1">
      <c r="C177" s="153" t="s">
        <v>218</v>
      </c>
      <c r="D177" s="190">
        <f>ROUNDUP(+(E176/SQRT(L71^2+M71^2)),0)</f>
        <v>23</v>
      </c>
      <c r="E177" s="183"/>
      <c r="G177" s="198"/>
      <c r="H177" s="198"/>
      <c r="I177" s="199"/>
      <c r="J177" s="199">
        <f>0.5*(0.075+0.05)*0.075*C71*D177</f>
        <v>8.6249999999999993E-2</v>
      </c>
      <c r="K177" s="199">
        <f>+M71*C71*D177</f>
        <v>5.0600000000000005</v>
      </c>
      <c r="L177" s="192"/>
      <c r="M177" s="197">
        <f>+ROUNDUP(L177,0)</f>
        <v>0</v>
      </c>
      <c r="N177" s="193"/>
      <c r="O177" s="192"/>
      <c r="P177" s="200"/>
      <c r="Q177" s="194"/>
      <c r="R177" s="189">
        <f>+N177*M177+P177*Q177</f>
        <v>0</v>
      </c>
      <c r="S177" s="196">
        <f>((I71*I71)/162)*R177</f>
        <v>0</v>
      </c>
    </row>
    <row r="178" spans="2:20" hidden="1">
      <c r="C178" s="153" t="s">
        <v>219</v>
      </c>
      <c r="D178" s="153">
        <f>ROUNDUP(+E176/1,0)</f>
        <v>9</v>
      </c>
      <c r="H178" s="190"/>
    </row>
    <row r="179" spans="2:20" hidden="1"/>
    <row r="180" spans="2:20" hidden="1">
      <c r="B180" s="559" t="s">
        <v>216</v>
      </c>
      <c r="C180" s="307" t="s">
        <v>223</v>
      </c>
      <c r="E180" s="183">
        <v>13.83</v>
      </c>
      <c r="G180" s="195">
        <f>+E180*(C75+E75*2+1)</f>
        <v>31.1175</v>
      </c>
      <c r="H180" s="195">
        <f>(+E180*(C75+E75*2)*(D75+F75+F75))*50%</f>
        <v>9.5081250000000015</v>
      </c>
      <c r="I180" s="196">
        <f>+(C75+E75*2)*E180*F75</f>
        <v>0.86437500000000012</v>
      </c>
      <c r="J180" s="196">
        <f>+E180*((C75+E75*2+0.06)*E75+(D75*E75*2))</f>
        <v>5.7221625000000005</v>
      </c>
      <c r="K180" s="196">
        <f>+(D75+(D75+E75))*E180*2</f>
        <v>58.777500000000003</v>
      </c>
      <c r="L180" s="186">
        <f>+(E180)/H75+ IF(E180&gt;0,1,0)</f>
        <v>56.32</v>
      </c>
      <c r="M180" s="197">
        <f>+ROUNDUP(L180,0)</f>
        <v>57</v>
      </c>
      <c r="N180" s="188">
        <f>+(D75+E75-0.08)*2+(C75+E75*2-0.08)</f>
        <v>3.26</v>
      </c>
      <c r="O180" s="186">
        <f>+N180/J75+1</f>
        <v>14.04</v>
      </c>
      <c r="P180" s="197">
        <f>+ROUNDUP(O180,0)</f>
        <v>15</v>
      </c>
      <c r="Q180" s="187">
        <f>+E180+E180/6*50*(G75/1000)</f>
        <v>14.9825</v>
      </c>
      <c r="R180" s="189">
        <f>+N180*M180+P180*Q180</f>
        <v>410.5575</v>
      </c>
      <c r="S180" s="196">
        <f>((I75*I75)/162)*R180</f>
        <v>253.43055555555554</v>
      </c>
      <c r="T180" s="153" t="s">
        <v>193</v>
      </c>
    </row>
    <row r="181" spans="2:20" hidden="1">
      <c r="C181" s="153" t="s">
        <v>218</v>
      </c>
      <c r="D181" s="190">
        <f>ROUNDUP(+(E180/SQRT(L75^2+M75^2)),0)</f>
        <v>36</v>
      </c>
      <c r="E181" s="183"/>
      <c r="G181" s="198"/>
      <c r="H181" s="198"/>
      <c r="I181" s="199"/>
      <c r="J181" s="199">
        <f>0.5*(0.075+0.05)*0.075*C75*D181</f>
        <v>0.16874999999999998</v>
      </c>
      <c r="K181" s="199">
        <f>+M75*C75*D181</f>
        <v>9.9</v>
      </c>
      <c r="L181" s="192"/>
      <c r="M181" s="197">
        <f>+ROUNDUP(L181,0)</f>
        <v>0</v>
      </c>
      <c r="N181" s="193"/>
      <c r="O181" s="192"/>
      <c r="P181" s="200"/>
      <c r="Q181" s="194"/>
      <c r="R181" s="189">
        <f>+N181*M181+P181*Q181</f>
        <v>0</v>
      </c>
      <c r="S181" s="196">
        <f>((I75*I75)/162)*R181</f>
        <v>0</v>
      </c>
    </row>
    <row r="182" spans="2:20" hidden="1">
      <c r="C182" s="153" t="s">
        <v>219</v>
      </c>
      <c r="D182" s="153">
        <f>ROUNDUP(+E180/1,0)</f>
        <v>14</v>
      </c>
    </row>
    <row r="183" spans="2:20" hidden="1"/>
    <row r="184" spans="2:20" hidden="1">
      <c r="B184" s="204" t="s">
        <v>224</v>
      </c>
      <c r="C184" s="177" t="s">
        <v>217</v>
      </c>
      <c r="E184" s="183">
        <v>100</v>
      </c>
      <c r="G184" s="195">
        <f>+E184*(C79+E79*2+1)</f>
        <v>165</v>
      </c>
      <c r="H184" s="195">
        <f>0.5*L79*M79*D185</f>
        <v>20.25</v>
      </c>
      <c r="I184" s="196">
        <f>+(L79*(C79+2*E79)*D185*E79)</f>
        <v>5.8500000000000014</v>
      </c>
      <c r="J184" s="196">
        <f>+D185*(L79+M79)*E79*(C79+2*E79)+D185*((L79+M79)*E79*D79)*2</f>
        <v>20.925000000000001</v>
      </c>
      <c r="K184" s="196">
        <f>+(D79+(D79+E79))*E184*2</f>
        <v>200</v>
      </c>
      <c r="L184" s="186">
        <f>+(D185*(L79+M79))/H79+ IF(E184&gt;0,1,0)</f>
        <v>541</v>
      </c>
      <c r="M184" s="197">
        <f>+ROUNDUP(L184,0)</f>
        <v>541</v>
      </c>
      <c r="N184" s="188">
        <f>+(D79+E79-0.08)*2+(C79+E79*2-0.08)</f>
        <v>1.5100000000000002</v>
      </c>
      <c r="O184" s="186">
        <f>+N184/J79+1</f>
        <v>7.0400000000000009</v>
      </c>
      <c r="P184" s="197">
        <f>+ROUNDUP(O184,0)</f>
        <v>8</v>
      </c>
      <c r="Q184" s="187">
        <f>+(L79+M79-2*0.04)*D185+(((L79+M79-2*0.04)*D185)/6*50*(I79/1000))</f>
        <v>137.58333333333334</v>
      </c>
      <c r="R184" s="189">
        <f>+N184*M184+P184*Q184</f>
        <v>1917.5766666666668</v>
      </c>
      <c r="S184" s="196">
        <f>((I79*I79)/162)*R184</f>
        <v>1183.6893004115227</v>
      </c>
      <c r="T184" s="153" t="s">
        <v>193</v>
      </c>
    </row>
    <row r="185" spans="2:20" hidden="1">
      <c r="C185" s="153" t="s">
        <v>218</v>
      </c>
      <c r="D185" s="190">
        <f>ROUNDUP(+(E184/SQRT(L79^2+M79^2)),0)</f>
        <v>100</v>
      </c>
      <c r="E185" s="183"/>
      <c r="G185" s="198"/>
      <c r="H185" s="198"/>
      <c r="I185" s="199"/>
      <c r="J185" s="199"/>
      <c r="K185" s="199"/>
      <c r="L185" s="192"/>
      <c r="M185" s="197"/>
      <c r="N185" s="193"/>
      <c r="O185" s="192"/>
      <c r="P185" s="200"/>
      <c r="Q185" s="194"/>
      <c r="R185" s="189"/>
      <c r="S185" s="196"/>
    </row>
    <row r="186" spans="2:20" hidden="1">
      <c r="C186" s="153" t="s">
        <v>219</v>
      </c>
      <c r="D186" s="153">
        <f>ROUNDUP(+E184/1,0)</f>
        <v>100</v>
      </c>
    </row>
    <row r="187" spans="2:20" hidden="1"/>
    <row r="188" spans="2:20" hidden="1">
      <c r="B188" s="204" t="s">
        <v>224</v>
      </c>
      <c r="C188" s="177" t="s">
        <v>220</v>
      </c>
      <c r="E188" s="183">
        <v>28.19</v>
      </c>
      <c r="G188" s="195">
        <f>+E188*(C83+E83*2+1)</f>
        <v>46.513500000000001</v>
      </c>
      <c r="H188" s="195">
        <f>0.5*L83*M83*D189</f>
        <v>5.8725000000000005</v>
      </c>
      <c r="I188" s="196">
        <f>+(L83*(C83+2*E83)*D189*E83)</f>
        <v>1.6965000000000003</v>
      </c>
      <c r="J188" s="196">
        <f>+D189*(L83+M83)*E83*(C83+2*E83)+D189*((L83+M83)*E83*D83)*2</f>
        <v>7.2427500000000009</v>
      </c>
      <c r="K188" s="196">
        <f>+(D83+(D83+E83))*E188*2</f>
        <v>73.293999999999997</v>
      </c>
      <c r="L188" s="186">
        <f>+(D189*(L83+M83))/H83+ IF(E188&gt;0,1,0)</f>
        <v>157.60000000000002</v>
      </c>
      <c r="M188" s="197">
        <f>+ROUNDUP(L188,0)</f>
        <v>158</v>
      </c>
      <c r="N188" s="188">
        <f>+(D83+E83-0.08)*2+(C83+E83*2-0.08)</f>
        <v>1.81</v>
      </c>
      <c r="O188" s="186">
        <f>+N188/J83+1</f>
        <v>8.24</v>
      </c>
      <c r="P188" s="197">
        <f>+ROUNDUP(O188,0)</f>
        <v>9</v>
      </c>
      <c r="Q188" s="187">
        <f>+(L83+M83-2*0.04)*D189+(((L83+M83-2*0.04)*D189)/6*50*(I83/1000))</f>
        <v>39.899166666666666</v>
      </c>
      <c r="R188" s="189">
        <f>+N188*M188+P188*Q188</f>
        <v>645.07249999999999</v>
      </c>
      <c r="S188" s="196">
        <f>((I83*I83)/162)*R188</f>
        <v>398.1929012345679</v>
      </c>
      <c r="T188" s="153" t="s">
        <v>193</v>
      </c>
    </row>
    <row r="189" spans="2:20" hidden="1">
      <c r="C189" s="153" t="s">
        <v>218</v>
      </c>
      <c r="D189" s="190">
        <f>ROUNDUP(+(E188/SQRT(L83^2+M83^2)),0)</f>
        <v>29</v>
      </c>
      <c r="E189" s="183"/>
      <c r="G189" s="198"/>
      <c r="H189" s="198"/>
      <c r="I189" s="199"/>
      <c r="J189" s="199"/>
      <c r="K189" s="199"/>
      <c r="L189" s="192"/>
      <c r="M189" s="197"/>
      <c r="N189" s="193"/>
      <c r="O189" s="192"/>
      <c r="P189" s="200"/>
      <c r="Q189" s="194"/>
      <c r="R189" s="189"/>
      <c r="S189" s="196"/>
    </row>
    <row r="190" spans="2:20" hidden="1">
      <c r="C190" s="153" t="s">
        <v>219</v>
      </c>
      <c r="D190" s="153">
        <f>ROUNDUP(+E188/1,0)</f>
        <v>29</v>
      </c>
    </row>
    <row r="191" spans="2:20" hidden="1"/>
    <row r="192" spans="2:20" hidden="1">
      <c r="B192" s="204" t="s">
        <v>224</v>
      </c>
      <c r="C192" s="177" t="s">
        <v>221</v>
      </c>
      <c r="E192" s="183">
        <v>100</v>
      </c>
      <c r="G192" s="195">
        <f>+E192*(C87+E87*2+1)</f>
        <v>180</v>
      </c>
      <c r="H192" s="195">
        <f>0.5*L87*M87*D193</f>
        <v>20.25</v>
      </c>
      <c r="I192" s="196">
        <f>+(L87*(C87+2*E87)*D193*E87)</f>
        <v>7.200000000000002</v>
      </c>
      <c r="J192" s="196">
        <f>+D193*(L87+M87)*E87*(C87+2*E87)+D193*((L87+M87)*E87*D87)*2</f>
        <v>27</v>
      </c>
      <c r="K192" s="196">
        <f>+(D87+(D87+E87))*E192*2</f>
        <v>259.99999999999994</v>
      </c>
      <c r="L192" s="186">
        <f>+(D193*(L87+M87))/H87+ IF(E192&gt;0,1,0)</f>
        <v>541</v>
      </c>
      <c r="M192" s="197">
        <f>+ROUNDUP(L192,0)</f>
        <v>541</v>
      </c>
      <c r="N192" s="188">
        <f>+(D87+E87-0.08)*2+(C87+E87*2-0.08)</f>
        <v>1.96</v>
      </c>
      <c r="O192" s="186">
        <f>+N192/J87+1</f>
        <v>8.84</v>
      </c>
      <c r="P192" s="197">
        <f>+ROUNDUP(O192,0)</f>
        <v>9</v>
      </c>
      <c r="Q192" s="187">
        <f>+(L87+M87-2*0.04)*D193+(((L87+M87-2*0.04)*D193)/6*50*(I87/1000))</f>
        <v>137.58333333333334</v>
      </c>
      <c r="R192" s="189">
        <f>+N192*M192+P192*Q192</f>
        <v>2298.6099999999997</v>
      </c>
      <c r="S192" s="196">
        <f>((I87*I87)/162)*R192</f>
        <v>1418.8950617283947</v>
      </c>
      <c r="T192" s="153" t="s">
        <v>193</v>
      </c>
    </row>
    <row r="193" spans="2:20" hidden="1">
      <c r="C193" s="153" t="s">
        <v>218</v>
      </c>
      <c r="D193" s="190">
        <f>ROUNDUP(+(E192/SQRT(L87^2+M87^2)),0)</f>
        <v>100</v>
      </c>
      <c r="E193" s="183"/>
      <c r="G193" s="198"/>
      <c r="H193" s="198"/>
      <c r="I193" s="199"/>
      <c r="J193" s="199"/>
      <c r="K193" s="199"/>
      <c r="L193" s="192"/>
      <c r="M193" s="197"/>
      <c r="N193" s="193"/>
      <c r="O193" s="192"/>
      <c r="P193" s="200"/>
      <c r="Q193" s="194"/>
      <c r="R193" s="189"/>
      <c r="S193" s="196"/>
    </row>
    <row r="194" spans="2:20" hidden="1">
      <c r="C194" s="153" t="s">
        <v>219</v>
      </c>
      <c r="D194" s="153">
        <f>ROUNDUP(+E192/1,0)</f>
        <v>100</v>
      </c>
    </row>
    <row r="195" spans="2:20" hidden="1"/>
    <row r="196" spans="2:20" hidden="1">
      <c r="B196" s="204" t="s">
        <v>224</v>
      </c>
      <c r="C196" s="177" t="s">
        <v>222</v>
      </c>
      <c r="E196" s="183">
        <v>100</v>
      </c>
      <c r="G196" s="195">
        <f>+E196*(C91+E91*2+1)</f>
        <v>200</v>
      </c>
      <c r="H196" s="195">
        <f>0.5*L91*M91*D197</f>
        <v>20.25</v>
      </c>
      <c r="I196" s="196">
        <f>+(L91*(C91+2*E91)*D197*E91)</f>
        <v>9</v>
      </c>
      <c r="J196" s="196">
        <f>+D197*(L91+M91)*E91*(C91+2*E91)+D197*((L91+M91)*E91*D91)*2</f>
        <v>35.1</v>
      </c>
      <c r="K196" s="196">
        <f>+(D91+(D91+E91))*E196*2</f>
        <v>340.00000000000006</v>
      </c>
      <c r="L196" s="186">
        <f>+(D197*(L91+M91))/H91+ IF(E196&gt;0,1,0)</f>
        <v>541</v>
      </c>
      <c r="M196" s="197">
        <f>+ROUNDUP(L196,0)</f>
        <v>541</v>
      </c>
      <c r="N196" s="188">
        <f>+(D91+E91-0.08)*2+(C91+E91*2-0.08)</f>
        <v>2.56</v>
      </c>
      <c r="O196" s="186">
        <f>+N196/J91+1</f>
        <v>11.24</v>
      </c>
      <c r="P196" s="197">
        <f>+ROUNDUP(O196,0)</f>
        <v>12</v>
      </c>
      <c r="Q196" s="187">
        <f>+(L91+M91-2*0.04)*D197+(((L91+M91-2*0.04)*D197)/6*50*(I91/1000))</f>
        <v>137.58333333333334</v>
      </c>
      <c r="R196" s="189">
        <f>+N196*M196+P196*Q196</f>
        <v>3035.96</v>
      </c>
      <c r="S196" s="196">
        <f>((I91*I91)/162)*R196</f>
        <v>1874.0493827160492</v>
      </c>
      <c r="T196" s="153" t="s">
        <v>193</v>
      </c>
    </row>
    <row r="197" spans="2:20" hidden="1">
      <c r="C197" s="153" t="s">
        <v>218</v>
      </c>
      <c r="D197" s="190">
        <f>ROUNDUP(+(E196/SQRT(L91^2+M91^2)),0)</f>
        <v>100</v>
      </c>
      <c r="E197" s="183"/>
      <c r="G197" s="198"/>
      <c r="H197" s="198"/>
      <c r="I197" s="199"/>
      <c r="J197" s="199"/>
      <c r="K197" s="199"/>
      <c r="L197" s="192"/>
      <c r="M197" s="197"/>
      <c r="N197" s="193"/>
      <c r="O197" s="192"/>
      <c r="P197" s="200"/>
      <c r="Q197" s="194"/>
      <c r="R197" s="189"/>
      <c r="S197" s="196"/>
    </row>
    <row r="198" spans="2:20" hidden="1">
      <c r="C198" s="153" t="s">
        <v>219</v>
      </c>
      <c r="D198" s="153">
        <f>ROUNDUP(+E196/1,0)</f>
        <v>100</v>
      </c>
    </row>
    <row r="199" spans="2:20" hidden="1"/>
    <row r="200" spans="2:20" hidden="1">
      <c r="B200" s="204" t="s">
        <v>224</v>
      </c>
      <c r="C200" s="177" t="s">
        <v>225</v>
      </c>
      <c r="E200" s="183">
        <f>(22.38+21.09+22.47+16.84)*1.06418</f>
        <v>88.092820399999994</v>
      </c>
      <c r="G200" s="195">
        <f>+E200*(C95+E95*2+1)</f>
        <v>198.20884589999997</v>
      </c>
      <c r="H200" s="195">
        <f>0.5*L95*M95*D201</f>
        <v>17.82</v>
      </c>
      <c r="I200" s="196">
        <f>+(L95*(C95+2*E95)*D201*E95)</f>
        <v>12.375</v>
      </c>
      <c r="J200" s="196">
        <f>+D201*(L95+M95)*E95*(C95+2*E95)+D201*((L95+M95)*E95*D95)*2</f>
        <v>40.837500000000006</v>
      </c>
      <c r="K200" s="196">
        <f>+(D95+(D95+E95))*E200*2</f>
        <v>286.30166629999997</v>
      </c>
      <c r="L200" s="186">
        <f>+(D201*(L95+M95))/H95+ IF(E200&gt;0,1,0)</f>
        <v>476.20000000000005</v>
      </c>
      <c r="M200" s="197">
        <f>+ROUNDUP(L200,0)</f>
        <v>477</v>
      </c>
      <c r="N200" s="188">
        <f>+(D95+E95-0.08)*2+(C95+E95*2-0.08)</f>
        <v>2.76</v>
      </c>
      <c r="O200" s="186">
        <f>+N200/J95+1</f>
        <v>12.04</v>
      </c>
      <c r="P200" s="197">
        <f>+ROUNDUP(O200,0)</f>
        <v>13</v>
      </c>
      <c r="Q200" s="187">
        <f>+(L95+M95-2*0.04)*D201+(((L95+M95-2*0.04)*D201)/6*50*(I95/1000))</f>
        <v>121.07333333333334</v>
      </c>
      <c r="R200" s="189">
        <f>+N200*M200+P200*Q200</f>
        <v>2890.4733333333334</v>
      </c>
      <c r="S200" s="196">
        <f>((I95*I95)/162)*R200</f>
        <v>1784.2427983539094</v>
      </c>
      <c r="T200" s="153" t="s">
        <v>193</v>
      </c>
    </row>
    <row r="201" spans="2:20" hidden="1">
      <c r="C201" s="153" t="s">
        <v>218</v>
      </c>
      <c r="D201" s="190">
        <f>ROUNDUP(+(E200/SQRT(L95^2+M95^2)),0)</f>
        <v>88</v>
      </c>
      <c r="E201" s="183"/>
      <c r="G201" s="198"/>
      <c r="H201" s="198"/>
      <c r="I201" s="199"/>
      <c r="J201" s="199">
        <f>0.5*(0.075+0.05)*0.075*C95*D201</f>
        <v>0.41249999999999998</v>
      </c>
      <c r="K201" s="199">
        <f>D201*C95*M95</f>
        <v>39.6</v>
      </c>
      <c r="L201" s="192"/>
      <c r="M201" s="197"/>
      <c r="N201" s="193"/>
      <c r="O201" s="192"/>
      <c r="P201" s="200"/>
      <c r="Q201" s="194"/>
      <c r="R201" s="189"/>
      <c r="S201" s="196"/>
    </row>
    <row r="202" spans="2:20" hidden="1">
      <c r="C202" s="153" t="s">
        <v>219</v>
      </c>
      <c r="D202" s="153">
        <f>ROUNDUP(+E200/1,0)</f>
        <v>89</v>
      </c>
    </row>
    <row r="203" spans="2:20" hidden="1">
      <c r="G203" s="205" t="s">
        <v>226</v>
      </c>
      <c r="H203" s="205" t="s">
        <v>227</v>
      </c>
      <c r="I203" s="205" t="s">
        <v>89</v>
      </c>
    </row>
    <row r="205" spans="2:20">
      <c r="B205" s="201"/>
      <c r="E205" s="201"/>
    </row>
    <row r="207" spans="2:20">
      <c r="E207" s="201"/>
    </row>
    <row r="209" spans="5:5">
      <c r="E209" s="201"/>
    </row>
    <row r="211" spans="5:5">
      <c r="E211" s="201"/>
    </row>
    <row r="226" spans="2:7">
      <c r="B226" s="201" t="s">
        <v>195</v>
      </c>
    </row>
    <row r="227" spans="2:7" ht="28.8">
      <c r="B227" s="206" t="s">
        <v>228</v>
      </c>
      <c r="C227" s="207"/>
    </row>
    <row r="229" spans="2:7">
      <c r="B229" s="153" t="s">
        <v>229</v>
      </c>
      <c r="C229" s="190"/>
    </row>
    <row r="230" spans="2:7">
      <c r="B230" s="153" t="s">
        <v>230</v>
      </c>
      <c r="C230" s="153">
        <v>0.5</v>
      </c>
    </row>
    <row r="231" spans="2:7">
      <c r="C231" s="190"/>
    </row>
    <row r="232" spans="2:7">
      <c r="B232" s="153" t="s">
        <v>231</v>
      </c>
      <c r="C232" s="153">
        <f>ROUNDUP(C227/C230,0)</f>
        <v>0</v>
      </c>
    </row>
    <row r="235" spans="2:7">
      <c r="B235" s="153" t="s">
        <v>232</v>
      </c>
      <c r="C235" s="153">
        <f>C232*0.16*0.5</f>
        <v>0</v>
      </c>
      <c r="E235" s="201" t="s">
        <v>233</v>
      </c>
    </row>
    <row r="236" spans="2:7">
      <c r="B236" s="153" t="s">
        <v>119</v>
      </c>
      <c r="C236" s="153">
        <f>((0.16*2)+(0.15*0.5*2))*C232</f>
        <v>0</v>
      </c>
    </row>
    <row r="238" spans="2:7">
      <c r="B238" s="153" t="s">
        <v>234</v>
      </c>
      <c r="C238" s="192">
        <v>2.12</v>
      </c>
      <c r="D238" s="208">
        <f>ROUNDUP(0.5/0.125,0)+1</f>
        <v>5</v>
      </c>
      <c r="E238" s="153">
        <f>C232</f>
        <v>0</v>
      </c>
      <c r="F238" s="153">
        <v>1.1000000000000001</v>
      </c>
      <c r="G238" s="153">
        <f>PRODUCT(C238:F238)</f>
        <v>0</v>
      </c>
    </row>
    <row r="239" spans="2:7">
      <c r="C239" s="153">
        <v>0.5</v>
      </c>
      <c r="D239" s="208">
        <f>ROUNDUP(C238/0.2+1,0)</f>
        <v>12</v>
      </c>
      <c r="E239" s="153">
        <f>C232</f>
        <v>0</v>
      </c>
      <c r="F239" s="153">
        <v>1.1000000000000001</v>
      </c>
      <c r="G239" s="153">
        <f>PRODUCT(C239:F239)</f>
        <v>0</v>
      </c>
    </row>
    <row r="241" spans="2:10">
      <c r="G241" s="153">
        <f>SUM(G238:G240)</f>
        <v>0</v>
      </c>
      <c r="H241" s="153">
        <f>ROUND(100/162,3)</f>
        <v>0.61699999999999999</v>
      </c>
      <c r="J241" s="192">
        <f>ROUNDUP(PRODUCT(G241:H241),0)</f>
        <v>0</v>
      </c>
    </row>
    <row r="248" spans="2:10">
      <c r="B248" s="201" t="s">
        <v>235</v>
      </c>
    </row>
    <row r="249" spans="2:10">
      <c r="C249" s="201" t="s">
        <v>226</v>
      </c>
      <c r="D249" s="201" t="s">
        <v>392</v>
      </c>
      <c r="F249" s="201" t="s">
        <v>393</v>
      </c>
    </row>
    <row r="250" spans="2:10">
      <c r="B250" s="201" t="s">
        <v>394</v>
      </c>
      <c r="C250" s="190">
        <f>E106</f>
        <v>83.88</v>
      </c>
      <c r="D250" s="190">
        <f>(C6+E6+E6)</f>
        <v>0.5</v>
      </c>
      <c r="F250" s="153">
        <f>C250*D250</f>
        <v>41.94</v>
      </c>
      <c r="G250" s="153">
        <v>1.1000000000000001</v>
      </c>
      <c r="H250" s="153">
        <f>F250*G250</f>
        <v>46.134</v>
      </c>
    </row>
  </sheetData>
  <mergeCells count="10">
    <mergeCell ref="L105:M105"/>
    <mergeCell ref="O105:P105"/>
    <mergeCell ref="H3:J3"/>
    <mergeCell ref="T6:U6"/>
    <mergeCell ref="W7:W17"/>
    <mergeCell ref="W18:W20"/>
    <mergeCell ref="L103:S103"/>
    <mergeCell ref="L104:N104"/>
    <mergeCell ref="O104:Q104"/>
    <mergeCell ref="R104:S104"/>
  </mergeCells>
  <pageMargins left="0.7" right="0.7" top="0.75" bottom="0.75" header="0.3" footer="0.3"/>
  <pageSetup paperSize="9" orientation="portrait" r:id="rId1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21DEC-C731-4F40-9637-15FD4AA85940}">
  <dimension ref="A1:O23"/>
  <sheetViews>
    <sheetView workbookViewId="0">
      <selection activeCell="D11" sqref="D11"/>
    </sheetView>
  </sheetViews>
  <sheetFormatPr defaultRowHeight="14.4"/>
  <cols>
    <col min="1" max="1" width="15.6640625" customWidth="1"/>
    <col min="6" max="6" width="10" bestFit="1" customWidth="1"/>
    <col min="8" max="8" width="9.5546875" bestFit="1" customWidth="1"/>
    <col min="9" max="9" width="10.33203125" bestFit="1" customWidth="1"/>
    <col min="10" max="10" width="10.109375" bestFit="1" customWidth="1"/>
    <col min="12" max="12" width="10" bestFit="1" customWidth="1"/>
    <col min="14" max="14" width="9.5546875" bestFit="1" customWidth="1"/>
  </cols>
  <sheetData>
    <row r="1" spans="1:15">
      <c r="A1" s="824" t="s">
        <v>883</v>
      </c>
      <c r="B1" s="824"/>
    </row>
    <row r="3" spans="1:15">
      <c r="F3" t="s">
        <v>884</v>
      </c>
      <c r="H3" t="s">
        <v>515</v>
      </c>
      <c r="I3" t="s">
        <v>885</v>
      </c>
      <c r="J3" t="s">
        <v>404</v>
      </c>
      <c r="L3" t="s">
        <v>884</v>
      </c>
      <c r="N3" t="s">
        <v>515</v>
      </c>
      <c r="O3" t="s">
        <v>766</v>
      </c>
    </row>
    <row r="4" spans="1:15">
      <c r="A4" t="s">
        <v>248</v>
      </c>
      <c r="B4">
        <f>76.25*1.1</f>
        <v>83.875</v>
      </c>
    </row>
    <row r="5" spans="1:15">
      <c r="A5" t="s">
        <v>248</v>
      </c>
      <c r="B5">
        <f>(74.13+11.24)*1.1</f>
        <v>93.906999999999996</v>
      </c>
      <c r="F5" t="s">
        <v>577</v>
      </c>
      <c r="H5">
        <v>6.32</v>
      </c>
      <c r="I5">
        <v>4.58</v>
      </c>
      <c r="J5">
        <v>1.54</v>
      </c>
      <c r="L5" t="s">
        <v>577</v>
      </c>
      <c r="N5">
        <f>H5</f>
        <v>6.32</v>
      </c>
      <c r="O5">
        <v>4.1500000000000004</v>
      </c>
    </row>
    <row r="6" spans="1:15">
      <c r="A6" t="s">
        <v>886</v>
      </c>
      <c r="B6">
        <f>ROUNDUP(8.58*1.17917,1)*1.1</f>
        <v>11.22</v>
      </c>
      <c r="C6" s="153"/>
      <c r="F6" t="s">
        <v>876</v>
      </c>
      <c r="H6">
        <v>18.170000000000002</v>
      </c>
      <c r="I6">
        <f>(4.58+7.16)/2</f>
        <v>5.87</v>
      </c>
      <c r="J6">
        <f>(1.54+4.89)/2</f>
        <v>3.2149999999999999</v>
      </c>
      <c r="L6" t="s">
        <v>876</v>
      </c>
      <c r="N6">
        <f t="shared" ref="N6:N7" si="0">H6</f>
        <v>18.170000000000002</v>
      </c>
      <c r="O6">
        <f>(4.15+6.45)/2</f>
        <v>5.3000000000000007</v>
      </c>
    </row>
    <row r="7" spans="1:15">
      <c r="F7" t="s">
        <v>877</v>
      </c>
      <c r="H7">
        <v>17.88</v>
      </c>
      <c r="I7">
        <f>(7.16+14.83)/2</f>
        <v>10.995000000000001</v>
      </c>
      <c r="J7">
        <f>(4.89+5.38)/2</f>
        <v>5.1349999999999998</v>
      </c>
      <c r="L7" t="s">
        <v>877</v>
      </c>
      <c r="N7">
        <f t="shared" si="0"/>
        <v>17.88</v>
      </c>
      <c r="O7">
        <f>(10.27+6.45)/2</f>
        <v>8.36</v>
      </c>
    </row>
    <row r="8" spans="1:15">
      <c r="F8" t="s">
        <v>878</v>
      </c>
      <c r="H8">
        <v>19.8</v>
      </c>
      <c r="I8">
        <f>(14.83+4.6)/2</f>
        <v>9.7149999999999999</v>
      </c>
      <c r="J8">
        <f>(5.38+1.73)/2</f>
        <v>3.5549999999999997</v>
      </c>
      <c r="L8" t="s">
        <v>510</v>
      </c>
      <c r="N8">
        <v>16.28</v>
      </c>
      <c r="O8">
        <v>10.27</v>
      </c>
    </row>
    <row r="11" spans="1:15">
      <c r="A11" t="s">
        <v>128</v>
      </c>
    </row>
    <row r="12" spans="1:15">
      <c r="A12" s="560" t="s">
        <v>7</v>
      </c>
      <c r="B12">
        <v>174.48</v>
      </c>
    </row>
    <row r="13" spans="1:15">
      <c r="A13" s="560" t="s">
        <v>6</v>
      </c>
      <c r="B13">
        <v>184.41</v>
      </c>
    </row>
    <row r="15" spans="1:15">
      <c r="A15" t="s">
        <v>887</v>
      </c>
      <c r="B15">
        <v>128.25</v>
      </c>
    </row>
    <row r="18" spans="1:3">
      <c r="B18" s="538" t="s">
        <v>226</v>
      </c>
      <c r="C18" s="538" t="s">
        <v>92</v>
      </c>
    </row>
    <row r="19" spans="1:3">
      <c r="A19" t="s">
        <v>888</v>
      </c>
    </row>
    <row r="20" spans="1:3">
      <c r="A20" t="s">
        <v>889</v>
      </c>
      <c r="B20" t="s">
        <v>583</v>
      </c>
      <c r="C20">
        <v>89</v>
      </c>
    </row>
    <row r="22" spans="1:3">
      <c r="A22" t="s">
        <v>890</v>
      </c>
    </row>
    <row r="23" spans="1:3">
      <c r="A23" t="s">
        <v>891</v>
      </c>
      <c r="B23" t="s">
        <v>589</v>
      </c>
      <c r="C23">
        <v>6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5F5D1-B0E1-4F8E-A4CF-CAAC0E86BD12}">
  <dimension ref="B3:W251"/>
  <sheetViews>
    <sheetView zoomScale="70" zoomScaleNormal="70" workbookViewId="0">
      <pane ySplit="1" topLeftCell="A44" activePane="bottomLeft" state="frozen"/>
      <selection activeCell="I8" sqref="I8"/>
      <selection pane="bottomLeft" activeCell="I8" sqref="I8"/>
    </sheetView>
  </sheetViews>
  <sheetFormatPr defaultColWidth="9.109375" defaultRowHeight="14.4"/>
  <cols>
    <col min="1" max="1" width="3.88671875" style="153" customWidth="1"/>
    <col min="2" max="2" width="20.44140625" style="153" customWidth="1"/>
    <col min="3" max="3" width="17.109375" style="153" customWidth="1"/>
    <col min="4" max="4" width="14.44140625" style="153" customWidth="1"/>
    <col min="5" max="5" width="15.109375" style="153" customWidth="1"/>
    <col min="6" max="10" width="14.44140625" style="153" customWidth="1"/>
    <col min="11" max="11" width="19.88671875" style="153" customWidth="1"/>
    <col min="12" max="12" width="12.109375" style="153" customWidth="1"/>
    <col min="13" max="13" width="14" style="153" customWidth="1"/>
    <col min="14" max="17" width="9.109375" style="153"/>
    <col min="18" max="18" width="11.88671875" style="153" customWidth="1"/>
    <col min="19" max="19" width="12.88671875" style="153" customWidth="1"/>
    <col min="20" max="20" width="9.109375" style="153"/>
    <col min="21" max="21" width="11.109375" style="153" bestFit="1" customWidth="1"/>
    <col min="22" max="16384" width="9.109375" style="153"/>
  </cols>
  <sheetData>
    <row r="3" spans="2:23">
      <c r="B3" s="150" t="s">
        <v>132</v>
      </c>
      <c r="C3" s="150" t="s">
        <v>133</v>
      </c>
      <c r="D3" s="150" t="s">
        <v>134</v>
      </c>
      <c r="E3" s="150" t="s">
        <v>135</v>
      </c>
      <c r="F3" s="150" t="s">
        <v>136</v>
      </c>
      <c r="G3" s="150"/>
      <c r="H3" s="765" t="s">
        <v>137</v>
      </c>
      <c r="I3" s="765"/>
      <c r="J3" s="765"/>
      <c r="K3" s="150" t="s">
        <v>138</v>
      </c>
      <c r="L3" s="151" t="s">
        <v>139</v>
      </c>
      <c r="M3" s="152"/>
    </row>
    <row r="4" spans="2:23" ht="19.5" customHeight="1">
      <c r="B4" s="154"/>
      <c r="C4" s="154"/>
      <c r="D4" s="154"/>
      <c r="E4" s="154"/>
      <c r="F4" s="155" t="s">
        <v>135</v>
      </c>
      <c r="G4" s="155" t="s">
        <v>140</v>
      </c>
      <c r="H4" s="155" t="s">
        <v>141</v>
      </c>
      <c r="I4" s="155" t="s">
        <v>140</v>
      </c>
      <c r="J4" s="155" t="s">
        <v>142</v>
      </c>
      <c r="K4" s="155" t="s">
        <v>143</v>
      </c>
      <c r="L4" s="156" t="s">
        <v>144</v>
      </c>
      <c r="M4" s="156" t="s">
        <v>145</v>
      </c>
    </row>
    <row r="5" spans="2:23">
      <c r="B5" s="157"/>
      <c r="C5" s="157"/>
      <c r="D5" s="157"/>
      <c r="E5" s="157"/>
      <c r="F5" s="158"/>
      <c r="G5" s="158"/>
      <c r="H5" s="158"/>
      <c r="I5" s="158"/>
      <c r="J5" s="158"/>
      <c r="K5" s="159"/>
      <c r="L5" s="159"/>
      <c r="M5" s="159"/>
    </row>
    <row r="6" spans="2:23" ht="18">
      <c r="B6" s="159" t="s">
        <v>146</v>
      </c>
      <c r="C6" s="160">
        <v>0.3</v>
      </c>
      <c r="D6" s="160">
        <v>0.3</v>
      </c>
      <c r="E6" s="160">
        <v>0.1</v>
      </c>
      <c r="F6" s="160">
        <v>0.05</v>
      </c>
      <c r="G6" s="160">
        <v>10</v>
      </c>
      <c r="H6" s="160">
        <v>0.2</v>
      </c>
      <c r="I6" s="160">
        <v>10</v>
      </c>
      <c r="J6" s="160">
        <v>0.25</v>
      </c>
      <c r="K6" s="160">
        <v>3</v>
      </c>
      <c r="L6" s="159"/>
      <c r="M6" s="159"/>
      <c r="T6" s="766" t="s">
        <v>147</v>
      </c>
      <c r="U6" s="766"/>
    </row>
    <row r="7" spans="2:23">
      <c r="B7" s="159"/>
      <c r="C7" s="160"/>
      <c r="D7" s="160"/>
      <c r="E7" s="160"/>
      <c r="F7" s="160"/>
      <c r="G7" s="160"/>
      <c r="H7" s="159"/>
      <c r="I7" s="159"/>
      <c r="J7" s="159"/>
      <c r="K7" s="160"/>
      <c r="L7" s="159"/>
      <c r="M7" s="159"/>
      <c r="S7" s="161"/>
      <c r="V7" s="161"/>
      <c r="W7" s="767" t="s">
        <v>6</v>
      </c>
    </row>
    <row r="8" spans="2:23">
      <c r="B8" s="159"/>
      <c r="C8" s="160"/>
      <c r="D8" s="160"/>
      <c r="E8" s="160"/>
      <c r="F8" s="160"/>
      <c r="G8" s="160"/>
      <c r="H8" s="159"/>
      <c r="I8" s="159"/>
      <c r="J8" s="159"/>
      <c r="K8" s="160"/>
      <c r="L8" s="159"/>
      <c r="M8" s="159"/>
      <c r="S8" s="161"/>
      <c r="V8" s="161"/>
      <c r="W8" s="767"/>
    </row>
    <row r="9" spans="2:23">
      <c r="B9" s="159" t="s">
        <v>148</v>
      </c>
      <c r="C9" s="160">
        <v>0.45</v>
      </c>
      <c r="D9" s="160">
        <v>0.45</v>
      </c>
      <c r="E9" s="160">
        <v>0.1</v>
      </c>
      <c r="F9" s="160">
        <v>0.05</v>
      </c>
      <c r="G9" s="160">
        <v>10</v>
      </c>
      <c r="H9" s="160">
        <v>0.2</v>
      </c>
      <c r="I9" s="160">
        <v>10</v>
      </c>
      <c r="J9" s="160">
        <v>0.25</v>
      </c>
      <c r="K9" s="160">
        <v>3</v>
      </c>
      <c r="L9" s="159"/>
      <c r="M9" s="159"/>
      <c r="S9" s="161"/>
      <c r="V9" s="161"/>
      <c r="W9" s="767"/>
    </row>
    <row r="10" spans="2:23">
      <c r="B10" s="159"/>
      <c r="C10" s="160"/>
      <c r="D10" s="160"/>
      <c r="E10" s="160"/>
      <c r="F10" s="160"/>
      <c r="G10" s="160"/>
      <c r="H10" s="160"/>
      <c r="I10" s="160"/>
      <c r="J10" s="160"/>
      <c r="K10" s="160"/>
      <c r="L10" s="159"/>
      <c r="M10" s="159"/>
      <c r="S10" s="161"/>
      <c r="V10" s="161"/>
      <c r="W10" s="767"/>
    </row>
    <row r="11" spans="2:23">
      <c r="B11" s="159"/>
      <c r="C11" s="160"/>
      <c r="D11" s="160"/>
      <c r="E11" s="160"/>
      <c r="F11" s="160"/>
      <c r="G11" s="160"/>
      <c r="H11" s="159"/>
      <c r="I11" s="159"/>
      <c r="J11" s="159"/>
      <c r="K11" s="160"/>
      <c r="L11" s="159"/>
      <c r="M11" s="159"/>
      <c r="S11" s="161"/>
      <c r="V11" s="161"/>
      <c r="W11" s="767"/>
    </row>
    <row r="12" spans="2:23">
      <c r="B12" s="159" t="s">
        <v>149</v>
      </c>
      <c r="C12" s="160">
        <v>0.6</v>
      </c>
      <c r="D12" s="160">
        <v>0.6</v>
      </c>
      <c r="E12" s="160">
        <v>0.1</v>
      </c>
      <c r="F12" s="160">
        <v>0.05</v>
      </c>
      <c r="G12" s="160">
        <v>10</v>
      </c>
      <c r="H12" s="159">
        <v>0.2</v>
      </c>
      <c r="I12" s="159">
        <v>10</v>
      </c>
      <c r="J12" s="159">
        <v>0.25</v>
      </c>
      <c r="K12" s="160">
        <v>3</v>
      </c>
      <c r="L12" s="159"/>
      <c r="M12" s="159"/>
      <c r="S12" s="161"/>
      <c r="V12" s="161"/>
      <c r="W12" s="767"/>
    </row>
    <row r="13" spans="2:23">
      <c r="B13" s="159"/>
      <c r="C13" s="160"/>
      <c r="D13" s="160"/>
      <c r="E13" s="160"/>
      <c r="F13" s="160"/>
      <c r="G13" s="160"/>
      <c r="H13" s="159"/>
      <c r="I13" s="159"/>
      <c r="J13" s="159"/>
      <c r="K13" s="160"/>
      <c r="L13" s="159"/>
      <c r="M13" s="159"/>
      <c r="S13" s="161"/>
      <c r="V13" s="161"/>
      <c r="W13" s="767"/>
    </row>
    <row r="14" spans="2:23">
      <c r="B14" s="159"/>
      <c r="C14" s="160"/>
      <c r="D14" s="160"/>
      <c r="E14" s="160"/>
      <c r="F14" s="160"/>
      <c r="G14" s="160"/>
      <c r="H14" s="159"/>
      <c r="I14" s="159"/>
      <c r="J14" s="159"/>
      <c r="K14" s="160"/>
      <c r="L14" s="159"/>
      <c r="M14" s="159"/>
      <c r="S14" s="161"/>
      <c r="V14" s="161"/>
      <c r="W14" s="767"/>
    </row>
    <row r="15" spans="2:23">
      <c r="B15" s="159" t="s">
        <v>150</v>
      </c>
      <c r="C15" s="160">
        <v>0.75</v>
      </c>
      <c r="D15" s="160">
        <v>0.75</v>
      </c>
      <c r="E15" s="162">
        <v>0.125</v>
      </c>
      <c r="F15" s="160">
        <v>0.05</v>
      </c>
      <c r="G15" s="160">
        <v>10</v>
      </c>
      <c r="H15" s="159">
        <v>0.2</v>
      </c>
      <c r="I15" s="159">
        <v>10</v>
      </c>
      <c r="J15" s="159">
        <v>0.25</v>
      </c>
      <c r="K15" s="160">
        <v>3</v>
      </c>
      <c r="L15" s="159"/>
      <c r="M15" s="159"/>
      <c r="S15" s="161"/>
      <c r="V15" s="161"/>
      <c r="W15" s="767"/>
    </row>
    <row r="16" spans="2:23">
      <c r="B16" s="159"/>
      <c r="C16" s="160"/>
      <c r="D16" s="160"/>
      <c r="E16" s="160"/>
      <c r="F16" s="160"/>
      <c r="G16" s="160"/>
      <c r="H16" s="159"/>
      <c r="I16" s="159"/>
      <c r="J16" s="159"/>
      <c r="K16" s="160"/>
      <c r="L16" s="159"/>
      <c r="M16" s="159"/>
      <c r="S16" s="161"/>
      <c r="V16" s="161"/>
      <c r="W16" s="767"/>
    </row>
    <row r="17" spans="2:23">
      <c r="B17" s="159"/>
      <c r="C17" s="160"/>
      <c r="D17" s="160"/>
      <c r="E17" s="160"/>
      <c r="F17" s="160"/>
      <c r="G17" s="160"/>
      <c r="H17" s="159"/>
      <c r="I17" s="159"/>
      <c r="J17" s="159"/>
      <c r="K17" s="160"/>
      <c r="L17" s="159"/>
      <c r="M17" s="159"/>
      <c r="S17" s="161"/>
      <c r="V17" s="161"/>
      <c r="W17" s="767"/>
    </row>
    <row r="18" spans="2:23">
      <c r="B18" s="163" t="s">
        <v>151</v>
      </c>
      <c r="C18" s="160">
        <v>0.9</v>
      </c>
      <c r="D18" s="160">
        <v>0.9</v>
      </c>
      <c r="E18" s="162">
        <v>0.15</v>
      </c>
      <c r="F18" s="160">
        <v>0.05</v>
      </c>
      <c r="G18" s="160">
        <v>10</v>
      </c>
      <c r="H18" s="159">
        <v>0.17499999999999999</v>
      </c>
      <c r="I18" s="159">
        <v>10</v>
      </c>
      <c r="J18" s="159">
        <v>0.25</v>
      </c>
      <c r="K18" s="160">
        <v>3</v>
      </c>
      <c r="L18" s="159"/>
      <c r="M18" s="159"/>
      <c r="S18" s="161"/>
      <c r="T18" s="161"/>
      <c r="U18" s="161"/>
      <c r="V18" s="161"/>
      <c r="W18" s="767" t="s">
        <v>152</v>
      </c>
    </row>
    <row r="19" spans="2:23">
      <c r="B19" s="159"/>
      <c r="C19" s="160"/>
      <c r="D19" s="160"/>
      <c r="E19" s="160"/>
      <c r="F19" s="160"/>
      <c r="G19" s="160"/>
      <c r="H19" s="159"/>
      <c r="I19" s="159"/>
      <c r="J19" s="159"/>
      <c r="K19" s="160"/>
      <c r="L19" s="159"/>
      <c r="M19" s="159"/>
      <c r="S19" s="161"/>
      <c r="T19" s="161"/>
      <c r="U19" s="161"/>
      <c r="V19" s="161"/>
      <c r="W19" s="767"/>
    </row>
    <row r="20" spans="2:23">
      <c r="B20" s="159"/>
      <c r="C20" s="160"/>
      <c r="D20" s="160"/>
      <c r="E20" s="160"/>
      <c r="F20" s="160"/>
      <c r="G20" s="160"/>
      <c r="H20" s="159"/>
      <c r="I20" s="159"/>
      <c r="J20" s="159"/>
      <c r="K20" s="160"/>
      <c r="L20" s="159"/>
      <c r="M20" s="159"/>
      <c r="S20" s="161"/>
      <c r="T20" s="161"/>
      <c r="U20" s="161"/>
      <c r="V20" s="161"/>
      <c r="W20" s="767"/>
    </row>
    <row r="21" spans="2:23">
      <c r="B21" s="159" t="s">
        <v>153</v>
      </c>
      <c r="C21" s="160">
        <v>1</v>
      </c>
      <c r="D21" s="160">
        <v>1</v>
      </c>
      <c r="E21" s="160">
        <v>0.15</v>
      </c>
      <c r="F21" s="160">
        <v>0.05</v>
      </c>
      <c r="G21" s="160">
        <v>10</v>
      </c>
      <c r="H21" s="159">
        <v>0.17499999999999999</v>
      </c>
      <c r="I21" s="159">
        <v>10</v>
      </c>
      <c r="J21" s="159">
        <v>0.25</v>
      </c>
      <c r="K21" s="160">
        <v>3</v>
      </c>
      <c r="L21" s="159"/>
      <c r="M21" s="159"/>
      <c r="S21" s="164"/>
      <c r="T21" s="164"/>
      <c r="U21" s="164"/>
      <c r="V21" s="164"/>
      <c r="W21" s="153" t="s">
        <v>154</v>
      </c>
    </row>
    <row r="22" spans="2:23">
      <c r="B22" s="159"/>
      <c r="C22" s="160"/>
      <c r="D22" s="160"/>
      <c r="E22" s="160"/>
      <c r="F22" s="160"/>
      <c r="G22" s="160"/>
      <c r="H22" s="159"/>
      <c r="I22" s="159"/>
      <c r="J22" s="159"/>
      <c r="K22" s="160"/>
      <c r="L22" s="159"/>
      <c r="M22" s="159"/>
      <c r="S22" s="164"/>
      <c r="T22" s="164"/>
      <c r="U22" s="164"/>
      <c r="V22" s="164"/>
    </row>
    <row r="23" spans="2:23">
      <c r="B23" s="159"/>
      <c r="C23" s="160"/>
      <c r="D23" s="160"/>
      <c r="E23" s="160"/>
      <c r="F23" s="160"/>
      <c r="G23" s="160"/>
      <c r="H23" s="159"/>
      <c r="I23" s="159"/>
      <c r="J23" s="159"/>
      <c r="K23" s="160"/>
      <c r="L23" s="159"/>
      <c r="M23" s="159"/>
    </row>
    <row r="24" spans="2:23">
      <c r="B24" s="159" t="s">
        <v>155</v>
      </c>
      <c r="C24" s="160">
        <v>0.3</v>
      </c>
      <c r="D24" s="160">
        <v>0.3</v>
      </c>
      <c r="E24" s="160">
        <v>0.1</v>
      </c>
      <c r="F24" s="160">
        <v>0.05</v>
      </c>
      <c r="G24" s="160">
        <v>10</v>
      </c>
      <c r="H24" s="159">
        <v>0.2</v>
      </c>
      <c r="I24" s="159">
        <v>10</v>
      </c>
      <c r="J24" s="159">
        <v>0.25</v>
      </c>
      <c r="K24" s="160">
        <v>3</v>
      </c>
      <c r="L24" s="159"/>
      <c r="M24" s="159"/>
    </row>
    <row r="25" spans="2:23">
      <c r="B25" s="159"/>
      <c r="C25" s="160"/>
      <c r="D25" s="160"/>
      <c r="E25" s="160"/>
      <c r="F25" s="160"/>
      <c r="G25" s="160"/>
      <c r="H25" s="159"/>
      <c r="I25" s="159"/>
      <c r="J25" s="159"/>
      <c r="K25" s="160"/>
      <c r="L25" s="159"/>
      <c r="M25" s="159"/>
    </row>
    <row r="26" spans="2:23">
      <c r="B26" s="159"/>
      <c r="C26" s="160"/>
      <c r="D26" s="160"/>
      <c r="E26" s="160"/>
      <c r="F26" s="160"/>
      <c r="G26" s="160"/>
      <c r="H26" s="159"/>
      <c r="I26" s="159"/>
      <c r="J26" s="159"/>
      <c r="K26" s="160"/>
      <c r="L26" s="159"/>
      <c r="M26" s="159"/>
    </row>
    <row r="27" spans="2:23">
      <c r="B27" s="159" t="s">
        <v>156</v>
      </c>
      <c r="C27" s="160">
        <v>0.6</v>
      </c>
      <c r="D27" s="160">
        <v>0.6</v>
      </c>
      <c r="E27" s="160">
        <v>0.1</v>
      </c>
      <c r="F27" s="160">
        <v>0.05</v>
      </c>
      <c r="G27" s="160">
        <v>10</v>
      </c>
      <c r="H27" s="159">
        <v>0.2</v>
      </c>
      <c r="I27" s="159">
        <v>10</v>
      </c>
      <c r="J27" s="159">
        <v>0.25</v>
      </c>
      <c r="K27" s="160">
        <v>3</v>
      </c>
      <c r="L27" s="159"/>
      <c r="M27" s="159"/>
    </row>
    <row r="28" spans="2:23">
      <c r="B28" s="165"/>
      <c r="C28" s="166"/>
      <c r="D28" s="166"/>
      <c r="E28" s="166"/>
      <c r="F28" s="166"/>
      <c r="G28" s="166"/>
      <c r="H28" s="165"/>
      <c r="I28" s="165"/>
      <c r="J28" s="165"/>
      <c r="K28" s="160"/>
      <c r="L28" s="159"/>
      <c r="M28" s="159"/>
    </row>
    <row r="29" spans="2:23">
      <c r="B29" s="165"/>
      <c r="C29" s="166"/>
      <c r="D29" s="166"/>
      <c r="E29" s="166"/>
      <c r="F29" s="166"/>
      <c r="G29" s="166"/>
      <c r="H29" s="165"/>
      <c r="I29" s="165"/>
      <c r="J29" s="165"/>
      <c r="K29" s="166"/>
      <c r="L29" s="159"/>
      <c r="M29" s="159"/>
    </row>
    <row r="30" spans="2:23">
      <c r="B30" s="167" t="s">
        <v>157</v>
      </c>
      <c r="C30" s="160">
        <v>0.3</v>
      </c>
      <c r="D30" s="160">
        <v>0.3</v>
      </c>
      <c r="E30" s="160">
        <v>0.1</v>
      </c>
      <c r="F30" s="160">
        <v>0.05</v>
      </c>
      <c r="G30" s="160">
        <v>10</v>
      </c>
      <c r="H30" s="159">
        <v>0.25</v>
      </c>
      <c r="I30" s="159">
        <v>10</v>
      </c>
      <c r="J30" s="159">
        <v>0.25</v>
      </c>
      <c r="K30" s="160">
        <v>0</v>
      </c>
      <c r="L30" s="159"/>
      <c r="M30" s="159"/>
    </row>
    <row r="31" spans="2:23">
      <c r="B31" s="165" t="s">
        <v>158</v>
      </c>
      <c r="C31" s="166">
        <v>1.5</v>
      </c>
      <c r="D31" s="166"/>
      <c r="E31" s="166">
        <v>0.1</v>
      </c>
      <c r="F31" s="166"/>
      <c r="G31" s="166">
        <v>10</v>
      </c>
      <c r="H31" s="165">
        <v>0.25</v>
      </c>
      <c r="I31" s="165">
        <v>10</v>
      </c>
      <c r="J31" s="165">
        <v>0.15</v>
      </c>
      <c r="K31" s="160"/>
      <c r="L31" s="159"/>
      <c r="M31" s="159"/>
    </row>
    <row r="32" spans="2:23">
      <c r="B32" s="165"/>
      <c r="C32" s="166"/>
      <c r="D32" s="166"/>
      <c r="E32" s="166"/>
      <c r="F32" s="166"/>
      <c r="G32" s="166"/>
      <c r="H32" s="165"/>
      <c r="I32" s="165"/>
      <c r="J32" s="165"/>
      <c r="K32" s="166"/>
      <c r="L32" s="159"/>
      <c r="M32" s="159"/>
    </row>
    <row r="33" spans="2:13">
      <c r="B33" s="168" t="s">
        <v>159</v>
      </c>
      <c r="C33" s="160">
        <v>0.45</v>
      </c>
      <c r="D33" s="160">
        <v>0.45</v>
      </c>
      <c r="E33" s="160">
        <v>0.1</v>
      </c>
      <c r="F33" s="160">
        <v>0.05</v>
      </c>
      <c r="G33" s="160">
        <v>10</v>
      </c>
      <c r="H33" s="159">
        <v>0.25</v>
      </c>
      <c r="I33" s="159">
        <v>10</v>
      </c>
      <c r="J33" s="159">
        <v>0.25</v>
      </c>
      <c r="K33" s="160">
        <v>0</v>
      </c>
      <c r="L33" s="159"/>
      <c r="M33" s="159"/>
    </row>
    <row r="34" spans="2:13">
      <c r="B34" s="165" t="s">
        <v>158</v>
      </c>
      <c r="C34" s="166">
        <v>1.5</v>
      </c>
      <c r="D34" s="166"/>
      <c r="E34" s="166">
        <v>0.1</v>
      </c>
      <c r="F34" s="166"/>
      <c r="G34" s="166">
        <v>10</v>
      </c>
      <c r="H34" s="165">
        <v>0.25</v>
      </c>
      <c r="I34" s="165">
        <v>10</v>
      </c>
      <c r="J34" s="165">
        <v>0.15</v>
      </c>
      <c r="K34" s="160"/>
      <c r="L34" s="159"/>
      <c r="M34" s="159"/>
    </row>
    <row r="35" spans="2:13">
      <c r="B35" s="165"/>
      <c r="C35" s="166"/>
      <c r="D35" s="166"/>
      <c r="E35" s="166"/>
      <c r="F35" s="166"/>
      <c r="G35" s="166"/>
      <c r="H35" s="165"/>
      <c r="I35" s="165"/>
      <c r="J35" s="165"/>
      <c r="K35" s="166" t="s">
        <v>160</v>
      </c>
      <c r="L35" s="159"/>
      <c r="M35" s="159"/>
    </row>
    <row r="36" spans="2:13">
      <c r="B36" s="167" t="s">
        <v>161</v>
      </c>
      <c r="C36" s="160">
        <v>1</v>
      </c>
      <c r="D36" s="160">
        <v>0.15</v>
      </c>
      <c r="E36" s="160">
        <v>0.1</v>
      </c>
      <c r="F36" s="160">
        <v>0.05</v>
      </c>
      <c r="G36" s="160">
        <v>10</v>
      </c>
      <c r="H36" s="159">
        <v>0.25</v>
      </c>
      <c r="I36" s="159">
        <v>10</v>
      </c>
      <c r="J36" s="159">
        <v>0.25</v>
      </c>
      <c r="K36" s="160">
        <v>0</v>
      </c>
      <c r="L36" s="159"/>
      <c r="M36" s="159"/>
    </row>
    <row r="37" spans="2:13">
      <c r="B37" s="165" t="s">
        <v>158</v>
      </c>
      <c r="C37" s="166">
        <v>1.5</v>
      </c>
      <c r="D37" s="166"/>
      <c r="E37" s="166">
        <v>0.1</v>
      </c>
      <c r="F37" s="166"/>
      <c r="G37" s="166">
        <v>10</v>
      </c>
      <c r="H37" s="165">
        <v>0.25</v>
      </c>
      <c r="I37" s="165">
        <v>10</v>
      </c>
      <c r="J37" s="165">
        <v>0.15</v>
      </c>
      <c r="K37" s="160"/>
      <c r="L37" s="159"/>
      <c r="M37" s="159"/>
    </row>
    <row r="38" spans="2:13">
      <c r="B38" s="165"/>
      <c r="C38" s="166"/>
      <c r="D38" s="166"/>
      <c r="E38" s="166"/>
      <c r="F38" s="166"/>
      <c r="G38" s="166"/>
      <c r="H38" s="165"/>
      <c r="I38" s="165"/>
      <c r="J38" s="165"/>
      <c r="K38" s="166"/>
      <c r="L38" s="159"/>
      <c r="M38" s="159"/>
    </row>
    <row r="39" spans="2:13">
      <c r="B39" s="169" t="s">
        <v>162</v>
      </c>
      <c r="C39" s="160">
        <v>1</v>
      </c>
      <c r="D39" s="160">
        <v>0.2</v>
      </c>
      <c r="E39" s="160">
        <v>0.1</v>
      </c>
      <c r="F39" s="160">
        <v>0.05</v>
      </c>
      <c r="G39" s="160">
        <v>10</v>
      </c>
      <c r="H39" s="159">
        <v>0.25</v>
      </c>
      <c r="I39" s="159">
        <v>10</v>
      </c>
      <c r="J39" s="159">
        <v>0.25</v>
      </c>
      <c r="K39" s="160">
        <v>0</v>
      </c>
      <c r="L39" s="159"/>
      <c r="M39" s="159"/>
    </row>
    <row r="40" spans="2:13">
      <c r="B40" s="165"/>
      <c r="C40" s="166"/>
      <c r="D40" s="166"/>
      <c r="E40" s="166"/>
      <c r="F40" s="166"/>
      <c r="G40" s="166"/>
      <c r="H40" s="165"/>
      <c r="I40" s="165"/>
      <c r="J40" s="165"/>
      <c r="K40" s="166"/>
      <c r="L40" s="159"/>
      <c r="M40" s="159"/>
    </row>
    <row r="41" spans="2:13">
      <c r="B41" s="169" t="s">
        <v>163</v>
      </c>
      <c r="C41" s="160">
        <v>1</v>
      </c>
      <c r="D41" s="160">
        <v>0.3</v>
      </c>
      <c r="E41" s="160">
        <v>0.1</v>
      </c>
      <c r="F41" s="160">
        <v>0.05</v>
      </c>
      <c r="G41" s="160">
        <v>10</v>
      </c>
      <c r="H41" s="159">
        <v>0.25</v>
      </c>
      <c r="I41" s="159">
        <v>10</v>
      </c>
      <c r="J41" s="159">
        <v>0.25</v>
      </c>
      <c r="K41" s="160">
        <v>0</v>
      </c>
      <c r="L41" s="159"/>
      <c r="M41" s="159"/>
    </row>
    <row r="42" spans="2:13">
      <c r="B42" s="165"/>
      <c r="C42" s="166"/>
      <c r="D42" s="166"/>
      <c r="E42" s="166"/>
      <c r="F42" s="166"/>
      <c r="G42" s="166"/>
      <c r="H42" s="165"/>
      <c r="I42" s="165"/>
      <c r="J42" s="165"/>
      <c r="K42" s="166"/>
      <c r="L42" s="159"/>
      <c r="M42" s="159"/>
    </row>
    <row r="43" spans="2:13">
      <c r="B43" s="170" t="s">
        <v>164</v>
      </c>
      <c r="C43" s="160">
        <v>0.6</v>
      </c>
      <c r="D43" s="160">
        <v>0.6</v>
      </c>
      <c r="E43" s="160">
        <v>0.15</v>
      </c>
      <c r="F43" s="160">
        <v>0.05</v>
      </c>
      <c r="G43" s="160">
        <v>10</v>
      </c>
      <c r="H43" s="159">
        <v>0.25</v>
      </c>
      <c r="I43" s="159">
        <v>10</v>
      </c>
      <c r="J43" s="159">
        <v>0.25</v>
      </c>
      <c r="K43" s="160">
        <v>0</v>
      </c>
      <c r="L43" s="159"/>
      <c r="M43" s="159"/>
    </row>
    <row r="44" spans="2:13">
      <c r="B44" s="165"/>
      <c r="C44" s="166"/>
      <c r="D44" s="166"/>
      <c r="E44" s="166"/>
      <c r="F44" s="166"/>
      <c r="G44" s="166"/>
      <c r="H44" s="165"/>
      <c r="I44" s="165"/>
      <c r="J44" s="165"/>
      <c r="K44" s="166"/>
      <c r="L44" s="159"/>
      <c r="M44" s="159"/>
    </row>
    <row r="45" spans="2:13">
      <c r="B45" s="170" t="s">
        <v>165</v>
      </c>
      <c r="C45" s="160">
        <v>0.8</v>
      </c>
      <c r="D45" s="160">
        <v>0.8</v>
      </c>
      <c r="E45" s="160">
        <v>0.15</v>
      </c>
      <c r="F45" s="160">
        <v>0.05</v>
      </c>
      <c r="G45" s="160">
        <v>10</v>
      </c>
      <c r="H45" s="159">
        <v>0.25</v>
      </c>
      <c r="I45" s="159">
        <v>10</v>
      </c>
      <c r="J45" s="159">
        <v>0.25</v>
      </c>
      <c r="K45" s="160">
        <v>0</v>
      </c>
      <c r="L45" s="159"/>
      <c r="M45" s="159"/>
    </row>
    <row r="46" spans="2:13">
      <c r="B46" s="165"/>
      <c r="C46" s="166"/>
      <c r="D46" s="166"/>
      <c r="E46" s="166"/>
      <c r="F46" s="166"/>
      <c r="G46" s="166"/>
      <c r="H46" s="165"/>
      <c r="I46" s="165"/>
      <c r="J46" s="165"/>
      <c r="K46" s="166"/>
      <c r="L46" s="159"/>
      <c r="M46" s="159"/>
    </row>
    <row r="47" spans="2:13">
      <c r="B47" s="171" t="s">
        <v>166</v>
      </c>
      <c r="C47" s="160">
        <v>1</v>
      </c>
      <c r="D47" s="160">
        <v>0.6</v>
      </c>
      <c r="E47" s="160">
        <v>0.1</v>
      </c>
      <c r="F47" s="160">
        <v>0.05</v>
      </c>
      <c r="G47" s="160">
        <v>10</v>
      </c>
      <c r="H47" s="159">
        <v>0.25</v>
      </c>
      <c r="I47" s="159">
        <v>10</v>
      </c>
      <c r="J47" s="159">
        <v>0.25</v>
      </c>
      <c r="K47" s="160">
        <v>3</v>
      </c>
      <c r="L47" s="159"/>
      <c r="M47" s="159"/>
    </row>
    <row r="48" spans="2:13">
      <c r="B48" s="172"/>
      <c r="C48" s="166"/>
      <c r="D48" s="166"/>
      <c r="E48" s="166"/>
      <c r="F48" s="166"/>
      <c r="G48" s="166"/>
      <c r="H48" s="165"/>
      <c r="I48" s="165"/>
      <c r="J48" s="165"/>
      <c r="K48" s="166"/>
      <c r="L48" s="159"/>
      <c r="M48" s="159"/>
    </row>
    <row r="49" spans="2:13">
      <c r="B49" s="165"/>
      <c r="C49" s="166"/>
      <c r="D49" s="166"/>
      <c r="E49" s="166"/>
      <c r="F49" s="166"/>
      <c r="G49" s="166"/>
      <c r="H49" s="165"/>
      <c r="I49" s="165"/>
      <c r="J49" s="165"/>
      <c r="K49" s="166"/>
      <c r="L49" s="159"/>
      <c r="M49" s="159"/>
    </row>
    <row r="50" spans="2:13">
      <c r="B50" s="171" t="s">
        <v>167</v>
      </c>
      <c r="C50" s="160">
        <v>1</v>
      </c>
      <c r="D50" s="160">
        <v>0.8</v>
      </c>
      <c r="E50" s="160">
        <v>0.125</v>
      </c>
      <c r="F50" s="160">
        <v>0.05</v>
      </c>
      <c r="G50" s="160">
        <v>10</v>
      </c>
      <c r="H50" s="159">
        <v>0.25</v>
      </c>
      <c r="I50" s="159">
        <v>10</v>
      </c>
      <c r="J50" s="159">
        <v>0.25</v>
      </c>
      <c r="K50" s="160">
        <v>3</v>
      </c>
      <c r="L50" s="159"/>
      <c r="M50" s="159"/>
    </row>
    <row r="51" spans="2:13">
      <c r="B51" s="172"/>
      <c r="C51" s="166"/>
      <c r="D51" s="166"/>
      <c r="E51" s="166"/>
      <c r="F51" s="166"/>
      <c r="G51" s="166"/>
      <c r="H51" s="165"/>
      <c r="I51" s="165"/>
      <c r="J51" s="165"/>
      <c r="K51" s="166"/>
      <c r="L51" s="159"/>
      <c r="M51" s="159"/>
    </row>
    <row r="52" spans="2:13">
      <c r="B52" s="165"/>
      <c r="C52" s="166"/>
      <c r="D52" s="166"/>
      <c r="E52" s="166"/>
      <c r="F52" s="166"/>
      <c r="G52" s="166"/>
      <c r="H52" s="165"/>
      <c r="I52" s="165"/>
      <c r="J52" s="165"/>
      <c r="K52" s="166"/>
      <c r="L52" s="159"/>
      <c r="M52" s="159"/>
    </row>
    <row r="53" spans="2:13">
      <c r="B53" s="171" t="s">
        <v>168</v>
      </c>
      <c r="C53" s="160">
        <v>1</v>
      </c>
      <c r="D53" s="160">
        <v>1</v>
      </c>
      <c r="E53" s="160">
        <v>0.125</v>
      </c>
      <c r="F53" s="160">
        <v>0.05</v>
      </c>
      <c r="G53" s="160">
        <v>10</v>
      </c>
      <c r="H53" s="159">
        <v>0.25</v>
      </c>
      <c r="I53" s="159">
        <v>10</v>
      </c>
      <c r="J53" s="159">
        <v>0.25</v>
      </c>
      <c r="K53" s="160">
        <v>3</v>
      </c>
      <c r="L53" s="159"/>
      <c r="M53" s="159"/>
    </row>
    <row r="54" spans="2:13">
      <c r="B54" s="172"/>
      <c r="C54" s="166"/>
      <c r="D54" s="166"/>
      <c r="E54" s="166"/>
      <c r="F54" s="166"/>
      <c r="G54" s="166"/>
      <c r="H54" s="165"/>
      <c r="I54" s="165"/>
      <c r="J54" s="165"/>
      <c r="K54" s="166"/>
      <c r="L54" s="159"/>
      <c r="M54" s="159"/>
    </row>
    <row r="55" spans="2:13">
      <c r="B55" s="165"/>
      <c r="C55" s="166"/>
      <c r="D55" s="166"/>
      <c r="E55" s="166"/>
      <c r="F55" s="166"/>
      <c r="G55" s="166"/>
      <c r="H55" s="165"/>
      <c r="I55" s="165"/>
      <c r="J55" s="165"/>
      <c r="K55" s="166"/>
      <c r="L55" s="159"/>
      <c r="M55" s="159"/>
    </row>
    <row r="56" spans="2:13">
      <c r="B56" s="171" t="s">
        <v>169</v>
      </c>
      <c r="C56" s="160">
        <v>1</v>
      </c>
      <c r="D56" s="160">
        <v>1</v>
      </c>
      <c r="E56" s="160">
        <v>0.125</v>
      </c>
      <c r="F56" s="160">
        <v>0.05</v>
      </c>
      <c r="G56" s="160">
        <v>10</v>
      </c>
      <c r="H56" s="159">
        <v>0.25</v>
      </c>
      <c r="I56" s="159">
        <v>10</v>
      </c>
      <c r="J56" s="159">
        <v>0.25</v>
      </c>
      <c r="K56" s="160">
        <v>3</v>
      </c>
      <c r="L56" s="159"/>
      <c r="M56" s="159"/>
    </row>
    <row r="57" spans="2:13">
      <c r="B57" s="172"/>
      <c r="C57" s="166"/>
      <c r="D57" s="166"/>
      <c r="E57" s="166"/>
      <c r="F57" s="166"/>
      <c r="G57" s="166"/>
      <c r="H57" s="165"/>
      <c r="I57" s="165"/>
      <c r="J57" s="165"/>
      <c r="K57" s="166"/>
      <c r="L57" s="159"/>
      <c r="M57" s="159"/>
    </row>
    <row r="58" spans="2:13">
      <c r="B58" s="172"/>
      <c r="C58" s="166"/>
      <c r="D58" s="166"/>
      <c r="E58" s="166"/>
      <c r="F58" s="166"/>
      <c r="G58" s="166"/>
      <c r="H58" s="165"/>
      <c r="I58" s="165"/>
      <c r="J58" s="165"/>
      <c r="K58" s="166"/>
      <c r="L58" s="159"/>
      <c r="M58" s="159"/>
    </row>
    <row r="59" spans="2:13">
      <c r="B59" s="159" t="s">
        <v>170</v>
      </c>
      <c r="C59" s="160">
        <v>0.45</v>
      </c>
      <c r="D59" s="160">
        <v>0.45</v>
      </c>
      <c r="E59" s="160">
        <v>0.1</v>
      </c>
      <c r="F59" s="160">
        <v>0.05</v>
      </c>
      <c r="G59" s="160">
        <v>10</v>
      </c>
      <c r="H59" s="159">
        <v>0.25</v>
      </c>
      <c r="I59" s="159">
        <v>10</v>
      </c>
      <c r="J59" s="159">
        <v>0.25</v>
      </c>
      <c r="K59" s="160"/>
      <c r="L59" s="159">
        <v>0.27500000000000002</v>
      </c>
      <c r="M59" s="159">
        <v>0.27500000000000002</v>
      </c>
    </row>
    <row r="60" spans="2:13">
      <c r="B60" s="165"/>
      <c r="C60" s="166"/>
      <c r="D60" s="166"/>
      <c r="E60" s="166"/>
      <c r="F60" s="166"/>
      <c r="G60" s="166"/>
      <c r="H60" s="165"/>
      <c r="I60" s="165"/>
      <c r="J60" s="165"/>
      <c r="K60" s="166"/>
      <c r="L60" s="159"/>
      <c r="M60" s="159"/>
    </row>
    <row r="61" spans="2:13">
      <c r="B61" s="165"/>
      <c r="C61" s="166"/>
      <c r="D61" s="166"/>
      <c r="E61" s="166"/>
      <c r="F61" s="166"/>
      <c r="G61" s="166"/>
      <c r="H61" s="165"/>
      <c r="I61" s="165"/>
      <c r="J61" s="165"/>
      <c r="K61" s="166"/>
      <c r="L61" s="159"/>
      <c r="M61" s="159"/>
    </row>
    <row r="62" spans="2:13">
      <c r="B62" s="165"/>
      <c r="C62" s="166"/>
      <c r="D62" s="166"/>
      <c r="E62" s="166"/>
      <c r="F62" s="166"/>
      <c r="G62" s="166"/>
      <c r="H62" s="165"/>
      <c r="I62" s="165"/>
      <c r="J62" s="165"/>
      <c r="K62" s="166"/>
      <c r="L62" s="159"/>
      <c r="M62" s="159"/>
    </row>
    <row r="63" spans="2:13">
      <c r="B63" s="159" t="s">
        <v>171</v>
      </c>
      <c r="C63" s="160">
        <v>0.45</v>
      </c>
      <c r="D63" s="160">
        <v>0.6</v>
      </c>
      <c r="E63" s="160">
        <v>0.1</v>
      </c>
      <c r="F63" s="160">
        <v>0.05</v>
      </c>
      <c r="G63" s="160">
        <v>10</v>
      </c>
      <c r="H63" s="159">
        <v>0.25</v>
      </c>
      <c r="I63" s="159">
        <v>10</v>
      </c>
      <c r="J63" s="159">
        <v>0.25</v>
      </c>
      <c r="K63" s="160"/>
      <c r="L63" s="159">
        <v>0.27500000000000002</v>
      </c>
      <c r="M63" s="159">
        <v>0.27500000000000002</v>
      </c>
    </row>
    <row r="64" spans="2:13">
      <c r="B64" s="165"/>
      <c r="C64" s="166"/>
      <c r="D64" s="166"/>
      <c r="E64" s="166"/>
      <c r="F64" s="166"/>
      <c r="G64" s="166"/>
      <c r="H64" s="165"/>
      <c r="I64" s="165"/>
      <c r="J64" s="165"/>
      <c r="K64" s="166"/>
      <c r="L64" s="159"/>
      <c r="M64" s="159"/>
    </row>
    <row r="65" spans="2:13">
      <c r="B65" s="165"/>
      <c r="C65" s="166"/>
      <c r="D65" s="166"/>
      <c r="E65" s="166"/>
      <c r="F65" s="166"/>
      <c r="G65" s="166"/>
      <c r="H65" s="165"/>
      <c r="I65" s="165"/>
      <c r="J65" s="165"/>
      <c r="K65" s="166"/>
      <c r="L65" s="159"/>
      <c r="M65" s="159"/>
    </row>
    <row r="66" spans="2:13">
      <c r="B66" s="172"/>
      <c r="C66" s="166"/>
      <c r="D66" s="166"/>
      <c r="E66" s="166"/>
      <c r="F66" s="166"/>
      <c r="G66" s="166"/>
      <c r="H66" s="165"/>
      <c r="I66" s="165"/>
      <c r="J66" s="165"/>
      <c r="K66" s="166"/>
      <c r="L66" s="159"/>
      <c r="M66" s="159"/>
    </row>
    <row r="67" spans="2:13">
      <c r="B67" s="159" t="s">
        <v>172</v>
      </c>
      <c r="C67" s="160">
        <v>0.6</v>
      </c>
      <c r="D67" s="160">
        <v>0.6</v>
      </c>
      <c r="E67" s="160">
        <v>0.1</v>
      </c>
      <c r="F67" s="160">
        <v>0.05</v>
      </c>
      <c r="G67" s="160">
        <v>10</v>
      </c>
      <c r="H67" s="159">
        <v>0.25</v>
      </c>
      <c r="I67" s="159">
        <v>10</v>
      </c>
      <c r="J67" s="159">
        <v>0.25</v>
      </c>
      <c r="K67" s="160"/>
      <c r="L67" s="159">
        <v>0.27500000000000002</v>
      </c>
      <c r="M67" s="159">
        <v>0.27500000000000002</v>
      </c>
    </row>
    <row r="68" spans="2:13">
      <c r="B68" s="165"/>
      <c r="C68" s="166"/>
      <c r="D68" s="166"/>
      <c r="E68" s="166"/>
      <c r="F68" s="166"/>
      <c r="G68" s="166"/>
      <c r="H68" s="165"/>
      <c r="I68" s="165"/>
      <c r="J68" s="165"/>
      <c r="K68" s="166"/>
      <c r="L68" s="159"/>
      <c r="M68" s="159"/>
    </row>
    <row r="69" spans="2:13">
      <c r="B69" s="165"/>
      <c r="C69" s="166"/>
      <c r="D69" s="166"/>
      <c r="E69" s="166"/>
      <c r="F69" s="166"/>
      <c r="G69" s="166"/>
      <c r="H69" s="165"/>
      <c r="I69" s="165"/>
      <c r="J69" s="165"/>
      <c r="K69" s="166"/>
      <c r="L69" s="159"/>
      <c r="M69" s="159"/>
    </row>
    <row r="70" spans="2:13">
      <c r="B70" s="165"/>
      <c r="C70" s="166"/>
      <c r="D70" s="166"/>
      <c r="E70" s="166"/>
      <c r="F70" s="166"/>
      <c r="G70" s="166"/>
      <c r="H70" s="165"/>
      <c r="I70" s="165"/>
      <c r="J70" s="165"/>
      <c r="K70" s="166"/>
      <c r="L70" s="159"/>
      <c r="M70" s="159"/>
    </row>
    <row r="71" spans="2:13">
      <c r="B71" s="159" t="s">
        <v>173</v>
      </c>
      <c r="C71" s="160">
        <v>0.8</v>
      </c>
      <c r="D71" s="160">
        <v>0.8</v>
      </c>
      <c r="E71" s="160">
        <v>0.1</v>
      </c>
      <c r="F71" s="160">
        <v>0.05</v>
      </c>
      <c r="G71" s="160">
        <v>10</v>
      </c>
      <c r="H71" s="159">
        <v>0.25</v>
      </c>
      <c r="I71" s="159">
        <v>10</v>
      </c>
      <c r="J71" s="159">
        <v>0.25</v>
      </c>
      <c r="K71" s="160"/>
      <c r="L71" s="159">
        <v>0.27500000000000002</v>
      </c>
      <c r="M71" s="159">
        <v>0.27500000000000002</v>
      </c>
    </row>
    <row r="72" spans="2:13">
      <c r="B72" s="165"/>
      <c r="C72" s="166"/>
      <c r="D72" s="166"/>
      <c r="E72" s="166"/>
      <c r="F72" s="166"/>
      <c r="G72" s="166"/>
      <c r="H72" s="165"/>
      <c r="I72" s="165"/>
      <c r="J72" s="165"/>
      <c r="K72" s="166"/>
      <c r="L72" s="159"/>
      <c r="M72" s="159"/>
    </row>
    <row r="73" spans="2:13">
      <c r="B73" s="165"/>
      <c r="C73" s="166"/>
      <c r="D73" s="166"/>
      <c r="E73" s="166"/>
      <c r="F73" s="166"/>
      <c r="G73" s="166"/>
      <c r="H73" s="165"/>
      <c r="I73" s="165"/>
      <c r="J73" s="165"/>
      <c r="K73" s="166"/>
      <c r="L73" s="159"/>
      <c r="M73" s="159"/>
    </row>
    <row r="74" spans="2:13">
      <c r="B74" s="165"/>
      <c r="C74" s="166"/>
      <c r="D74" s="166"/>
      <c r="E74" s="166"/>
      <c r="F74" s="166"/>
      <c r="G74" s="166"/>
      <c r="H74" s="165"/>
      <c r="I74" s="165"/>
      <c r="J74" s="165"/>
      <c r="K74" s="166"/>
      <c r="L74" s="159"/>
      <c r="M74" s="159"/>
    </row>
    <row r="75" spans="2:13">
      <c r="B75" s="159" t="s">
        <v>174</v>
      </c>
      <c r="C75" s="160">
        <v>1</v>
      </c>
      <c r="D75" s="160">
        <v>1</v>
      </c>
      <c r="E75" s="160">
        <v>0.125</v>
      </c>
      <c r="F75" s="160">
        <v>0.05</v>
      </c>
      <c r="G75" s="160">
        <v>10</v>
      </c>
      <c r="H75" s="159">
        <v>0.25</v>
      </c>
      <c r="I75" s="159">
        <v>10</v>
      </c>
      <c r="J75" s="159">
        <v>0.25</v>
      </c>
      <c r="K75" s="160"/>
      <c r="L75" s="159">
        <v>0.27500000000000002</v>
      </c>
      <c r="M75" s="159">
        <v>0.27500000000000002</v>
      </c>
    </row>
    <row r="76" spans="2:13">
      <c r="B76" s="165"/>
      <c r="C76" s="166"/>
      <c r="D76" s="166"/>
      <c r="E76" s="166"/>
      <c r="F76" s="166"/>
      <c r="G76" s="166"/>
      <c r="H76" s="165"/>
      <c r="I76" s="165"/>
      <c r="J76" s="165"/>
      <c r="K76" s="166"/>
      <c r="L76" s="159"/>
      <c r="M76" s="159"/>
    </row>
    <row r="77" spans="2:13">
      <c r="B77" s="165"/>
      <c r="C77" s="166"/>
      <c r="D77" s="166"/>
      <c r="E77" s="166"/>
      <c r="F77" s="166"/>
      <c r="G77" s="166"/>
      <c r="H77" s="165"/>
      <c r="I77" s="165"/>
      <c r="J77" s="165"/>
      <c r="K77" s="166"/>
      <c r="L77" s="159"/>
      <c r="M77" s="159"/>
    </row>
    <row r="78" spans="2:13">
      <c r="B78" s="165"/>
      <c r="C78" s="166"/>
      <c r="D78" s="166"/>
      <c r="E78" s="166"/>
      <c r="F78" s="166"/>
      <c r="G78" s="166"/>
      <c r="H78" s="165"/>
      <c r="I78" s="165"/>
      <c r="J78" s="165"/>
      <c r="K78" s="166"/>
      <c r="L78" s="159"/>
      <c r="M78" s="159"/>
    </row>
    <row r="79" spans="2:13">
      <c r="B79" s="173" t="s">
        <v>175</v>
      </c>
      <c r="C79" s="160">
        <v>0.45</v>
      </c>
      <c r="D79" s="160">
        <v>0.45</v>
      </c>
      <c r="E79" s="160">
        <v>0.1</v>
      </c>
      <c r="F79" s="160">
        <v>0.05</v>
      </c>
      <c r="G79" s="160">
        <v>10</v>
      </c>
      <c r="H79" s="159">
        <v>0.25</v>
      </c>
      <c r="I79" s="159">
        <v>10</v>
      </c>
      <c r="J79" s="159">
        <v>0.25</v>
      </c>
      <c r="K79" s="160"/>
      <c r="L79" s="159">
        <v>0.9</v>
      </c>
      <c r="M79" s="159">
        <v>0.45</v>
      </c>
    </row>
    <row r="80" spans="2:13">
      <c r="B80" s="174"/>
      <c r="C80" s="166"/>
      <c r="D80" s="166"/>
      <c r="E80" s="166"/>
      <c r="F80" s="166"/>
      <c r="G80" s="166"/>
      <c r="H80" s="165"/>
      <c r="I80" s="165"/>
      <c r="J80" s="165"/>
      <c r="K80" s="166"/>
      <c r="L80" s="159"/>
      <c r="M80" s="159"/>
    </row>
    <row r="81" spans="2:13">
      <c r="B81" s="174"/>
      <c r="C81" s="166"/>
      <c r="D81" s="166"/>
      <c r="E81" s="166"/>
      <c r="F81" s="166"/>
      <c r="G81" s="166"/>
      <c r="H81" s="165"/>
      <c r="I81" s="165"/>
      <c r="J81" s="165"/>
      <c r="K81" s="166"/>
      <c r="L81" s="159"/>
      <c r="M81" s="159"/>
    </row>
    <row r="82" spans="2:13">
      <c r="B82" s="174"/>
      <c r="C82" s="166"/>
      <c r="D82" s="166"/>
      <c r="E82" s="166"/>
      <c r="F82" s="166"/>
      <c r="G82" s="166"/>
      <c r="H82" s="165"/>
      <c r="I82" s="165"/>
      <c r="J82" s="165"/>
      <c r="K82" s="166"/>
      <c r="L82" s="159"/>
      <c r="M82" s="159"/>
    </row>
    <row r="83" spans="2:13">
      <c r="B83" s="173" t="s">
        <v>176</v>
      </c>
      <c r="C83" s="160">
        <v>0.45</v>
      </c>
      <c r="D83" s="160">
        <v>0.6</v>
      </c>
      <c r="E83" s="160">
        <v>0.1</v>
      </c>
      <c r="F83" s="160">
        <v>0.05</v>
      </c>
      <c r="G83" s="160">
        <v>10</v>
      </c>
      <c r="H83" s="159">
        <v>0.25</v>
      </c>
      <c r="I83" s="159">
        <v>10</v>
      </c>
      <c r="J83" s="159">
        <v>0.25</v>
      </c>
      <c r="K83" s="160"/>
      <c r="L83" s="159">
        <v>0.9</v>
      </c>
      <c r="M83" s="159">
        <v>0.45</v>
      </c>
    </row>
    <row r="84" spans="2:13">
      <c r="B84" s="174"/>
      <c r="C84" s="166"/>
      <c r="D84" s="166"/>
      <c r="E84" s="166"/>
      <c r="F84" s="166"/>
      <c r="G84" s="166"/>
      <c r="H84" s="165"/>
      <c r="I84" s="165"/>
      <c r="J84" s="165"/>
      <c r="K84" s="166"/>
      <c r="L84" s="159"/>
      <c r="M84" s="159"/>
    </row>
    <row r="85" spans="2:13">
      <c r="B85" s="174"/>
      <c r="C85" s="166"/>
      <c r="D85" s="166"/>
      <c r="E85" s="166"/>
      <c r="F85" s="166"/>
      <c r="G85" s="166"/>
      <c r="H85" s="165"/>
      <c r="I85" s="165"/>
      <c r="J85" s="165"/>
      <c r="K85" s="166"/>
      <c r="L85" s="159"/>
      <c r="M85" s="159"/>
    </row>
    <row r="86" spans="2:13">
      <c r="B86" s="174"/>
      <c r="C86" s="166"/>
      <c r="D86" s="166"/>
      <c r="E86" s="166"/>
      <c r="F86" s="166"/>
      <c r="G86" s="166"/>
      <c r="H86" s="165"/>
      <c r="I86" s="165"/>
      <c r="J86" s="165"/>
      <c r="K86" s="166"/>
      <c r="L86" s="159"/>
      <c r="M86" s="159"/>
    </row>
    <row r="87" spans="2:13">
      <c r="B87" s="173" t="s">
        <v>177</v>
      </c>
      <c r="C87" s="160">
        <v>0.6</v>
      </c>
      <c r="D87" s="160">
        <v>0.6</v>
      </c>
      <c r="E87" s="160">
        <v>0.1</v>
      </c>
      <c r="F87" s="160">
        <v>0.05</v>
      </c>
      <c r="G87" s="160">
        <v>10</v>
      </c>
      <c r="H87" s="159">
        <v>0.25</v>
      </c>
      <c r="I87" s="159">
        <v>10</v>
      </c>
      <c r="J87" s="159">
        <v>0.25</v>
      </c>
      <c r="K87" s="160"/>
      <c r="L87" s="159">
        <v>0.9</v>
      </c>
      <c r="M87" s="159">
        <v>0.45</v>
      </c>
    </row>
    <row r="88" spans="2:13">
      <c r="B88" s="174"/>
      <c r="C88" s="166"/>
      <c r="D88" s="166"/>
      <c r="E88" s="166"/>
      <c r="F88" s="166"/>
      <c r="G88" s="166"/>
      <c r="H88" s="165"/>
      <c r="I88" s="165"/>
      <c r="J88" s="165"/>
      <c r="K88" s="166"/>
      <c r="L88" s="159"/>
      <c r="M88" s="159"/>
    </row>
    <row r="89" spans="2:13">
      <c r="B89" s="174"/>
      <c r="C89" s="166"/>
      <c r="D89" s="166"/>
      <c r="E89" s="166"/>
      <c r="F89" s="166"/>
      <c r="G89" s="166"/>
      <c r="H89" s="165"/>
      <c r="I89" s="165"/>
      <c r="J89" s="165"/>
      <c r="K89" s="166"/>
      <c r="L89" s="159"/>
      <c r="M89" s="159"/>
    </row>
    <row r="90" spans="2:13">
      <c r="B90" s="174"/>
      <c r="C90" s="166"/>
      <c r="D90" s="166"/>
      <c r="E90" s="166"/>
      <c r="F90" s="166"/>
      <c r="G90" s="166"/>
      <c r="H90" s="165"/>
      <c r="I90" s="165"/>
      <c r="J90" s="165"/>
      <c r="K90" s="166"/>
      <c r="L90" s="159"/>
      <c r="M90" s="159"/>
    </row>
    <row r="91" spans="2:13">
      <c r="B91" s="173" t="s">
        <v>178</v>
      </c>
      <c r="C91" s="160">
        <v>0.8</v>
      </c>
      <c r="D91" s="160">
        <v>0.8</v>
      </c>
      <c r="E91" s="160">
        <v>0.1</v>
      </c>
      <c r="F91" s="160">
        <v>0.05</v>
      </c>
      <c r="G91" s="160">
        <v>10</v>
      </c>
      <c r="H91" s="159">
        <v>0.25</v>
      </c>
      <c r="I91" s="159">
        <v>10</v>
      </c>
      <c r="J91" s="159">
        <v>0.25</v>
      </c>
      <c r="K91" s="160"/>
      <c r="L91" s="159">
        <v>0.9</v>
      </c>
      <c r="M91" s="159">
        <v>0.45</v>
      </c>
    </row>
    <row r="92" spans="2:13">
      <c r="B92" s="174"/>
      <c r="C92" s="166"/>
      <c r="D92" s="166"/>
      <c r="E92" s="166"/>
      <c r="F92" s="166"/>
      <c r="G92" s="166"/>
      <c r="H92" s="165"/>
      <c r="I92" s="165"/>
      <c r="J92" s="165"/>
      <c r="K92" s="166"/>
      <c r="L92" s="159"/>
      <c r="M92" s="159"/>
    </row>
    <row r="93" spans="2:13">
      <c r="B93" s="174"/>
      <c r="C93" s="166"/>
      <c r="D93" s="166"/>
      <c r="E93" s="166"/>
      <c r="F93" s="166"/>
      <c r="G93" s="166"/>
      <c r="H93" s="165"/>
      <c r="I93" s="165"/>
      <c r="J93" s="165"/>
      <c r="K93" s="166"/>
      <c r="L93" s="159"/>
      <c r="M93" s="159"/>
    </row>
    <row r="94" spans="2:13">
      <c r="B94" s="174"/>
      <c r="C94" s="166"/>
      <c r="D94" s="166"/>
      <c r="E94" s="166"/>
      <c r="F94" s="166"/>
      <c r="G94" s="166"/>
      <c r="H94" s="165"/>
      <c r="I94" s="165"/>
      <c r="J94" s="165"/>
      <c r="K94" s="166"/>
      <c r="L94" s="159"/>
      <c r="M94" s="159"/>
    </row>
    <row r="95" spans="2:13">
      <c r="B95" s="173" t="s">
        <v>179</v>
      </c>
      <c r="C95" s="160">
        <v>1</v>
      </c>
      <c r="D95" s="160">
        <v>0.75</v>
      </c>
      <c r="E95" s="160">
        <v>0.125</v>
      </c>
      <c r="F95" s="160">
        <v>0.05</v>
      </c>
      <c r="G95" s="160">
        <v>10</v>
      </c>
      <c r="H95" s="159">
        <v>0.25</v>
      </c>
      <c r="I95" s="159">
        <v>10</v>
      </c>
      <c r="J95" s="159">
        <v>0.25</v>
      </c>
      <c r="K95" s="160"/>
      <c r="L95" s="159">
        <v>0.9</v>
      </c>
      <c r="M95" s="159">
        <v>0.45</v>
      </c>
    </row>
    <row r="96" spans="2:13">
      <c r="B96" s="174"/>
      <c r="C96" s="166"/>
      <c r="D96" s="166"/>
      <c r="E96" s="166"/>
      <c r="F96" s="166"/>
      <c r="G96" s="166"/>
      <c r="H96" s="165"/>
      <c r="I96" s="165"/>
      <c r="J96" s="165"/>
      <c r="K96" s="166"/>
      <c r="L96" s="159"/>
      <c r="M96" s="159"/>
    </row>
    <row r="97" spans="2:21">
      <c r="B97" s="174"/>
      <c r="C97" s="166"/>
      <c r="D97" s="166"/>
      <c r="E97" s="166"/>
      <c r="F97" s="166"/>
      <c r="G97" s="166"/>
      <c r="H97" s="165"/>
      <c r="I97" s="165"/>
      <c r="J97" s="165"/>
      <c r="K97" s="166"/>
      <c r="L97" s="159"/>
      <c r="M97" s="159"/>
    </row>
    <row r="98" spans="2:21">
      <c r="B98" s="174"/>
      <c r="C98" s="166"/>
      <c r="D98" s="166"/>
      <c r="E98" s="166"/>
      <c r="F98" s="166"/>
      <c r="G98" s="166"/>
      <c r="H98" s="165"/>
      <c r="I98" s="165"/>
      <c r="J98" s="165"/>
      <c r="K98" s="166"/>
      <c r="L98" s="159"/>
      <c r="M98" s="159"/>
    </row>
    <row r="99" spans="2:21">
      <c r="B99" s="165"/>
      <c r="C99" s="166"/>
      <c r="D99" s="166"/>
      <c r="E99" s="166"/>
      <c r="F99" s="166"/>
      <c r="G99" s="166"/>
      <c r="H99" s="165"/>
      <c r="I99" s="165"/>
      <c r="J99" s="165"/>
      <c r="K99" s="166"/>
      <c r="L99" s="159"/>
      <c r="M99" s="159"/>
    </row>
    <row r="100" spans="2:21">
      <c r="B100" s="175"/>
      <c r="C100" s="175"/>
      <c r="D100" s="175"/>
      <c r="E100" s="175"/>
      <c r="F100" s="175"/>
      <c r="G100" s="175"/>
      <c r="H100" s="175"/>
      <c r="I100" s="175"/>
      <c r="J100" s="175"/>
      <c r="K100" s="176"/>
      <c r="L100" s="175"/>
      <c r="M100" s="175"/>
    </row>
    <row r="103" spans="2:21">
      <c r="K103" s="177" t="s">
        <v>180</v>
      </c>
      <c r="L103" s="768" t="s">
        <v>181</v>
      </c>
      <c r="M103" s="769"/>
      <c r="N103" s="769"/>
      <c r="O103" s="769"/>
      <c r="P103" s="769"/>
      <c r="Q103" s="769"/>
      <c r="R103" s="769"/>
      <c r="S103" s="770"/>
    </row>
    <row r="104" spans="2:21">
      <c r="B104" s="177" t="s">
        <v>182</v>
      </c>
      <c r="K104" s="178">
        <v>1</v>
      </c>
      <c r="L104" s="763" t="s">
        <v>7</v>
      </c>
      <c r="M104" s="771"/>
      <c r="N104" s="764"/>
      <c r="O104" s="763" t="s">
        <v>6</v>
      </c>
      <c r="P104" s="771"/>
      <c r="Q104" s="764"/>
      <c r="R104" s="763" t="s">
        <v>183</v>
      </c>
      <c r="S104" s="764"/>
    </row>
    <row r="105" spans="2:21">
      <c r="D105" s="179" t="s">
        <v>184</v>
      </c>
      <c r="E105" s="180" t="s">
        <v>1</v>
      </c>
      <c r="G105" s="181" t="s">
        <v>185</v>
      </c>
      <c r="H105" s="181" t="s">
        <v>186</v>
      </c>
      <c r="I105" s="181" t="s">
        <v>187</v>
      </c>
      <c r="J105" s="181" t="s">
        <v>188</v>
      </c>
      <c r="K105" s="181" t="s">
        <v>189</v>
      </c>
      <c r="L105" s="763" t="s">
        <v>190</v>
      </c>
      <c r="M105" s="764"/>
      <c r="N105" s="182" t="s">
        <v>1</v>
      </c>
      <c r="O105" s="763" t="s">
        <v>190</v>
      </c>
      <c r="P105" s="764"/>
      <c r="Q105" s="182" t="s">
        <v>1</v>
      </c>
      <c r="R105" s="182" t="s">
        <v>1</v>
      </c>
      <c r="S105" s="182" t="s">
        <v>117</v>
      </c>
    </row>
    <row r="106" spans="2:21">
      <c r="D106" s="209"/>
      <c r="E106" s="227"/>
      <c r="F106" s="209"/>
      <c r="G106" s="227"/>
      <c r="H106" s="227"/>
      <c r="I106" s="227"/>
      <c r="J106" s="227"/>
      <c r="K106" s="227"/>
      <c r="L106" s="228"/>
      <c r="M106" s="229"/>
      <c r="N106" s="229"/>
      <c r="O106" s="228"/>
      <c r="P106" s="229"/>
      <c r="Q106" s="230"/>
      <c r="R106" s="230"/>
      <c r="S106" s="230"/>
      <c r="T106" s="209"/>
    </row>
    <row r="107" spans="2:21" ht="29.25" customHeight="1">
      <c r="B107" s="153" t="s">
        <v>191</v>
      </c>
      <c r="C107" s="177" t="s">
        <v>192</v>
      </c>
      <c r="E107" s="183">
        <v>106</v>
      </c>
      <c r="G107" s="184">
        <f>+E107*(C6+E6*2+1.5)</f>
        <v>212</v>
      </c>
      <c r="H107" s="184">
        <f>+E107*(C6+E6*2)*(D6+E6+F6)</f>
        <v>23.85</v>
      </c>
      <c r="I107" s="185">
        <f>+(C6+E6*2)*E107*F6</f>
        <v>2.6500000000000004</v>
      </c>
      <c r="J107" s="185">
        <f>+E107*((C6+E6*2)*E6+(D6*E6*2))</f>
        <v>11.66</v>
      </c>
      <c r="K107" s="185">
        <f>+(D6+$K$104*(D6+E6))*E107*2</f>
        <v>148.39999999999998</v>
      </c>
      <c r="L107" s="186">
        <f>+(E107)/H6+ IF(E107&gt;0,1,0)</f>
        <v>531</v>
      </c>
      <c r="M107" s="187">
        <f>+ROUNDUP(L107,0)</f>
        <v>531</v>
      </c>
      <c r="N107" s="188">
        <f>+(D6+E6-0.08)*2+(C6+E6*2-0.08)</f>
        <v>1.06</v>
      </c>
      <c r="O107" s="186">
        <f>+N107/J6+1</f>
        <v>5.24</v>
      </c>
      <c r="P107" s="187">
        <f>+ROUNDUP(O107,0)</f>
        <v>6</v>
      </c>
      <c r="Q107" s="187">
        <f>+E107+E107/6*50*(G6/1000)</f>
        <v>114.83333333333333</v>
      </c>
      <c r="R107" s="189">
        <f>+N107*M107+P107*Q107</f>
        <v>1251.8600000000001</v>
      </c>
      <c r="S107" s="185">
        <f>((I6*I6)/162)*R107</f>
        <v>772.75308641975312</v>
      </c>
      <c r="T107" s="153" t="s">
        <v>193</v>
      </c>
    </row>
    <row r="108" spans="2:21" ht="20.25" customHeight="1">
      <c r="C108" s="153" t="s">
        <v>138</v>
      </c>
      <c r="D108" s="190">
        <f>ROUNDUP(+E107/K6,0)</f>
        <v>36</v>
      </c>
      <c r="E108" s="183"/>
      <c r="G108" s="191"/>
      <c r="H108" s="191"/>
      <c r="I108" s="190"/>
      <c r="J108" s="190">
        <f>0.5*(0.075+0.05)*0.075*C6*D108</f>
        <v>5.0624999999999996E-2</v>
      </c>
      <c r="K108" s="190">
        <f>+(0.075+0.08)*C6*D108</f>
        <v>1.6739999999999999</v>
      </c>
      <c r="L108" s="192">
        <f>+D108</f>
        <v>36</v>
      </c>
      <c r="M108" s="187">
        <f>+ROUNDUP(L108,0)</f>
        <v>36</v>
      </c>
      <c r="N108" s="193">
        <f>+(C6-0.08)+((0.075+0.05-0.04)*2)</f>
        <v>0.38999999999999996</v>
      </c>
      <c r="O108" s="192"/>
      <c r="P108" s="194"/>
      <c r="Q108" s="194"/>
      <c r="R108" s="189">
        <f>+N108*M108+P108*Q108</f>
        <v>14.04</v>
      </c>
      <c r="S108" s="185">
        <f>((I6*I6)/162)*R108</f>
        <v>8.6666666666666661</v>
      </c>
      <c r="T108" s="153" t="s">
        <v>193</v>
      </c>
      <c r="U108" s="190">
        <f>S107+S108</f>
        <v>781.41975308641975</v>
      </c>
    </row>
    <row r="109" spans="2:21">
      <c r="E109" s="183"/>
    </row>
    <row r="110" spans="2:21">
      <c r="B110" s="209" t="s">
        <v>191</v>
      </c>
      <c r="C110" s="210" t="s">
        <v>194</v>
      </c>
      <c r="E110" s="183">
        <v>71.66</v>
      </c>
      <c r="G110" s="184">
        <f>+E110*(C9+E9*2+3)</f>
        <v>261.55899999999997</v>
      </c>
      <c r="H110" s="184">
        <f>+E110*(C9+E9*2)*(D9+E9+F9)</f>
        <v>27.947400000000005</v>
      </c>
      <c r="I110" s="185">
        <f>+(C9+E9*2)*E110*F9</f>
        <v>2.3289500000000003</v>
      </c>
      <c r="J110" s="185">
        <f>+E110*((C9+E9*2)*E9+(D9*E9*2))</f>
        <v>11.107300000000002</v>
      </c>
      <c r="K110" s="185">
        <f>+(D9+$K$104*(D9+E9))*E110*2</f>
        <v>143.32</v>
      </c>
      <c r="L110" s="186">
        <f>+(E110)/H9+ IF(E110&gt;0,1,0)</f>
        <v>359.29999999999995</v>
      </c>
      <c r="M110" s="187">
        <f>+ROUNDUP(L110,0)</f>
        <v>360</v>
      </c>
      <c r="N110" s="188">
        <f>+(D9+E9-0.08)*2+(C9+E9*2-0.08)</f>
        <v>1.5100000000000002</v>
      </c>
      <c r="O110" s="186">
        <f>+N110/J9+1</f>
        <v>7.0400000000000009</v>
      </c>
      <c r="P110" s="187">
        <f>+ROUNDUP(O110,0)</f>
        <v>8</v>
      </c>
      <c r="Q110" s="187">
        <f>+E110+E110/6*50*(G9/1000)</f>
        <v>77.631666666666661</v>
      </c>
      <c r="R110" s="189">
        <f>+N110*M110+P110*Q110</f>
        <v>1164.6533333333334</v>
      </c>
      <c r="S110" s="185">
        <f>((I9*I9)/162)*R110</f>
        <v>718.92181069958849</v>
      </c>
      <c r="T110" s="153" t="s">
        <v>193</v>
      </c>
    </row>
    <row r="111" spans="2:21">
      <c r="B111" s="209"/>
      <c r="C111" s="209" t="s">
        <v>138</v>
      </c>
      <c r="D111" s="190">
        <f>ROUNDUP(+E110/K9,0)</f>
        <v>24</v>
      </c>
      <c r="E111" s="183"/>
      <c r="G111" s="191"/>
      <c r="H111" s="191"/>
      <c r="I111" s="190"/>
      <c r="J111" s="190">
        <f>0.5*(0.075+0.05)*0.075*C9*D111</f>
        <v>5.0625000000000003E-2</v>
      </c>
      <c r="K111" s="190">
        <f>+(0.075+0.08)*C9*D111</f>
        <v>1.6740000000000002</v>
      </c>
      <c r="L111" s="192">
        <f>+D111</f>
        <v>24</v>
      </c>
      <c r="M111" s="187">
        <f>+ROUNDUP(L111,0)</f>
        <v>24</v>
      </c>
      <c r="N111" s="193">
        <f>+(C9-0.08)+((0.075+0.05-0.04)*2)</f>
        <v>0.54</v>
      </c>
      <c r="O111" s="192"/>
      <c r="P111" s="194"/>
      <c r="Q111" s="194"/>
      <c r="R111" s="189">
        <f>+N111*M111+P111*Q111</f>
        <v>12.96</v>
      </c>
      <c r="S111" s="185">
        <f>((I9*I9)/162)*R111</f>
        <v>8</v>
      </c>
      <c r="T111" s="153" t="s">
        <v>193</v>
      </c>
      <c r="U111" s="190">
        <f>S110+S111</f>
        <v>726.92181069958849</v>
      </c>
    </row>
    <row r="112" spans="2:21">
      <c r="B112" s="209"/>
      <c r="C112" s="209"/>
      <c r="E112" s="183"/>
    </row>
    <row r="113" spans="2:21">
      <c r="B113" s="209" t="s">
        <v>191</v>
      </c>
      <c r="C113" s="210" t="s">
        <v>195</v>
      </c>
      <c r="E113" s="183">
        <v>84.71</v>
      </c>
      <c r="G113" s="184">
        <f>+E113*(C12+E12*2+3)</f>
        <v>321.89799999999997</v>
      </c>
      <c r="H113" s="184">
        <f>+E113*(C12+E12*2)*(D12+E12+F12)</f>
        <v>50.826000000000001</v>
      </c>
      <c r="I113" s="185">
        <f>+(C12+E12*2)*E113*F12</f>
        <v>3.3884000000000003</v>
      </c>
      <c r="J113" s="185">
        <f>+E113*((C12+E12*2)*E12+(D12*E12*2))</f>
        <v>16.942</v>
      </c>
      <c r="K113" s="185">
        <f>+(D12+$K$104*(D12+E12))*E113*2</f>
        <v>220.24599999999995</v>
      </c>
      <c r="L113" s="186">
        <f>+(E113)/H12+ IF(E113&gt;0,1,0)</f>
        <v>424.54999999999995</v>
      </c>
      <c r="M113" s="187">
        <f>+ROUNDUP(L113,0)</f>
        <v>425</v>
      </c>
      <c r="N113" s="188">
        <f>+(D12+E12-0.08)*2+(C12+E12*2-0.08)</f>
        <v>1.96</v>
      </c>
      <c r="O113" s="186">
        <f>+N113/J12+1</f>
        <v>8.84</v>
      </c>
      <c r="P113" s="187">
        <f>+ROUNDUP(O113,0)</f>
        <v>9</v>
      </c>
      <c r="Q113" s="187">
        <f>+E113+E113/6*50*(G12/1000)</f>
        <v>91.769166666666663</v>
      </c>
      <c r="R113" s="189">
        <f>+N113*M113+P113*Q113</f>
        <v>1658.9225000000001</v>
      </c>
      <c r="S113" s="185">
        <f>((I12*I12)/162)*R113</f>
        <v>1024.0262345679012</v>
      </c>
      <c r="T113" s="153" t="s">
        <v>193</v>
      </c>
    </row>
    <row r="114" spans="2:21">
      <c r="B114" s="209"/>
      <c r="C114" s="209" t="s">
        <v>138</v>
      </c>
      <c r="D114" s="190">
        <f>ROUNDUP(+E113/K12,0)</f>
        <v>29</v>
      </c>
      <c r="E114" s="183"/>
      <c r="G114" s="191"/>
      <c r="H114" s="191"/>
      <c r="I114" s="190"/>
      <c r="J114" s="190">
        <f>0.5*(0.075+0.05)*0.075*C12*D114</f>
        <v>8.1562499999999996E-2</v>
      </c>
      <c r="K114" s="190">
        <f>+(0.075+0.08)*C12*D114</f>
        <v>2.6970000000000001</v>
      </c>
      <c r="L114" s="192">
        <f>+D114</f>
        <v>29</v>
      </c>
      <c r="M114" s="187">
        <f>+ROUNDUP(L114,0)</f>
        <v>29</v>
      </c>
      <c r="N114" s="193">
        <f>+(C12-0.08)+((0.075+0.05-0.04)*2)</f>
        <v>0.69</v>
      </c>
      <c r="O114" s="192"/>
      <c r="P114" s="194"/>
      <c r="Q114" s="194"/>
      <c r="R114" s="189">
        <f>+N114*M114+P114*Q114</f>
        <v>20.009999999999998</v>
      </c>
      <c r="S114" s="185">
        <f>((I12*I12)/162)*R114</f>
        <v>12.351851851851849</v>
      </c>
      <c r="T114" s="153" t="s">
        <v>193</v>
      </c>
      <c r="U114" s="190">
        <f>S113+S114</f>
        <v>1036.3780864197531</v>
      </c>
    </row>
    <row r="115" spans="2:21" hidden="1">
      <c r="B115" s="209"/>
      <c r="C115" s="209"/>
      <c r="E115" s="183"/>
    </row>
    <row r="116" spans="2:21" hidden="1">
      <c r="B116" s="209" t="s">
        <v>191</v>
      </c>
      <c r="C116" s="210" t="s">
        <v>196</v>
      </c>
      <c r="E116" s="183"/>
      <c r="G116" s="184">
        <f>+E116*(C15+E15*2+1.5)</f>
        <v>0</v>
      </c>
      <c r="H116" s="184">
        <f>+E116*(C15+E15*2)*(D15+E15+F15)</f>
        <v>0</v>
      </c>
      <c r="I116" s="185">
        <f>+(C15+E15*2)*E116*F15</f>
        <v>0</v>
      </c>
      <c r="J116" s="185">
        <f>+E116*((C15+E15*2)*E15+(D15*E15*2))</f>
        <v>0</v>
      </c>
      <c r="K116" s="185">
        <f>+(D15+$K$104*(D15+E15))*E116*2</f>
        <v>0</v>
      </c>
      <c r="L116" s="186">
        <f>+(E116)/H15+ IF(E116&gt;0,1,0)</f>
        <v>0</v>
      </c>
      <c r="M116" s="187">
        <f>+ROUNDUP(L116,0)</f>
        <v>0</v>
      </c>
      <c r="N116" s="188">
        <f>+(D15+E15-0.08)*2+(C15+E15*2-0.08)</f>
        <v>2.5100000000000002</v>
      </c>
      <c r="O116" s="186">
        <f>+N116/J15+1</f>
        <v>11.040000000000001</v>
      </c>
      <c r="P116" s="187">
        <f>+ROUNDUP(O116,0)</f>
        <v>12</v>
      </c>
      <c r="Q116" s="187">
        <f>+E116+E116/6*50*(G15/1000)</f>
        <v>0</v>
      </c>
      <c r="R116" s="189">
        <f>+N116*M116+P116*Q116</f>
        <v>0</v>
      </c>
      <c r="S116" s="185">
        <f>((I15*I15)/162)*R116</f>
        <v>0</v>
      </c>
      <c r="T116" s="153" t="s">
        <v>193</v>
      </c>
    </row>
    <row r="117" spans="2:21" hidden="1">
      <c r="B117" s="209"/>
      <c r="C117" s="209" t="s">
        <v>138</v>
      </c>
      <c r="D117" s="190">
        <f>ROUNDUP(+E116/K15,0)</f>
        <v>0</v>
      </c>
      <c r="E117" s="183"/>
      <c r="G117" s="191"/>
      <c r="H117" s="191"/>
      <c r="I117" s="190"/>
      <c r="J117" s="190">
        <f>0.5*(0.075+0.05)*0.075*C15*D117</f>
        <v>0</v>
      </c>
      <c r="K117" s="190">
        <f>+(0.075+0.08)*C15*D117</f>
        <v>0</v>
      </c>
      <c r="L117" s="192">
        <f>+D117</f>
        <v>0</v>
      </c>
      <c r="M117" s="187">
        <f>+ROUNDUP(L117,0)</f>
        <v>0</v>
      </c>
      <c r="N117" s="193">
        <f>+(C15-0.08)+((0.075+0.05-0.04)*2)</f>
        <v>0.84000000000000008</v>
      </c>
      <c r="O117" s="192"/>
      <c r="P117" s="194"/>
      <c r="Q117" s="194"/>
      <c r="R117" s="189">
        <f>+N117*M117+P117*Q117</f>
        <v>0</v>
      </c>
      <c r="S117" s="185">
        <f>((I15*I15)/162)*R117</f>
        <v>0</v>
      </c>
      <c r="T117" s="153" t="s">
        <v>193</v>
      </c>
      <c r="U117" s="190">
        <f>S116+S117</f>
        <v>0</v>
      </c>
    </row>
    <row r="118" spans="2:21" hidden="1">
      <c r="B118" s="209" t="s">
        <v>191</v>
      </c>
      <c r="C118" s="210" t="s">
        <v>197</v>
      </c>
      <c r="E118" s="183"/>
      <c r="G118" s="195">
        <f>+E118*(C15+E15*2+1.5)</f>
        <v>0</v>
      </c>
      <c r="H118" s="195">
        <f>+E118*(C15+E15*2)*(D15+E15+F15)</f>
        <v>0</v>
      </c>
      <c r="I118" s="196">
        <f>+(C15+E15*2)*E118*F15</f>
        <v>0</v>
      </c>
      <c r="J118" s="196">
        <f>+E118*((C15+E15*2)*E15+(D15*E15*2))</f>
        <v>0</v>
      </c>
      <c r="K118" s="196">
        <f>+(D15+$K$104*(D15+E15))*E118*2</f>
        <v>0</v>
      </c>
      <c r="L118" s="186">
        <f>+(E118)/H15+ IF(E118&gt;0,1,0)</f>
        <v>0</v>
      </c>
      <c r="M118" s="197">
        <f>+ROUNDUP(L118,0)</f>
        <v>0</v>
      </c>
      <c r="N118" s="188">
        <f>+(D15+E15-0.08)*2+(C15+E15*2-0.08)</f>
        <v>2.5100000000000002</v>
      </c>
      <c r="O118" s="186">
        <f>+N118/J15+1</f>
        <v>11.040000000000001</v>
      </c>
      <c r="P118" s="197">
        <f>+ROUNDUP(O118,0)</f>
        <v>12</v>
      </c>
      <c r="Q118" s="187">
        <f>+E118+E118/6*50*(G15/1000)</f>
        <v>0</v>
      </c>
      <c r="R118" s="189">
        <f>+N118*M118+P118*Q118</f>
        <v>0</v>
      </c>
      <c r="S118" s="196">
        <f>((I15*I15)/162)*R118</f>
        <v>0</v>
      </c>
      <c r="T118" s="153" t="s">
        <v>193</v>
      </c>
    </row>
    <row r="119" spans="2:21" hidden="1">
      <c r="B119" s="209"/>
      <c r="C119" s="209" t="s">
        <v>138</v>
      </c>
      <c r="D119" s="190">
        <f>ROUNDUP(+E118/K15,0)</f>
        <v>0</v>
      </c>
      <c r="E119" s="183"/>
      <c r="G119" s="198"/>
      <c r="H119" s="198"/>
      <c r="I119" s="199"/>
      <c r="J119" s="199">
        <f>0.5*(0.075+0.05)*0.075*C15*D119</f>
        <v>0</v>
      </c>
      <c r="K119" s="199">
        <f>+(0.075+0.08)*C15*D119</f>
        <v>0</v>
      </c>
      <c r="L119" s="192">
        <f>+D119</f>
        <v>0</v>
      </c>
      <c r="M119" s="197">
        <f>+ROUNDUP(L119,0)</f>
        <v>0</v>
      </c>
      <c r="N119" s="193">
        <f>+(C15-0.08)+((0.075+0.05-0.04)*2)</f>
        <v>0.84000000000000008</v>
      </c>
      <c r="O119" s="192"/>
      <c r="P119" s="200"/>
      <c r="Q119" s="194"/>
      <c r="R119" s="189">
        <f>+N119*M119+P119*Q119</f>
        <v>0</v>
      </c>
      <c r="S119" s="196">
        <f>((I15*I15)/162)*R119</f>
        <v>0</v>
      </c>
      <c r="T119" s="153" t="s">
        <v>193</v>
      </c>
    </row>
    <row r="120" spans="2:21" hidden="1">
      <c r="B120" s="223" t="s">
        <v>198</v>
      </c>
      <c r="C120" s="209"/>
      <c r="D120" s="190"/>
      <c r="E120" s="183"/>
      <c r="G120" s="191"/>
      <c r="H120" s="191"/>
      <c r="I120" s="190"/>
      <c r="J120" s="190"/>
      <c r="K120" s="190"/>
      <c r="L120" s="192"/>
      <c r="M120" s="194"/>
      <c r="N120" s="193"/>
      <c r="O120" s="192"/>
      <c r="P120" s="194"/>
      <c r="Q120" s="194"/>
      <c r="R120" s="202"/>
      <c r="S120" s="190"/>
    </row>
    <row r="121" spans="2:21" hidden="1">
      <c r="B121" s="209"/>
      <c r="C121" s="223" t="s">
        <v>199</v>
      </c>
      <c r="D121" s="190"/>
      <c r="E121" s="183"/>
      <c r="G121" s="191"/>
      <c r="H121" s="191"/>
      <c r="I121" s="190"/>
      <c r="J121" s="190"/>
      <c r="K121" s="190"/>
      <c r="L121" s="192"/>
      <c r="M121" s="194"/>
      <c r="N121" s="193"/>
      <c r="O121" s="192"/>
      <c r="P121" s="194"/>
      <c r="Q121" s="194"/>
      <c r="R121" s="202"/>
      <c r="S121" s="190"/>
    </row>
    <row r="122" spans="2:21" hidden="1">
      <c r="B122" s="209"/>
      <c r="C122" s="223" t="s">
        <v>200</v>
      </c>
      <c r="D122" s="190"/>
      <c r="E122" s="183"/>
      <c r="G122" s="191"/>
      <c r="H122" s="191"/>
      <c r="I122" s="190"/>
      <c r="J122" s="190"/>
      <c r="K122" s="190"/>
      <c r="L122" s="192"/>
      <c r="M122" s="194"/>
      <c r="N122" s="193"/>
      <c r="O122" s="192"/>
      <c r="P122" s="194"/>
      <c r="Q122" s="194"/>
      <c r="R122" s="202"/>
      <c r="S122" s="190"/>
    </row>
    <row r="123" spans="2:21" hidden="1">
      <c r="B123" s="209"/>
      <c r="C123" s="209"/>
    </row>
    <row r="124" spans="2:21" hidden="1">
      <c r="B124" s="209" t="s">
        <v>191</v>
      </c>
      <c r="C124" s="210" t="s">
        <v>201</v>
      </c>
      <c r="E124" s="183"/>
      <c r="G124" s="195">
        <f>+E124*(C18+E18*2+1.5)</f>
        <v>0</v>
      </c>
      <c r="H124" s="195">
        <f>+E124*(C18+E18*2)*(D18+E18+F18)</f>
        <v>0</v>
      </c>
      <c r="I124" s="196">
        <f>+(C18+E18*2)*E124*F18</f>
        <v>0</v>
      </c>
      <c r="J124" s="196">
        <f>+E124*((C18+E18*2)*E18+(D18*E18*2))</f>
        <v>0</v>
      </c>
      <c r="K124" s="196">
        <f>+(D18+$K$104*(D18+E18))*E124*2</f>
        <v>0</v>
      </c>
      <c r="L124" s="186">
        <f>+(E124)/H18+ IF(E124&gt;0,1,0)</f>
        <v>0</v>
      </c>
      <c r="M124" s="197">
        <f>+ROUNDUP(L124,0)</f>
        <v>0</v>
      </c>
      <c r="N124" s="188">
        <f>+(D18+E18-0.08)*2+(C18+E18*2-0.08)</f>
        <v>3.06</v>
      </c>
      <c r="O124" s="186">
        <f>+N124/J18+1</f>
        <v>13.24</v>
      </c>
      <c r="P124" s="197">
        <f>+ROUNDUP(O124,0)</f>
        <v>14</v>
      </c>
      <c r="Q124" s="187">
        <f>+E124+E124/6*50*(G18/1000)</f>
        <v>0</v>
      </c>
      <c r="R124" s="189">
        <f>+N124*M124+P124*Q124</f>
        <v>0</v>
      </c>
      <c r="S124" s="196">
        <f>((I18*I18)/162)*R124</f>
        <v>0</v>
      </c>
      <c r="T124" s="153" t="s">
        <v>193</v>
      </c>
    </row>
    <row r="125" spans="2:21" hidden="1">
      <c r="B125" s="209"/>
      <c r="C125" s="209" t="s">
        <v>138</v>
      </c>
      <c r="D125" s="190">
        <f>ROUNDUP(+E124/K18,0)</f>
        <v>0</v>
      </c>
      <c r="E125" s="183"/>
      <c r="G125" s="198"/>
      <c r="H125" s="198"/>
      <c r="I125" s="199"/>
      <c r="J125" s="199">
        <f>0.5*(0.075+0.05)*0.075*C18*D125</f>
        <v>0</v>
      </c>
      <c r="K125" s="199">
        <f>+(0.075+0.08)*C18*D125</f>
        <v>0</v>
      </c>
      <c r="L125" s="192">
        <f>+D125</f>
        <v>0</v>
      </c>
      <c r="M125" s="197">
        <f>+ROUNDUP(L125,0)</f>
        <v>0</v>
      </c>
      <c r="N125" s="193">
        <f>+(C18-0.08)+((0.075+0.05-0.04)*2)</f>
        <v>0.99</v>
      </c>
      <c r="O125" s="192"/>
      <c r="P125" s="200"/>
      <c r="Q125" s="194"/>
      <c r="R125" s="189">
        <f>+N125*M125+P125*Q125</f>
        <v>0</v>
      </c>
      <c r="S125" s="196">
        <f>((I18*I18)/162)*R125</f>
        <v>0</v>
      </c>
      <c r="T125" s="153" t="s">
        <v>193</v>
      </c>
    </row>
    <row r="126" spans="2:21" hidden="1">
      <c r="B126" s="209"/>
      <c r="C126" s="209"/>
    </row>
    <row r="127" spans="2:21" hidden="1">
      <c r="B127" s="209" t="s">
        <v>191</v>
      </c>
      <c r="C127" s="210" t="s">
        <v>202</v>
      </c>
      <c r="E127" s="183"/>
      <c r="G127" s="184">
        <f>+E127*(C21+E21*2+3)</f>
        <v>0</v>
      </c>
      <c r="H127" s="184">
        <f>+E127*(C21+E21*2)*(D21+E21+F21)</f>
        <v>0</v>
      </c>
      <c r="I127" s="185">
        <f>+(C21+E21*2)*E127*F21</f>
        <v>0</v>
      </c>
      <c r="J127" s="185">
        <f>+E127*((C21+E21*2)*E21+(D21*E21*2))</f>
        <v>0</v>
      </c>
      <c r="K127" s="185">
        <f>+(D21+$K$104*(D21+E21))*E127*2</f>
        <v>0</v>
      </c>
      <c r="L127" s="186">
        <f>+(E127)/H21+ IF(E127&gt;0,1,0)</f>
        <v>0</v>
      </c>
      <c r="M127" s="187">
        <f>+ROUNDUP(L127,0)</f>
        <v>0</v>
      </c>
      <c r="N127" s="188">
        <f>+(D21+E21-0.08)*2+(C21+E21*2-0.08)</f>
        <v>3.3599999999999994</v>
      </c>
      <c r="O127" s="186">
        <f>+N127/J21+1</f>
        <v>14.439999999999998</v>
      </c>
      <c r="P127" s="187">
        <f>+ROUNDUP(O127,0)</f>
        <v>15</v>
      </c>
      <c r="Q127" s="187">
        <f>+E127+E127/6*50*(G21/1000)</f>
        <v>0</v>
      </c>
      <c r="R127" s="189">
        <f>+N127*M127+P127*Q127</f>
        <v>0</v>
      </c>
      <c r="S127" s="185">
        <f>((I21*I21)/162)*R127</f>
        <v>0</v>
      </c>
      <c r="T127" s="153" t="s">
        <v>193</v>
      </c>
    </row>
    <row r="128" spans="2:21" hidden="1">
      <c r="B128" s="209"/>
      <c r="C128" s="209" t="s">
        <v>138</v>
      </c>
      <c r="D128" s="190">
        <f>ROUNDUP(+E127/K21,0)</f>
        <v>0</v>
      </c>
      <c r="E128" s="183"/>
      <c r="G128" s="191"/>
      <c r="H128" s="191"/>
      <c r="I128" s="190"/>
      <c r="J128" s="190">
        <f>0.5*(0.075+0.05)*0.075*C21*D128</f>
        <v>0</v>
      </c>
      <c r="K128" s="190">
        <f>+(0.075+0.08)*C21*D128</f>
        <v>0</v>
      </c>
      <c r="L128" s="192">
        <f>+D128</f>
        <v>0</v>
      </c>
      <c r="M128" s="187">
        <f>+ROUNDUP(L128,0)</f>
        <v>0</v>
      </c>
      <c r="N128" s="193">
        <f>+(C21-0.08)+((0.075+0.05-0.04)*2)</f>
        <v>1.0900000000000001</v>
      </c>
      <c r="O128" s="192"/>
      <c r="P128" s="194"/>
      <c r="Q128" s="194"/>
      <c r="R128" s="189">
        <f>+N128*M128+P128*Q128</f>
        <v>0</v>
      </c>
      <c r="S128" s="185">
        <f>((I21*I21)/162)*R128</f>
        <v>0</v>
      </c>
      <c r="T128" s="153" t="s">
        <v>193</v>
      </c>
    </row>
    <row r="129" spans="2:20" hidden="1">
      <c r="B129" s="209"/>
      <c r="C129" s="209"/>
    </row>
    <row r="130" spans="2:20" hidden="1">
      <c r="B130" s="209" t="s">
        <v>191</v>
      </c>
      <c r="C130" s="210" t="s">
        <v>203</v>
      </c>
      <c r="E130" s="183"/>
      <c r="G130" s="195">
        <f>+E130*(C24+E24*2+1.5)</f>
        <v>0</v>
      </c>
      <c r="H130" s="195">
        <f>+E130*(C24+E24*2)*(((D24+E24+F24)*2+0.1)/2)</f>
        <v>0</v>
      </c>
      <c r="I130" s="196">
        <f>+(C24+E24*2)*E130*F24</f>
        <v>0</v>
      </c>
      <c r="J130" s="196">
        <f>+E130*((C24+E24*2)*E24+(D24*E24)+((D24+0.1)*E24))</f>
        <v>0</v>
      </c>
      <c r="K130" s="196">
        <f>+((D24*2)+$K$104*((D24+E24)+(D24+E24+0.1)))*E130</f>
        <v>0</v>
      </c>
      <c r="L130" s="186">
        <f>+(E130)/H24+ IF(E130&gt;0,1,0)</f>
        <v>0</v>
      </c>
      <c r="M130" s="197">
        <f>+ROUNDUP(L130,0)</f>
        <v>0</v>
      </c>
      <c r="N130" s="188">
        <f>+(D24+E24-0.08)+(D24+E24+0.1-0.08)+(C24+E24*2-0.08)</f>
        <v>1.1599999999999999</v>
      </c>
      <c r="O130" s="186">
        <f>+N130/J24+1</f>
        <v>5.64</v>
      </c>
      <c r="P130" s="197">
        <f>+ROUNDUP(O130,0)</f>
        <v>6</v>
      </c>
      <c r="Q130" s="187">
        <f>+E130+E130/6*50*(G24/1000)</f>
        <v>0</v>
      </c>
      <c r="R130" s="189">
        <f>+N130*M130+P130*Q130</f>
        <v>0</v>
      </c>
      <c r="S130" s="196">
        <f>((I24*I24)/162)*R130</f>
        <v>0</v>
      </c>
      <c r="T130" s="153" t="s">
        <v>193</v>
      </c>
    </row>
    <row r="131" spans="2:20" hidden="1">
      <c r="B131" s="209"/>
      <c r="C131" s="209" t="s">
        <v>138</v>
      </c>
      <c r="D131" s="190">
        <f>ROUNDUP(+E130/K24,0)</f>
        <v>0</v>
      </c>
      <c r="E131" s="183"/>
      <c r="G131" s="198"/>
      <c r="H131" s="198"/>
      <c r="I131" s="199"/>
      <c r="J131" s="199">
        <f>0.5*(0.075+0.05)*0.075*C24*D131</f>
        <v>0</v>
      </c>
      <c r="K131" s="199">
        <f>+(0.075+0.08)*C24*D131</f>
        <v>0</v>
      </c>
      <c r="L131" s="192">
        <f>+D131</f>
        <v>0</v>
      </c>
      <c r="M131" s="197">
        <f>+ROUNDUP(L131,0)</f>
        <v>0</v>
      </c>
      <c r="N131" s="193">
        <f>+(C24-0.08)+((0.075+0.05-0.04)*2)</f>
        <v>0.38999999999999996</v>
      </c>
      <c r="O131" s="192"/>
      <c r="P131" s="200"/>
      <c r="Q131" s="194"/>
      <c r="R131" s="189">
        <f>+N131*M131+P131*Q131</f>
        <v>0</v>
      </c>
      <c r="S131" s="196">
        <f>((I24*I24)/162)*R131</f>
        <v>0</v>
      </c>
      <c r="T131" s="153" t="s">
        <v>193</v>
      </c>
    </row>
    <row r="132" spans="2:20" hidden="1">
      <c r="B132" s="209"/>
      <c r="C132" s="209"/>
    </row>
    <row r="133" spans="2:20" hidden="1">
      <c r="B133" s="209" t="s">
        <v>191</v>
      </c>
      <c r="C133" s="210" t="s">
        <v>204</v>
      </c>
      <c r="E133" s="183"/>
      <c r="G133" s="184">
        <f>+E133*(C27+E27*2+1.5)</f>
        <v>0</v>
      </c>
      <c r="H133" s="184">
        <f>+E133*(C27+E27*2)*(((D27+E27+F27)*2+0.1)/2)</f>
        <v>0</v>
      </c>
      <c r="I133" s="185">
        <f>+(C27+E27*2)*E133*F27</f>
        <v>0</v>
      </c>
      <c r="J133" s="185">
        <f>+E133*((C27+E27*2)*E27+(D27*E27)+((D27+0.1)*E27))</f>
        <v>0</v>
      </c>
      <c r="K133" s="185">
        <f>+((D27*2)+$K$104*((D27+E27)+(D27+E27+0.1)))*E133</f>
        <v>0</v>
      </c>
      <c r="L133" s="186">
        <f>+(E133)/H27+ IF(E133&gt;0,1,0)</f>
        <v>0</v>
      </c>
      <c r="M133" s="187">
        <f>+ROUNDUP(L133,0)</f>
        <v>0</v>
      </c>
      <c r="N133" s="188">
        <f>+(D27+E27-0.08)+(D27+E27+0.1-0.08)+(C27+E27*2-0.08)</f>
        <v>2.06</v>
      </c>
      <c r="O133" s="186">
        <f>+N133/J27+1</f>
        <v>9.24</v>
      </c>
      <c r="P133" s="187">
        <f>+ROUNDUP(O133,0)</f>
        <v>10</v>
      </c>
      <c r="Q133" s="187">
        <f>+E133+E133/6*50*(G27/1000)</f>
        <v>0</v>
      </c>
      <c r="R133" s="189">
        <f>+N133*M133+P133*Q133</f>
        <v>0</v>
      </c>
      <c r="S133" s="185">
        <f>((I27*I27)/162)*R133</f>
        <v>0</v>
      </c>
      <c r="T133" s="153" t="s">
        <v>193</v>
      </c>
    </row>
    <row r="134" spans="2:20" hidden="1">
      <c r="B134" s="209"/>
      <c r="C134" s="209" t="s">
        <v>138</v>
      </c>
      <c r="D134" s="190">
        <f>ROUNDUP(+E133/K27,0)</f>
        <v>0</v>
      </c>
      <c r="E134" s="183"/>
      <c r="G134" s="191"/>
      <c r="H134" s="191"/>
      <c r="I134" s="190"/>
      <c r="J134" s="190">
        <f>0.5*(0.075+0.05)*0.075*C27*D134</f>
        <v>0</v>
      </c>
      <c r="K134" s="190">
        <f>+(0.075+0.08)*C27*D134</f>
        <v>0</v>
      </c>
      <c r="L134" s="192">
        <f>+D134</f>
        <v>0</v>
      </c>
      <c r="M134" s="187">
        <f>+ROUNDUP(L134,0)</f>
        <v>0</v>
      </c>
      <c r="N134" s="193">
        <f>+(C27-0.08)+((0.075+0.05-0.04)*2)</f>
        <v>0.69</v>
      </c>
      <c r="O134" s="192"/>
      <c r="P134" s="194"/>
      <c r="Q134" s="194"/>
      <c r="R134" s="189">
        <f>+N134*M134+P134*Q134</f>
        <v>0</v>
      </c>
      <c r="S134" s="185">
        <f>((I27*I27)/162)*R134</f>
        <v>0</v>
      </c>
      <c r="T134" s="153" t="s">
        <v>193</v>
      </c>
    </row>
    <row r="135" spans="2:20" hidden="1">
      <c r="B135" s="209"/>
      <c r="C135" s="209"/>
    </row>
    <row r="136" spans="2:20" hidden="1">
      <c r="B136" s="209" t="s">
        <v>191</v>
      </c>
      <c r="C136" s="210" t="s">
        <v>205</v>
      </c>
      <c r="E136" s="183"/>
      <c r="G136" s="184">
        <f>+E136*(C30+E30*2+0.5)</f>
        <v>0</v>
      </c>
      <c r="H136" s="184">
        <f>+E136*(C30+E30*2)*(((D30+E30+F30)*2+0.1)/2)</f>
        <v>0</v>
      </c>
      <c r="I136" s="185">
        <f>+(C30+E30*2)*E136*F30</f>
        <v>0</v>
      </c>
      <c r="J136" s="185">
        <f>+E136*((C30+E30*2)*E30+(D30*E30)+((D30+0.1)*E30))</f>
        <v>0</v>
      </c>
      <c r="K136" s="185">
        <f>+((D30*2)+$K$104*((D30+E30)+(D30+E30+0.1)))*E136</f>
        <v>0</v>
      </c>
      <c r="L136" s="186">
        <f>+(E136)/H30+ IF(E136&gt;0,1,0)</f>
        <v>0</v>
      </c>
      <c r="M136" s="187">
        <f>+ROUNDUP(L136,0)</f>
        <v>0</v>
      </c>
      <c r="N136" s="188">
        <f>+(D30+E30-0.08)+(D30+E30+0.1-0.08)+(C30+E30*2-0.08)</f>
        <v>1.1599999999999999</v>
      </c>
      <c r="O136" s="186">
        <f>+N136/J30+1</f>
        <v>5.64</v>
      </c>
      <c r="P136" s="187">
        <f>+ROUNDUP(O136,0)</f>
        <v>6</v>
      </c>
      <c r="Q136" s="187">
        <f>+E136+E136/6*50*(G30/1000)</f>
        <v>0</v>
      </c>
      <c r="R136" s="189">
        <f>+N136*M136+P136*Q136</f>
        <v>0</v>
      </c>
      <c r="S136" s="185">
        <f>((I30*I30)/162)*R136</f>
        <v>0</v>
      </c>
      <c r="T136" s="153" t="s">
        <v>193</v>
      </c>
    </row>
    <row r="137" spans="2:20" hidden="1">
      <c r="B137" s="209"/>
      <c r="C137" s="209" t="s">
        <v>158</v>
      </c>
      <c r="D137" s="190"/>
      <c r="E137" s="183"/>
      <c r="G137" s="184">
        <f>+E137*(C31+0.5)</f>
        <v>0</v>
      </c>
      <c r="H137" s="191">
        <f>+E137*C31*E31</f>
        <v>0</v>
      </c>
      <c r="I137" s="190"/>
      <c r="J137" s="190">
        <f>+E137*C31*E31</f>
        <v>0</v>
      </c>
      <c r="K137" s="190">
        <f>+E137*E31</f>
        <v>0</v>
      </c>
      <c r="L137" s="186">
        <f>+(E137)/H31+ IF(E137&gt;0,1,0)</f>
        <v>0</v>
      </c>
      <c r="M137" s="187">
        <f>+ROUNDUP(L137,0)</f>
        <v>0</v>
      </c>
      <c r="N137" s="188">
        <f>+C31-0.04</f>
        <v>1.46</v>
      </c>
      <c r="O137" s="186">
        <f>+N137/J31+1</f>
        <v>10.733333333333334</v>
      </c>
      <c r="P137" s="187">
        <f>+ROUNDUP(O137,0)</f>
        <v>11</v>
      </c>
      <c r="Q137" s="187">
        <f>+E137+E137/6*50*(G31/1000)</f>
        <v>0</v>
      </c>
      <c r="R137" s="189">
        <f>+N137*M137+P137*Q137</f>
        <v>0</v>
      </c>
      <c r="S137" s="185">
        <f>((I31*I31)/162)*R137</f>
        <v>0</v>
      </c>
      <c r="T137" s="153" t="s">
        <v>193</v>
      </c>
    </row>
    <row r="138" spans="2:20" hidden="1">
      <c r="B138" s="209"/>
      <c r="C138" s="209"/>
      <c r="N138" s="188"/>
    </row>
    <row r="139" spans="2:20" hidden="1">
      <c r="B139" s="209" t="s">
        <v>191</v>
      </c>
      <c r="C139" s="210" t="s">
        <v>206</v>
      </c>
      <c r="E139" s="183"/>
      <c r="G139" s="195">
        <f>+E139*(C33+E33*2+0.5)</f>
        <v>0</v>
      </c>
      <c r="H139" s="195">
        <f>+E139*(C33+E33*2)*(((D33+E33+F33)*2+0.1)/2)</f>
        <v>0</v>
      </c>
      <c r="I139" s="196">
        <f>+(C33+E33*2)*E139*F33</f>
        <v>0</v>
      </c>
      <c r="J139" s="196">
        <f>+E139*((C33+E33*2)*E33+(D33*E33)+((D33+0.1)*E33))</f>
        <v>0</v>
      </c>
      <c r="K139" s="196">
        <f>+((D33*2)+$K$104*((D33+E33)+(D33+E33+0.1)))*E139</f>
        <v>0</v>
      </c>
      <c r="L139" s="186">
        <f>+(E139)/H33+ IF(E139&gt;0,1,0)</f>
        <v>0</v>
      </c>
      <c r="M139" s="197">
        <f>+ROUNDUP(L139,0)</f>
        <v>0</v>
      </c>
      <c r="N139" s="188">
        <f>+(D33+E33-0.08)+(D33+E33+0.1-0.08)+(C33+E33*2-0.08)</f>
        <v>1.61</v>
      </c>
      <c r="O139" s="186">
        <f>+N139/J33+1</f>
        <v>7.44</v>
      </c>
      <c r="P139" s="197">
        <f>+ROUNDUP(O139,0)</f>
        <v>8</v>
      </c>
      <c r="Q139" s="187">
        <f>+E139+E139/6*50*(G33/1000)</f>
        <v>0</v>
      </c>
      <c r="R139" s="189">
        <f>+N139*M139+P139*Q139</f>
        <v>0</v>
      </c>
      <c r="S139" s="196">
        <f>((I33*I33)/162)*R139</f>
        <v>0</v>
      </c>
      <c r="T139" s="153" t="s">
        <v>193</v>
      </c>
    </row>
    <row r="140" spans="2:20" hidden="1">
      <c r="B140" s="209"/>
      <c r="C140" s="209" t="s">
        <v>158</v>
      </c>
      <c r="D140" s="190"/>
      <c r="E140" s="183"/>
      <c r="G140" s="195">
        <f>+E140*(C34+0.5)</f>
        <v>0</v>
      </c>
      <c r="H140" s="198">
        <f>+E140*C34*E34</f>
        <v>0</v>
      </c>
      <c r="I140" s="199"/>
      <c r="J140" s="199">
        <f>+E140*C34*E34</f>
        <v>0</v>
      </c>
      <c r="K140" s="199">
        <f>+E140*E34</f>
        <v>0</v>
      </c>
      <c r="L140" s="186">
        <f>+(E140)/H34+ IF(E140&gt;0,1,0)</f>
        <v>0</v>
      </c>
      <c r="M140" s="197">
        <f>+ROUNDUP(L140,0)</f>
        <v>0</v>
      </c>
      <c r="N140" s="188">
        <f>+C34-0.04</f>
        <v>1.46</v>
      </c>
      <c r="O140" s="186">
        <f>+N140/J34+1</f>
        <v>10.733333333333334</v>
      </c>
      <c r="P140" s="197">
        <f>+ROUNDUP(O140,0)</f>
        <v>11</v>
      </c>
      <c r="Q140" s="187">
        <f>+E140+E140/6*50*(G34/1000)</f>
        <v>0</v>
      </c>
      <c r="R140" s="189">
        <f>+N140*M140+P140*Q140</f>
        <v>0</v>
      </c>
      <c r="S140" s="196">
        <f>((I34*I34)/162)*R140</f>
        <v>0</v>
      </c>
      <c r="T140" s="153" t="s">
        <v>193</v>
      </c>
    </row>
    <row r="141" spans="2:20" hidden="1">
      <c r="B141" s="209"/>
      <c r="C141" s="209"/>
      <c r="N141" s="188"/>
    </row>
    <row r="142" spans="2:20" hidden="1">
      <c r="B142" s="209" t="s">
        <v>191</v>
      </c>
      <c r="C142" s="210" t="s">
        <v>207</v>
      </c>
      <c r="E142" s="183"/>
      <c r="G142" s="195">
        <f>+E142*(C36+E36*2+0.5)</f>
        <v>0</v>
      </c>
      <c r="H142" s="195">
        <f>+E142*(C36+E36*2)*(((D36+E36+F36)*2+0.1)/2)</f>
        <v>0</v>
      </c>
      <c r="I142" s="196">
        <f>+(C36+E36*2)*E142*F36</f>
        <v>0</v>
      </c>
      <c r="J142" s="196">
        <f>+E142*((C36+E36*2)*E36+(D36*E36)+((D36+0.1)*E36))</f>
        <v>0</v>
      </c>
      <c r="K142" s="196">
        <f>+((D36*2)+$K$104*((D36+E36)+(D36+E36+0.1)))*E142</f>
        <v>0</v>
      </c>
      <c r="L142" s="186">
        <f>+(E142)/H36+ IF(E142&gt;0,1,0)</f>
        <v>0</v>
      </c>
      <c r="M142" s="197">
        <f>+ROUNDUP(L142,0)</f>
        <v>0</v>
      </c>
      <c r="N142" s="188">
        <f>+(D36+E36-0.08)+(D36+E36+0.1-0.08)+(C36+E36*2-0.08)</f>
        <v>1.5599999999999998</v>
      </c>
      <c r="O142" s="186">
        <f>+N142/J36+1</f>
        <v>7.2399999999999993</v>
      </c>
      <c r="P142" s="197">
        <f>+ROUNDUP(O142,0)</f>
        <v>8</v>
      </c>
      <c r="Q142" s="187">
        <f>+E142+E142/6*50*(G36/1000)</f>
        <v>0</v>
      </c>
      <c r="R142" s="189">
        <f>+N142*M142+P142*Q142</f>
        <v>0</v>
      </c>
      <c r="S142" s="196">
        <f>((I36*I36)/162)*R142</f>
        <v>0</v>
      </c>
      <c r="T142" s="153" t="s">
        <v>193</v>
      </c>
    </row>
    <row r="143" spans="2:20" hidden="1">
      <c r="B143" s="209"/>
      <c r="C143" s="209" t="s">
        <v>158</v>
      </c>
      <c r="D143" s="190"/>
      <c r="E143" s="183"/>
      <c r="G143" s="195">
        <f>+E143*(C37+0.5)</f>
        <v>0</v>
      </c>
      <c r="H143" s="198">
        <f>+E143*C37*E37</f>
        <v>0</v>
      </c>
      <c r="I143" s="199"/>
      <c r="J143" s="199">
        <f>+E143*C37*E37</f>
        <v>0</v>
      </c>
      <c r="K143" s="199">
        <f>+E143*E37</f>
        <v>0</v>
      </c>
      <c r="L143" s="186">
        <f>+(E143)/H37+ IF(E143&gt;0,1,0)</f>
        <v>0</v>
      </c>
      <c r="M143" s="197">
        <f>+ROUNDUP(L143,0)</f>
        <v>0</v>
      </c>
      <c r="N143" s="188">
        <f>+C37-0.04</f>
        <v>1.46</v>
      </c>
      <c r="O143" s="186">
        <f>+N143/J37+1</f>
        <v>10.733333333333334</v>
      </c>
      <c r="P143" s="197">
        <f>+ROUNDUP(O143,0)</f>
        <v>11</v>
      </c>
      <c r="Q143" s="187">
        <f>+E143+E143/6*50*(G37/1000)</f>
        <v>0</v>
      </c>
      <c r="R143" s="189">
        <f>+N143*M143+P143*Q143</f>
        <v>0</v>
      </c>
      <c r="S143" s="196">
        <f>((I37*I37)/162)*R143</f>
        <v>0</v>
      </c>
      <c r="T143" s="153" t="s">
        <v>193</v>
      </c>
    </row>
    <row r="144" spans="2:20" hidden="1">
      <c r="B144" s="209"/>
      <c r="C144" s="209"/>
      <c r="N144" s="188"/>
    </row>
    <row r="145" spans="2:20" hidden="1">
      <c r="B145" s="224" t="s">
        <v>191</v>
      </c>
      <c r="C145" s="225" t="s">
        <v>208</v>
      </c>
      <c r="E145" s="183"/>
      <c r="G145" s="184">
        <f>+E145*(C39+E39)</f>
        <v>0</v>
      </c>
      <c r="H145" s="184">
        <f>+E145*(C39+E39)*E39</f>
        <v>0</v>
      </c>
      <c r="I145" s="185">
        <f>+E145*(C39+E39)*F39</f>
        <v>0</v>
      </c>
      <c r="J145" s="185">
        <f>+E145*((C39+E39)*E39+(E39*D39))</f>
        <v>0</v>
      </c>
      <c r="K145" s="185">
        <f>+E145*(E39*2+D39*2)</f>
        <v>0</v>
      </c>
      <c r="L145" s="186">
        <f>+(E145)/H39+ IF(E145&gt;0,1,0)</f>
        <v>0</v>
      </c>
      <c r="M145" s="187">
        <f>+ROUNDUP(L145,0)</f>
        <v>0</v>
      </c>
      <c r="N145" s="188">
        <f>+(C39+E39-0.08)+(D39+E39-0.08)</f>
        <v>1.24</v>
      </c>
      <c r="O145" s="186">
        <f>+N145/J39+1</f>
        <v>5.96</v>
      </c>
      <c r="P145" s="187">
        <f>+ROUNDUP(O145,0)</f>
        <v>6</v>
      </c>
      <c r="Q145" s="187">
        <f>+E145+E145/6*50*(G39/1000)</f>
        <v>0</v>
      </c>
      <c r="R145" s="189">
        <f>+N145*M145+P145*Q145</f>
        <v>0</v>
      </c>
      <c r="S145" s="185">
        <f>((I39*I39)/162)*R145</f>
        <v>0</v>
      </c>
      <c r="T145" s="153" t="s">
        <v>193</v>
      </c>
    </row>
    <row r="146" spans="2:20" hidden="1">
      <c r="B146" s="209"/>
      <c r="C146" s="209"/>
      <c r="N146" s="188"/>
    </row>
    <row r="147" spans="2:20" hidden="1">
      <c r="B147" s="209" t="s">
        <v>191</v>
      </c>
      <c r="C147" s="210" t="s">
        <v>209</v>
      </c>
      <c r="E147" s="183"/>
      <c r="G147" s="195">
        <f>+E147*(C41+E41)</f>
        <v>0</v>
      </c>
      <c r="H147" s="195">
        <f>+E147*(C41+E41)*E41</f>
        <v>0</v>
      </c>
      <c r="I147" s="196">
        <f>+E147*(C41+E41)*F41</f>
        <v>0</v>
      </c>
      <c r="J147" s="196">
        <f>+E147*((C41+E41)*E41+(E41*D41))</f>
        <v>0</v>
      </c>
      <c r="K147" s="196">
        <f>+E147*(E41*2+D41*2)</f>
        <v>0</v>
      </c>
      <c r="L147" s="186">
        <f>+(E147)/H41+ IF(E147&gt;0,1,0)</f>
        <v>0</v>
      </c>
      <c r="M147" s="197">
        <f>+ROUNDUP(L147,0)</f>
        <v>0</v>
      </c>
      <c r="N147" s="188">
        <f>+(C41+E41-0.08)+(D41+E41-0.08)</f>
        <v>1.34</v>
      </c>
      <c r="O147" s="186">
        <f>+N147/J41+1</f>
        <v>6.36</v>
      </c>
      <c r="P147" s="197">
        <f>+ROUNDUP(O147,0)</f>
        <v>7</v>
      </c>
      <c r="Q147" s="187">
        <f>+E147+E147/6*50*(G41/1000)</f>
        <v>0</v>
      </c>
      <c r="R147" s="189">
        <f>+N147*M147+P147*Q147</f>
        <v>0</v>
      </c>
      <c r="S147" s="196">
        <f>((I41*I41)/162)*R147</f>
        <v>0</v>
      </c>
      <c r="T147" s="153" t="s">
        <v>193</v>
      </c>
    </row>
    <row r="148" spans="2:20" hidden="1">
      <c r="B148" s="209"/>
      <c r="C148" s="209"/>
      <c r="N148" s="188"/>
    </row>
    <row r="149" spans="2:20" hidden="1">
      <c r="B149" s="209" t="s">
        <v>191</v>
      </c>
      <c r="C149" s="210" t="s">
        <v>210</v>
      </c>
      <c r="E149" s="183"/>
      <c r="G149" s="195">
        <f>+E149*(C43+E43*2+1.5)</f>
        <v>0</v>
      </c>
      <c r="H149" s="195">
        <f>+E149*(C43+E43*2)*(((D43+E43+F43)*2+0.6)/2)</f>
        <v>0</v>
      </c>
      <c r="I149" s="196">
        <f>+(C43+E43*2)*E149*F43</f>
        <v>0</v>
      </c>
      <c r="J149" s="196">
        <f>+E149*((C43+E43*2)*E43+(D43*E43)+((D43+0.6)*E43))</f>
        <v>0</v>
      </c>
      <c r="K149" s="196">
        <f>+((D43*2)+$K$104*((D43+E43)+(D43+E43+0.6)))*E149</f>
        <v>0</v>
      </c>
      <c r="L149" s="186">
        <f>+(E149)/H43+ IF(E149&gt;0,1,0)</f>
        <v>0</v>
      </c>
      <c r="M149" s="197">
        <f>+ROUNDUP(L149,0)</f>
        <v>0</v>
      </c>
      <c r="N149" s="188">
        <f>+(E43+D43+E43+C43+2*E43+E43+D43+0.6+E43-9*0.04)+(E43+D43+2*E43-5*0.04)+(E43+0.6+D43+2*E43-5*0.04)+(C43+4*E43-6*0.04)</f>
        <v>6.2</v>
      </c>
      <c r="O149" s="186">
        <f>2*(D43/J43+1)+2*((D43+0.6)/J43+1)+((C43+2*E43)/J43+1)</f>
        <v>23</v>
      </c>
      <c r="P149" s="197">
        <f>+ROUNDUP(O149,0)</f>
        <v>23</v>
      </c>
      <c r="Q149" s="187">
        <f>+E149+E149/6*50*(G43/1000)</f>
        <v>0</v>
      </c>
      <c r="R149" s="189">
        <f>+N149*M149+P149*Q149</f>
        <v>0</v>
      </c>
      <c r="S149" s="196">
        <f>((I43*I43)/162)*R149</f>
        <v>0</v>
      </c>
      <c r="T149" s="153" t="s">
        <v>193</v>
      </c>
    </row>
    <row r="150" spans="2:20" hidden="1">
      <c r="B150" s="209"/>
      <c r="C150" s="209"/>
    </row>
    <row r="151" spans="2:20" hidden="1">
      <c r="B151" s="209" t="s">
        <v>191</v>
      </c>
      <c r="C151" s="210" t="s">
        <v>211</v>
      </c>
      <c r="E151" s="183"/>
      <c r="G151" s="195">
        <f>+E151*(C45+E45*2+1.5)</f>
        <v>0</v>
      </c>
      <c r="H151" s="195">
        <f>+E151*(C45+E45*2)*(((D45+E45+F45)*2+0.6)/2)</f>
        <v>0</v>
      </c>
      <c r="I151" s="196">
        <f>+(C45+E45*2)*E151*F45</f>
        <v>0</v>
      </c>
      <c r="J151" s="196">
        <f>+E151*((C45+E45*2)*E45+(D45*E45)+((D45+0.6)*E45))</f>
        <v>0</v>
      </c>
      <c r="K151" s="196">
        <f>+((D45*2)+$K$104*((D45+E45)+(D45+E45+0.6)))*E151</f>
        <v>0</v>
      </c>
      <c r="L151" s="186">
        <f>+(E151)/H45+ IF(E151&gt;0,1,0)</f>
        <v>0</v>
      </c>
      <c r="M151" s="197">
        <f>+ROUNDUP(L151,0)</f>
        <v>0</v>
      </c>
      <c r="N151" s="188">
        <f>+(E45+D45+E45+C45+2*E45+E45+D45+0.6+E45-9*0.04)+(E45+D45+2*E45-5*0.04)+(E45+0.6+D45+2*E45-5*0.04)+(C45+4*E45-6*0.04)</f>
        <v>7.4000000000000012</v>
      </c>
      <c r="O151" s="186">
        <f>2*(D45/J45+1)+2*((D45+0.6)/J45+1)+((C45+2*E45)/J45+1)</f>
        <v>27</v>
      </c>
      <c r="P151" s="197">
        <f>+ROUNDUP(O151,0)</f>
        <v>27</v>
      </c>
      <c r="Q151" s="187">
        <f>+E151+E151/6*50*(G45/1000)</f>
        <v>0</v>
      </c>
      <c r="R151" s="189">
        <f>+N151*M151+P151*Q151</f>
        <v>0</v>
      </c>
      <c r="S151" s="196">
        <f>((I45*I45)/162)*R151</f>
        <v>0</v>
      </c>
      <c r="T151" s="153" t="s">
        <v>193</v>
      </c>
    </row>
    <row r="152" spans="2:20" hidden="1">
      <c r="B152" s="209"/>
      <c r="C152" s="209"/>
    </row>
    <row r="153" spans="2:20" hidden="1">
      <c r="B153" s="209" t="s">
        <v>191</v>
      </c>
      <c r="C153" s="210" t="s">
        <v>212</v>
      </c>
      <c r="E153" s="183"/>
      <c r="G153" s="195">
        <f>+E153*(C47+E47*2+1.5)</f>
        <v>0</v>
      </c>
      <c r="H153" s="195">
        <f>+E153*(C47+E47*2)*(D47+F47+F47)</f>
        <v>0</v>
      </c>
      <c r="I153" s="196">
        <f>+(C47+E47*2)*E153*F47</f>
        <v>0</v>
      </c>
      <c r="J153" s="196">
        <f>+E153*((C47+E47*2)*E47+(D47*E47*2))</f>
        <v>0</v>
      </c>
      <c r="K153" s="196">
        <f>+(D47+$K$104*(D47+E47))*E153*2</f>
        <v>0</v>
      </c>
      <c r="L153" s="186">
        <f>+(E153)/H47+ IF(E153&gt;0,1,0)</f>
        <v>0</v>
      </c>
      <c r="M153" s="197">
        <f>+ROUNDUP(L153,0)</f>
        <v>0</v>
      </c>
      <c r="N153" s="188">
        <f>+(D47+E47-0.08)*2+(C47+E47*2-0.08)</f>
        <v>2.36</v>
      </c>
      <c r="O153" s="186">
        <f>+N153/J47+1</f>
        <v>10.44</v>
      </c>
      <c r="P153" s="197">
        <f>+ROUNDUP(O153,0)</f>
        <v>11</v>
      </c>
      <c r="Q153" s="187">
        <f>+E153+E153/6*50*(G47/1000)</f>
        <v>0</v>
      </c>
      <c r="R153" s="189">
        <f>+N153*M153+P153*Q153</f>
        <v>0</v>
      </c>
      <c r="S153" s="196">
        <f>((I47*I47)/162)*R153</f>
        <v>0</v>
      </c>
      <c r="T153" s="153" t="s">
        <v>193</v>
      </c>
    </row>
    <row r="154" spans="2:20" hidden="1">
      <c r="B154" s="209"/>
      <c r="C154" s="209" t="s">
        <v>138</v>
      </c>
      <c r="D154" s="190">
        <f>ROUNDUP(+E153/K47,0)</f>
        <v>0</v>
      </c>
      <c r="E154" s="183"/>
      <c r="G154" s="198"/>
      <c r="H154" s="198"/>
      <c r="I154" s="199"/>
      <c r="J154" s="199">
        <f>0.5*(0.075+0.05)*0.075*C47*D154</f>
        <v>0</v>
      </c>
      <c r="K154" s="199">
        <f>+(0.075+0.08)*C47*D154</f>
        <v>0</v>
      </c>
      <c r="L154" s="192">
        <f>+D154</f>
        <v>0</v>
      </c>
      <c r="M154" s="197">
        <f>+ROUNDUP(L154,0)</f>
        <v>0</v>
      </c>
      <c r="N154" s="193">
        <f>+(C47-0.08)+((0.075+0.05-2*0.04)*2)</f>
        <v>1.01</v>
      </c>
      <c r="O154" s="192"/>
      <c r="P154" s="200"/>
      <c r="Q154" s="194"/>
      <c r="R154" s="189">
        <f>+N154*M154+P154*Q154</f>
        <v>0</v>
      </c>
      <c r="S154" s="196">
        <f>((I47*I47)/162)*R154</f>
        <v>0</v>
      </c>
      <c r="T154" s="153" t="s">
        <v>193</v>
      </c>
    </row>
    <row r="155" spans="2:20" hidden="1">
      <c r="B155" s="209"/>
      <c r="C155" s="209"/>
      <c r="E155" s="183"/>
      <c r="M155" s="203"/>
    </row>
    <row r="156" spans="2:20" hidden="1">
      <c r="B156" s="209" t="s">
        <v>191</v>
      </c>
      <c r="C156" s="210" t="s">
        <v>213</v>
      </c>
      <c r="E156" s="183"/>
      <c r="G156" s="195">
        <f>+E156*(C50+E50*2+1.5)</f>
        <v>0</v>
      </c>
      <c r="H156" s="195">
        <f>+E156*(C50+E50*2)*(D50+F50+F50)</f>
        <v>0</v>
      </c>
      <c r="I156" s="196">
        <f>+(C50+E50*2)*E156*F50</f>
        <v>0</v>
      </c>
      <c r="J156" s="196">
        <f>+E156*((C50+E50*2)*E50+(D50*E50*2))</f>
        <v>0</v>
      </c>
      <c r="K156" s="196">
        <f>+(D50+$K$104*(D50+E50))*E156*2</f>
        <v>0</v>
      </c>
      <c r="L156" s="186">
        <f>+(E156)/H50+ IF(E156&gt;0,1,0)</f>
        <v>0</v>
      </c>
      <c r="M156" s="197">
        <f>+ROUNDUP(L156,0)</f>
        <v>0</v>
      </c>
      <c r="N156" s="188">
        <f>+(D50+E50-0.08)*2+(C50+E50*2-0.08)</f>
        <v>2.8600000000000003</v>
      </c>
      <c r="O156" s="186">
        <f>+N156/J50+1</f>
        <v>12.440000000000001</v>
      </c>
      <c r="P156" s="197">
        <f>+ROUNDUP(O156,0)</f>
        <v>13</v>
      </c>
      <c r="Q156" s="187">
        <f>+E156+E156/6*50*(G50/1000)</f>
        <v>0</v>
      </c>
      <c r="R156" s="189">
        <f>+N156*M156+P156*Q156</f>
        <v>0</v>
      </c>
      <c r="S156" s="196">
        <f>((I50*I50)/162)*R156</f>
        <v>0</v>
      </c>
      <c r="T156" s="153" t="s">
        <v>193</v>
      </c>
    </row>
    <row r="157" spans="2:20" hidden="1">
      <c r="B157" s="209"/>
      <c r="C157" s="209" t="s">
        <v>138</v>
      </c>
      <c r="D157" s="190">
        <f>ROUNDUP(+E156/K50,0)</f>
        <v>0</v>
      </c>
      <c r="E157" s="183"/>
      <c r="G157" s="198"/>
      <c r="H157" s="198"/>
      <c r="I157" s="199"/>
      <c r="J157" s="199">
        <f>0.5*(0.075+0.05)*0.075*C50*D157</f>
        <v>0</v>
      </c>
      <c r="K157" s="199">
        <f>+(0.075+0.08)*C50*D157</f>
        <v>0</v>
      </c>
      <c r="L157" s="192">
        <f>+D157</f>
        <v>0</v>
      </c>
      <c r="M157" s="197">
        <f>+ROUNDUP(L157,0)</f>
        <v>0</v>
      </c>
      <c r="N157" s="193">
        <f>+(C50-0.08)+((0.075+0.05-2*0.04)*2)</f>
        <v>1.01</v>
      </c>
      <c r="O157" s="192"/>
      <c r="P157" s="200"/>
      <c r="Q157" s="194"/>
      <c r="R157" s="189">
        <f>+N157*M157+P157*Q157</f>
        <v>0</v>
      </c>
      <c r="S157" s="196">
        <f>((I50*I50)/162)*R157</f>
        <v>0</v>
      </c>
      <c r="T157" s="153" t="s">
        <v>193</v>
      </c>
    </row>
    <row r="158" spans="2:20" hidden="1">
      <c r="B158" s="209"/>
      <c r="C158" s="209"/>
    </row>
    <row r="159" spans="2:20" hidden="1">
      <c r="B159" s="209" t="s">
        <v>191</v>
      </c>
      <c r="C159" s="210" t="s">
        <v>214</v>
      </c>
      <c r="E159" s="183"/>
      <c r="G159" s="195">
        <f>+E159*(C53+E53*2+1.5)</f>
        <v>0</v>
      </c>
      <c r="H159" s="195">
        <f>+E159*(C53+E53*2)*(D53+F53+F53)</f>
        <v>0</v>
      </c>
      <c r="I159" s="196">
        <f>+(C53+E53*2)*E159*F53</f>
        <v>0</v>
      </c>
      <c r="J159" s="196">
        <f>+E159*((C53+E53*2)*E53+(D53*E53*2))</f>
        <v>0</v>
      </c>
      <c r="K159" s="196">
        <f>+(D53+$K$104*(D53+E53))*E159*2</f>
        <v>0</v>
      </c>
      <c r="L159" s="186">
        <f>+(E159)/H53+ IF(E159&gt;0,1,0)</f>
        <v>0</v>
      </c>
      <c r="M159" s="197">
        <f>+ROUNDUP(L159,0)</f>
        <v>0</v>
      </c>
      <c r="N159" s="188">
        <f>+(E53+D53+E53+C53+2*E53+D53+2*E53-0.04*10)+(E53+D53+2*E53-5*0.04)*2+(C53+4*E53-6*0.04)</f>
        <v>6.96</v>
      </c>
      <c r="O159" s="186">
        <f>(2*(D53+E53)+(C53+2*E53)-6*0.04)/J53*2</f>
        <v>26.08</v>
      </c>
      <c r="P159" s="197">
        <f>+ROUNDUP(O159,0)</f>
        <v>27</v>
      </c>
      <c r="Q159" s="187">
        <f>+E159+E159/6*50*(G53/1000)</f>
        <v>0</v>
      </c>
      <c r="R159" s="189">
        <f>+N159*M159+P159*Q159</f>
        <v>0</v>
      </c>
      <c r="S159" s="196">
        <f>((I53*I53)/162)*R159</f>
        <v>0</v>
      </c>
      <c r="T159" s="153" t="s">
        <v>193</v>
      </c>
    </row>
    <row r="160" spans="2:20" hidden="1">
      <c r="B160" s="209"/>
      <c r="C160" s="209" t="s">
        <v>138</v>
      </c>
      <c r="D160" s="190">
        <f>ROUNDUP(+E159/K53,0)</f>
        <v>0</v>
      </c>
      <c r="E160" s="183"/>
      <c r="G160" s="198"/>
      <c r="H160" s="198"/>
      <c r="I160" s="199"/>
      <c r="J160" s="199">
        <f>0.5*(0.075+0.05)*0.075*C53*D160</f>
        <v>0</v>
      </c>
      <c r="K160" s="199">
        <f>+(0.075+0.08)*C53*D160</f>
        <v>0</v>
      </c>
      <c r="L160" s="192">
        <f>+D160</f>
        <v>0</v>
      </c>
      <c r="M160" s="197">
        <f>+ROUNDUP(L160,0)</f>
        <v>0</v>
      </c>
      <c r="N160" s="193">
        <f>+(C53-0.08)+((0.075+0.05-2*0.04)*2)</f>
        <v>1.01</v>
      </c>
      <c r="O160" s="192"/>
      <c r="P160" s="200"/>
      <c r="Q160" s="194"/>
      <c r="R160" s="189">
        <f>+N160*M160+P160*Q160</f>
        <v>0</v>
      </c>
      <c r="S160" s="196">
        <f>((I53*I53)/162)*R160</f>
        <v>0</v>
      </c>
      <c r="T160" s="153" t="s">
        <v>193</v>
      </c>
    </row>
    <row r="161" spans="2:20" hidden="1">
      <c r="B161" s="209"/>
      <c r="C161" s="209"/>
    </row>
    <row r="162" spans="2:20" hidden="1">
      <c r="B162" s="209" t="s">
        <v>191</v>
      </c>
      <c r="C162" s="210" t="s">
        <v>215</v>
      </c>
      <c r="E162" s="183"/>
      <c r="G162" s="195">
        <f>+E162*(C56+E56*2+1.5)</f>
        <v>0</v>
      </c>
      <c r="H162" s="195">
        <f>+E162*(C56+E56*2)*(D56+F56+F56)</f>
        <v>0</v>
      </c>
      <c r="I162" s="196">
        <f>+(C56+E56*2)*E162*F56</f>
        <v>0</v>
      </c>
      <c r="J162" s="196">
        <f>+E162*((C56+E56*2)*E56+(D56*E56*2))</f>
        <v>0</v>
      </c>
      <c r="K162" s="196">
        <f>+(D56+$K$104*(D56+E56))*E162*2</f>
        <v>0</v>
      </c>
      <c r="L162" s="186">
        <f>+(E162)/H56+ IF(E162&gt;0,1,0)</f>
        <v>0</v>
      </c>
      <c r="M162" s="197">
        <f>+ROUNDUP(L162,0)</f>
        <v>0</v>
      </c>
      <c r="N162" s="188">
        <f>+(E56+D56+E56+C56+2*E56+D56+2*E56-0.04*10)+(E56+D56+2*E56-5*0.04)*2+(C56+4*E56-6*0.04)</f>
        <v>6.96</v>
      </c>
      <c r="O162" s="186">
        <f>(2*(D56+E56)+(C56+2*E56)-6*0.04)/J56*2</f>
        <v>26.08</v>
      </c>
      <c r="P162" s="197">
        <f>+ROUNDUP(O162,0)</f>
        <v>27</v>
      </c>
      <c r="Q162" s="187">
        <f>+E162+E162/6*50*(G56/1000)</f>
        <v>0</v>
      </c>
      <c r="R162" s="189">
        <f>+N162*M162+P162*Q162</f>
        <v>0</v>
      </c>
      <c r="S162" s="196">
        <f>((I56*I56)/162)*R162</f>
        <v>0</v>
      </c>
      <c r="T162" s="153" t="s">
        <v>193</v>
      </c>
    </row>
    <row r="163" spans="2:20" hidden="1">
      <c r="B163" s="209"/>
      <c r="C163" s="209" t="s">
        <v>138</v>
      </c>
      <c r="D163" s="190">
        <f>ROUNDUP(+E162/K56,0)</f>
        <v>0</v>
      </c>
      <c r="E163" s="183"/>
      <c r="G163" s="198"/>
      <c r="H163" s="198"/>
      <c r="I163" s="199"/>
      <c r="J163" s="199">
        <f>0.5*(0.075+0.05)*0.075*C56*D163</f>
        <v>0</v>
      </c>
      <c r="K163" s="199">
        <f>+(0.075+0.08)*C56*D163</f>
        <v>0</v>
      </c>
      <c r="L163" s="192">
        <f>+D163</f>
        <v>0</v>
      </c>
      <c r="M163" s="197">
        <f>+ROUNDUP(L163,0)</f>
        <v>0</v>
      </c>
      <c r="N163" s="193">
        <f>+(C56-0.08)+((0.075+0.05-2*0.04)*2)</f>
        <v>1.01</v>
      </c>
      <c r="O163" s="192"/>
      <c r="P163" s="200"/>
      <c r="Q163" s="194"/>
      <c r="R163" s="189">
        <f>+N163*M163+P163*Q163</f>
        <v>0</v>
      </c>
      <c r="S163" s="196">
        <f>((I56*I56)/162)*R163</f>
        <v>0</v>
      </c>
      <c r="T163" s="153" t="s">
        <v>193</v>
      </c>
    </row>
    <row r="164" spans="2:20" hidden="1">
      <c r="B164" s="209"/>
      <c r="C164" s="209"/>
    </row>
    <row r="165" spans="2:20" hidden="1">
      <c r="B165" s="226" t="s">
        <v>216</v>
      </c>
      <c r="C165" s="210" t="s">
        <v>217</v>
      </c>
      <c r="E165" s="183"/>
      <c r="G165" s="195">
        <f>+E165*(C59+E59*2+1)</f>
        <v>0</v>
      </c>
      <c r="H165" s="195">
        <f>(+E165*(C59+E59*2)*(D59+F59+F59))*50%</f>
        <v>0</v>
      </c>
      <c r="I165" s="196">
        <f>+(C59+E59*2)*E165*F59</f>
        <v>0</v>
      </c>
      <c r="J165" s="196">
        <f>+E165*((C59+E59*2+0.06)*E59+(D59*E59*2))</f>
        <v>0</v>
      </c>
      <c r="K165" s="196">
        <f>+(D59+(D59+E59))*E165*2</f>
        <v>0</v>
      </c>
      <c r="L165" s="186">
        <f>+(E165)/H59+ IF(E165&gt;0,1,0)</f>
        <v>0</v>
      </c>
      <c r="M165" s="197">
        <f>+ROUNDUP(L165,0)</f>
        <v>0</v>
      </c>
      <c r="N165" s="188">
        <f>+(D59+E59-0.08)*2+(C59+E59*2-0.08)</f>
        <v>1.5100000000000002</v>
      </c>
      <c r="O165" s="186">
        <f>+N165/J59+1</f>
        <v>7.0400000000000009</v>
      </c>
      <c r="P165" s="197">
        <f>+ROUNDUP(O165,0)</f>
        <v>8</v>
      </c>
      <c r="Q165" s="187">
        <f>+E165+E165/6*50*(G59/1000)</f>
        <v>0</v>
      </c>
      <c r="R165" s="189">
        <f>+N165*M165+P165*Q165</f>
        <v>0</v>
      </c>
      <c r="S165" s="196">
        <f>((I59*I59)/162)*R165</f>
        <v>0</v>
      </c>
      <c r="T165" s="153" t="s">
        <v>193</v>
      </c>
    </row>
    <row r="166" spans="2:20" hidden="1">
      <c r="B166" s="209"/>
      <c r="C166" s="209" t="s">
        <v>218</v>
      </c>
      <c r="D166" s="190">
        <f>ROUNDUP(+(E165/SQRT(L59^2+M59^2)),0)</f>
        <v>0</v>
      </c>
      <c r="E166" s="183"/>
      <c r="G166" s="198"/>
      <c r="H166" s="198"/>
      <c r="I166" s="199"/>
      <c r="J166" s="199">
        <f>0.5*(0.075+0.05)*0.075*C59*D166</f>
        <v>0</v>
      </c>
      <c r="K166" s="199">
        <f>+M59*C59*D166</f>
        <v>0</v>
      </c>
      <c r="L166" s="192"/>
      <c r="M166" s="197">
        <f>+ROUNDUP(L166,0)</f>
        <v>0</v>
      </c>
      <c r="N166" s="193"/>
      <c r="O166" s="192"/>
      <c r="P166" s="200"/>
      <c r="Q166" s="194"/>
      <c r="R166" s="189">
        <f>+N166*M166+P166*Q166</f>
        <v>0</v>
      </c>
      <c r="S166" s="196">
        <f>((I59*I59)/162)*R166</f>
        <v>0</v>
      </c>
    </row>
    <row r="167" spans="2:20" hidden="1">
      <c r="B167" s="209"/>
      <c r="C167" s="209" t="s">
        <v>219</v>
      </c>
      <c r="D167" s="153">
        <f>ROUNDUP(+E165/1,0)</f>
        <v>0</v>
      </c>
    </row>
    <row r="168" spans="2:20">
      <c r="B168" s="209"/>
      <c r="C168" s="209"/>
    </row>
    <row r="169" spans="2:20">
      <c r="B169" s="226" t="s">
        <v>216</v>
      </c>
      <c r="C169" s="210" t="s">
        <v>220</v>
      </c>
      <c r="E169" s="183">
        <v>221</v>
      </c>
      <c r="G169" s="184">
        <f>+E169*(C63+E63*2+1)</f>
        <v>364.65</v>
      </c>
      <c r="H169" s="184">
        <f>(+E169*(C63+E63*2)*(D63+F63+F63))*50%</f>
        <v>50.277500000000003</v>
      </c>
      <c r="I169" s="185">
        <f>+(C63+E63*2)*E169*F63</f>
        <v>7.182500000000001</v>
      </c>
      <c r="J169" s="185">
        <f>+E169*((C63+E63*2+0.06)*E63+(D63*E63*2))</f>
        <v>42.210999999999999</v>
      </c>
      <c r="K169" s="185">
        <f>+(D63+(D63+E63))*E169*2</f>
        <v>574.59999999999991</v>
      </c>
      <c r="L169" s="186">
        <f>+(E169)/H63+ IF(E169&gt;0,1,0)</f>
        <v>885</v>
      </c>
      <c r="M169" s="187">
        <f>+ROUNDUP(L169,0)</f>
        <v>885</v>
      </c>
      <c r="N169" s="188">
        <f>+(D63+E63-0.08)*2+(C63+E63*2-0.08)</f>
        <v>1.81</v>
      </c>
      <c r="O169" s="186">
        <f>+N169/J63+1</f>
        <v>8.24</v>
      </c>
      <c r="P169" s="187">
        <f>+ROUNDUP(O169,0)</f>
        <v>9</v>
      </c>
      <c r="Q169" s="187">
        <f>+E169+E169/6*50*(G63/1000)</f>
        <v>239.41666666666666</v>
      </c>
      <c r="R169" s="189">
        <f>+N169*M169+P169*Q169</f>
        <v>3756.6000000000004</v>
      </c>
      <c r="S169" s="185">
        <f>((I63*I63)/162)*R169</f>
        <v>2318.8888888888891</v>
      </c>
      <c r="T169" s="153" t="s">
        <v>193</v>
      </c>
    </row>
    <row r="170" spans="2:20">
      <c r="B170" s="209"/>
      <c r="C170" s="209" t="s">
        <v>218</v>
      </c>
      <c r="D170" s="190">
        <f>ROUNDUP(+(E169/SQRT(L63^2+M63^2)),0)</f>
        <v>569</v>
      </c>
      <c r="E170" s="183"/>
      <c r="G170" s="191"/>
      <c r="H170" s="191"/>
      <c r="I170" s="190"/>
      <c r="J170" s="190">
        <f>0.5*(0.075+0.05)*0.075*C63*D170</f>
        <v>1.2002343750000002</v>
      </c>
      <c r="K170" s="190">
        <f>+M63*C63*D170</f>
        <v>70.413750000000007</v>
      </c>
      <c r="L170" s="192"/>
      <c r="M170" s="187">
        <f>+ROUNDUP(L170,0)</f>
        <v>0</v>
      </c>
      <c r="N170" s="193"/>
      <c r="O170" s="192"/>
      <c r="P170" s="194"/>
      <c r="Q170" s="194"/>
      <c r="R170" s="189">
        <f>+N170*M170+P170*Q170</f>
        <v>0</v>
      </c>
      <c r="S170" s="185">
        <f>((I63*I63)/162)*R170</f>
        <v>0</v>
      </c>
    </row>
    <row r="171" spans="2:20">
      <c r="B171" s="209"/>
      <c r="C171" s="209" t="s">
        <v>219</v>
      </c>
      <c r="D171" s="153">
        <f>ROUNDUP(+E169/1,0)</f>
        <v>221</v>
      </c>
    </row>
    <row r="172" spans="2:20">
      <c r="B172" s="209"/>
      <c r="C172" s="209"/>
      <c r="K172" s="185"/>
    </row>
    <row r="173" spans="2:20" hidden="1">
      <c r="B173" s="226" t="s">
        <v>216</v>
      </c>
      <c r="C173" s="210" t="s">
        <v>221</v>
      </c>
      <c r="E173" s="183">
        <v>73.25</v>
      </c>
      <c r="G173" s="184">
        <f>+E173*(C67+E67*2+1)</f>
        <v>131.85</v>
      </c>
      <c r="H173" s="184">
        <f>(+E173*(C67+E67*2)*(D67+F67+F67))*50%</f>
        <v>20.51</v>
      </c>
      <c r="I173" s="185">
        <f>+(C67+E67*2)*E173*F67</f>
        <v>2.93</v>
      </c>
      <c r="J173" s="185">
        <f>+E173*((C67+E67*2+0.06)*E67+(D67*E67*2))</f>
        <v>15.089500000000001</v>
      </c>
      <c r="K173" s="185">
        <f>+(D67+(D67+E67))*E173*2</f>
        <v>190.44999999999996</v>
      </c>
      <c r="L173" s="186">
        <f>+(E173)/H67+ IF(E173&gt;0,1,0)</f>
        <v>294</v>
      </c>
      <c r="M173" s="187">
        <f>+ROUNDUP(L173,0)</f>
        <v>294</v>
      </c>
      <c r="N173" s="188">
        <f>+(D67+E67-0.08)*2+(C67+E67*2-0.08)</f>
        <v>1.96</v>
      </c>
      <c r="O173" s="186">
        <f>+N173/J67+1</f>
        <v>8.84</v>
      </c>
      <c r="P173" s="187">
        <f>+ROUNDUP(O173,0)</f>
        <v>9</v>
      </c>
      <c r="Q173" s="187">
        <f>+E173+E173/6*50*(G67/1000)</f>
        <v>79.354166666666671</v>
      </c>
      <c r="R173" s="189">
        <f>+N173*M173+P173*Q173</f>
        <v>1290.4275</v>
      </c>
      <c r="S173" s="185">
        <f>((I67*I67)/162)*R173</f>
        <v>796.56018518518511</v>
      </c>
      <c r="T173" s="153" t="s">
        <v>193</v>
      </c>
    </row>
    <row r="174" spans="2:20" hidden="1">
      <c r="C174" s="153" t="s">
        <v>218</v>
      </c>
      <c r="D174" s="190">
        <f>ROUNDUP(+(E173/SQRT(L67^2+M67^2)),0)</f>
        <v>189</v>
      </c>
      <c r="E174" s="183"/>
      <c r="G174" s="191"/>
      <c r="H174" s="191"/>
      <c r="I174" s="190"/>
      <c r="J174" s="190">
        <f>0.5*(0.075+0.05)*0.075*C67*D174</f>
        <v>0.53156249999999994</v>
      </c>
      <c r="K174" s="190">
        <f>+M67*C67*D174</f>
        <v>31.185000000000002</v>
      </c>
      <c r="L174" s="192"/>
      <c r="M174" s="187">
        <f>+ROUNDUP(L174,0)</f>
        <v>0</v>
      </c>
      <c r="N174" s="193"/>
      <c r="O174" s="192"/>
      <c r="P174" s="194"/>
      <c r="Q174" s="194"/>
      <c r="R174" s="189">
        <f>+N174*M174+P174*Q174</f>
        <v>0</v>
      </c>
      <c r="S174" s="185">
        <f>((I67*I67)/162)*R174</f>
        <v>0</v>
      </c>
    </row>
    <row r="175" spans="2:20" hidden="1">
      <c r="C175" s="153" t="s">
        <v>219</v>
      </c>
      <c r="D175" s="153">
        <f>ROUNDUP(+E173/1,0)</f>
        <v>74</v>
      </c>
    </row>
    <row r="176" spans="2:20" hidden="1"/>
    <row r="177" spans="2:20" hidden="1">
      <c r="B177" s="204" t="s">
        <v>216</v>
      </c>
      <c r="C177" s="177" t="s">
        <v>222</v>
      </c>
      <c r="E177" s="183">
        <v>8.6</v>
      </c>
      <c r="G177" s="195">
        <f>+E177*(C71+E71*2+1)</f>
        <v>17.2</v>
      </c>
      <c r="H177" s="195">
        <f>(+E177*(C71+E71*2)*(D71+F71+F71))*50%</f>
        <v>3.8700000000000006</v>
      </c>
      <c r="I177" s="196">
        <f>+(C71+E71*2)*E177*F71</f>
        <v>0.43</v>
      </c>
      <c r="J177" s="196">
        <f>+E177*((C71+E71*2+0.06)*E71+(D71*E71*2))</f>
        <v>2.2875999999999999</v>
      </c>
      <c r="K177" s="196">
        <f>+(D71+(D71+E71))*E177*2</f>
        <v>29.240000000000002</v>
      </c>
      <c r="L177" s="186">
        <f>+(E177)/H71+ IF(E177&gt;0,1,0)</f>
        <v>35.4</v>
      </c>
      <c r="M177" s="197">
        <f>+ROUNDUP(L177,0)</f>
        <v>36</v>
      </c>
      <c r="N177" s="188">
        <f>+(D71+E71-0.08)*2+(C71+E71*2-0.08)</f>
        <v>2.56</v>
      </c>
      <c r="O177" s="186">
        <f>+N177/J71+1</f>
        <v>11.24</v>
      </c>
      <c r="P177" s="197">
        <f>+ROUNDUP(O177,0)</f>
        <v>12</v>
      </c>
      <c r="Q177" s="187">
        <f>+E177+E177/6*50*(G71/1000)</f>
        <v>9.3166666666666664</v>
      </c>
      <c r="R177" s="189">
        <f>+N177*M177+P177*Q177</f>
        <v>203.95999999999998</v>
      </c>
      <c r="S177" s="196">
        <f>((I71*I71)/162)*R177</f>
        <v>125.90123456790121</v>
      </c>
      <c r="T177" s="153" t="s">
        <v>193</v>
      </c>
    </row>
    <row r="178" spans="2:20" hidden="1">
      <c r="C178" s="153" t="s">
        <v>218</v>
      </c>
      <c r="D178" s="190">
        <f>ROUNDUP(+(E177/SQRT(L71^2+M71^2)),0)</f>
        <v>23</v>
      </c>
      <c r="E178" s="183"/>
      <c r="G178" s="198"/>
      <c r="H178" s="198"/>
      <c r="I178" s="199"/>
      <c r="J178" s="199">
        <f>0.5*(0.075+0.05)*0.075*C71*D178</f>
        <v>8.6249999999999993E-2</v>
      </c>
      <c r="K178" s="199">
        <f>+M71*C71*D178</f>
        <v>5.0600000000000005</v>
      </c>
      <c r="L178" s="192"/>
      <c r="M178" s="197">
        <f>+ROUNDUP(L178,0)</f>
        <v>0</v>
      </c>
      <c r="N178" s="193"/>
      <c r="O178" s="192"/>
      <c r="P178" s="200"/>
      <c r="Q178" s="194"/>
      <c r="R178" s="189">
        <f>+N178*M178+P178*Q178</f>
        <v>0</v>
      </c>
      <c r="S178" s="196">
        <f>((I71*I71)/162)*R178</f>
        <v>0</v>
      </c>
    </row>
    <row r="179" spans="2:20" hidden="1">
      <c r="C179" s="153" t="s">
        <v>219</v>
      </c>
      <c r="D179" s="153">
        <f>ROUNDUP(+E177/1,0)</f>
        <v>9</v>
      </c>
      <c r="H179" s="190"/>
    </row>
    <row r="180" spans="2:20" hidden="1"/>
    <row r="181" spans="2:20" hidden="1">
      <c r="B181" s="211" t="s">
        <v>216</v>
      </c>
      <c r="C181" s="210" t="s">
        <v>223</v>
      </c>
      <c r="D181" s="209"/>
      <c r="E181" s="183">
        <v>13.83</v>
      </c>
      <c r="G181" s="195">
        <f>+E181*(C75+E75*2+1)</f>
        <v>31.1175</v>
      </c>
      <c r="H181" s="195">
        <f>(+E181*(C75+E75*2)*(D75+F75+F75))*50%</f>
        <v>9.5081250000000015</v>
      </c>
      <c r="I181" s="196">
        <f>+(C75+E75*2)*E181*F75</f>
        <v>0.86437500000000012</v>
      </c>
      <c r="J181" s="196">
        <f>+E181*((C75+E75*2+0.06)*E75+(D75*E75*2))</f>
        <v>5.7221625000000005</v>
      </c>
      <c r="K181" s="196">
        <f>+(D75+(D75+E75))*E181*2</f>
        <v>58.777500000000003</v>
      </c>
      <c r="L181" s="186">
        <f>+(E181)/H75+ IF(E181&gt;0,1,0)</f>
        <v>56.32</v>
      </c>
      <c r="M181" s="197">
        <f>+ROUNDUP(L181,0)</f>
        <v>57</v>
      </c>
      <c r="N181" s="188">
        <f>+(D75+E75-0.08)*2+(C75+E75*2-0.08)</f>
        <v>3.26</v>
      </c>
      <c r="O181" s="186">
        <f>+N181/J75+1</f>
        <v>14.04</v>
      </c>
      <c r="P181" s="197">
        <f>+ROUNDUP(O181,0)</f>
        <v>15</v>
      </c>
      <c r="Q181" s="187">
        <f>+E181+E181/6*50*(G75/1000)</f>
        <v>14.9825</v>
      </c>
      <c r="R181" s="189">
        <f>+N181*M181+P181*Q181</f>
        <v>410.5575</v>
      </c>
      <c r="S181" s="196">
        <f>((I75*I75)/162)*R181</f>
        <v>253.43055555555554</v>
      </c>
      <c r="T181" s="153" t="s">
        <v>193</v>
      </c>
    </row>
    <row r="182" spans="2:20" hidden="1">
      <c r="B182" s="209"/>
      <c r="C182" s="209" t="s">
        <v>218</v>
      </c>
      <c r="D182" s="212">
        <f>ROUNDUP(+(E181/SQRT(L75^2+M75^2)),0)</f>
        <v>36</v>
      </c>
      <c r="E182" s="183"/>
      <c r="G182" s="198"/>
      <c r="H182" s="198"/>
      <c r="I182" s="199"/>
      <c r="J182" s="199">
        <f>0.5*(0.075+0.05)*0.075*C75*D182</f>
        <v>0.16874999999999998</v>
      </c>
      <c r="K182" s="199">
        <f>+M75*C75*D182</f>
        <v>9.9</v>
      </c>
      <c r="L182" s="192"/>
      <c r="M182" s="197">
        <f>+ROUNDUP(L182,0)</f>
        <v>0</v>
      </c>
      <c r="N182" s="193"/>
      <c r="O182" s="192"/>
      <c r="P182" s="200"/>
      <c r="Q182" s="194"/>
      <c r="R182" s="189">
        <f>+N182*M182+P182*Q182</f>
        <v>0</v>
      </c>
      <c r="S182" s="196">
        <f>((I75*I75)/162)*R182</f>
        <v>0</v>
      </c>
    </row>
    <row r="183" spans="2:20" hidden="1">
      <c r="C183" s="153" t="s">
        <v>219</v>
      </c>
      <c r="D183" s="153">
        <f>ROUNDUP(+E181/1,0)</f>
        <v>14</v>
      </c>
    </row>
    <row r="184" spans="2:20" hidden="1"/>
    <row r="185" spans="2:20" hidden="1">
      <c r="B185" s="204" t="s">
        <v>224</v>
      </c>
      <c r="C185" s="177" t="s">
        <v>217</v>
      </c>
      <c r="E185" s="183">
        <v>100</v>
      </c>
      <c r="G185" s="195">
        <f>+E185*(C79+E79*2+1)</f>
        <v>165</v>
      </c>
      <c r="H185" s="195">
        <f>0.5*L79*M79*D186</f>
        <v>20.25</v>
      </c>
      <c r="I185" s="196">
        <f>+(L79*(C79+2*E79)*D186*E79)</f>
        <v>5.8500000000000014</v>
      </c>
      <c r="J185" s="196">
        <f>+D186*(L79+M79)*E79*(C79+2*E79)+D186*((L79+M79)*E79*D79)*2</f>
        <v>20.925000000000001</v>
      </c>
      <c r="K185" s="196">
        <f>+(D79+(D79+E79))*E185*2</f>
        <v>200</v>
      </c>
      <c r="L185" s="186">
        <f>+(D186*(L79+M79))/H79+ IF(E185&gt;0,1,0)</f>
        <v>541</v>
      </c>
      <c r="M185" s="197">
        <f>+ROUNDUP(L185,0)</f>
        <v>541</v>
      </c>
      <c r="N185" s="188">
        <f>+(D79+E79-0.08)*2+(C79+E79*2-0.08)</f>
        <v>1.5100000000000002</v>
      </c>
      <c r="O185" s="186">
        <f>+N185/J79+1</f>
        <v>7.0400000000000009</v>
      </c>
      <c r="P185" s="197">
        <f>+ROUNDUP(O185,0)</f>
        <v>8</v>
      </c>
      <c r="Q185" s="187">
        <f>+(L79+M79-2*0.04)*D186+(((L79+M79-2*0.04)*D186)/6*50*(I79/1000))</f>
        <v>137.58333333333334</v>
      </c>
      <c r="R185" s="189">
        <f>+N185*M185+P185*Q185</f>
        <v>1917.5766666666668</v>
      </c>
      <c r="S185" s="196">
        <f>((I79*I79)/162)*R185</f>
        <v>1183.6893004115227</v>
      </c>
      <c r="T185" s="153" t="s">
        <v>193</v>
      </c>
    </row>
    <row r="186" spans="2:20" hidden="1">
      <c r="C186" s="153" t="s">
        <v>218</v>
      </c>
      <c r="D186" s="190">
        <f>ROUNDUP(+(E185/SQRT(L79^2+M79^2)),0)</f>
        <v>100</v>
      </c>
      <c r="E186" s="183"/>
      <c r="G186" s="198"/>
      <c r="H186" s="198"/>
      <c r="I186" s="199"/>
      <c r="J186" s="199"/>
      <c r="K186" s="199"/>
      <c r="L186" s="192"/>
      <c r="M186" s="197"/>
      <c r="N186" s="193"/>
      <c r="O186" s="192"/>
      <c r="P186" s="200"/>
      <c r="Q186" s="194"/>
      <c r="R186" s="189"/>
      <c r="S186" s="196"/>
    </row>
    <row r="187" spans="2:20" hidden="1">
      <c r="C187" s="153" t="s">
        <v>219</v>
      </c>
      <c r="D187" s="153">
        <f>ROUNDUP(+E185/1,0)</f>
        <v>100</v>
      </c>
    </row>
    <row r="188" spans="2:20" hidden="1"/>
    <row r="189" spans="2:20" hidden="1">
      <c r="B189" s="204" t="s">
        <v>224</v>
      </c>
      <c r="C189" s="177" t="s">
        <v>220</v>
      </c>
      <c r="E189" s="183">
        <v>28.19</v>
      </c>
      <c r="G189" s="195">
        <f>+E189*(C83+E83*2+1)</f>
        <v>46.513500000000001</v>
      </c>
      <c r="H189" s="195">
        <f>0.5*L83*M83*D190</f>
        <v>5.8725000000000005</v>
      </c>
      <c r="I189" s="196">
        <f>+(L83*(C83+2*E83)*D190*E83)</f>
        <v>1.6965000000000003</v>
      </c>
      <c r="J189" s="196">
        <f>+D190*(L83+M83)*E83*(C83+2*E83)+D190*((L83+M83)*E83*D83)*2</f>
        <v>7.2427500000000009</v>
      </c>
      <c r="K189" s="196">
        <f>+(D83+(D83+E83))*E189*2</f>
        <v>73.293999999999997</v>
      </c>
      <c r="L189" s="186">
        <f>+(D190*(L83+M83))/H83+ IF(E189&gt;0,1,0)</f>
        <v>157.60000000000002</v>
      </c>
      <c r="M189" s="197">
        <f>+ROUNDUP(L189,0)</f>
        <v>158</v>
      </c>
      <c r="N189" s="188">
        <f>+(D83+E83-0.08)*2+(C83+E83*2-0.08)</f>
        <v>1.81</v>
      </c>
      <c r="O189" s="186">
        <f>+N189/J83+1</f>
        <v>8.24</v>
      </c>
      <c r="P189" s="197">
        <f>+ROUNDUP(O189,0)</f>
        <v>9</v>
      </c>
      <c r="Q189" s="187">
        <f>+(L83+M83-2*0.04)*D190+(((L83+M83-2*0.04)*D190)/6*50*(I83/1000))</f>
        <v>39.899166666666666</v>
      </c>
      <c r="R189" s="189">
        <f>+N189*M189+P189*Q189</f>
        <v>645.07249999999999</v>
      </c>
      <c r="S189" s="196">
        <f>((I83*I83)/162)*R189</f>
        <v>398.1929012345679</v>
      </c>
      <c r="T189" s="153" t="s">
        <v>193</v>
      </c>
    </row>
    <row r="190" spans="2:20" hidden="1">
      <c r="C190" s="153" t="s">
        <v>218</v>
      </c>
      <c r="D190" s="190">
        <f>ROUNDUP(+(E189/SQRT(L83^2+M83^2)),0)</f>
        <v>29</v>
      </c>
      <c r="E190" s="183"/>
      <c r="G190" s="198"/>
      <c r="H190" s="198"/>
      <c r="I190" s="199"/>
      <c r="J190" s="199"/>
      <c r="K190" s="199"/>
      <c r="L190" s="192"/>
      <c r="M190" s="197"/>
      <c r="N190" s="193"/>
      <c r="O190" s="192"/>
      <c r="P190" s="200"/>
      <c r="Q190" s="194"/>
      <c r="R190" s="189"/>
      <c r="S190" s="196"/>
    </row>
    <row r="191" spans="2:20" hidden="1">
      <c r="C191" s="153" t="s">
        <v>219</v>
      </c>
      <c r="D191" s="153">
        <f>ROUNDUP(+E189/1,0)</f>
        <v>29</v>
      </c>
    </row>
    <row r="192" spans="2:20" hidden="1"/>
    <row r="193" spans="2:20" hidden="1">
      <c r="B193" s="204" t="s">
        <v>224</v>
      </c>
      <c r="C193" s="177" t="s">
        <v>221</v>
      </c>
      <c r="E193" s="183">
        <v>100</v>
      </c>
      <c r="G193" s="195">
        <f>+E193*(C87+E87*2+1)</f>
        <v>180</v>
      </c>
      <c r="H193" s="195">
        <f>0.5*L87*M87*D194</f>
        <v>20.25</v>
      </c>
      <c r="I193" s="196">
        <f>+(L87*(C87+2*E87)*D194*E87)</f>
        <v>7.200000000000002</v>
      </c>
      <c r="J193" s="196">
        <f>+D194*(L87+M87)*E87*(C87+2*E87)+D194*((L87+M87)*E87*D87)*2</f>
        <v>27</v>
      </c>
      <c r="K193" s="196">
        <f>+(D87+(D87+E87))*E193*2</f>
        <v>259.99999999999994</v>
      </c>
      <c r="L193" s="186">
        <f>+(D194*(L87+M87))/H87+ IF(E193&gt;0,1,0)</f>
        <v>541</v>
      </c>
      <c r="M193" s="197">
        <f>+ROUNDUP(L193,0)</f>
        <v>541</v>
      </c>
      <c r="N193" s="188">
        <f>+(D87+E87-0.08)*2+(C87+E87*2-0.08)</f>
        <v>1.96</v>
      </c>
      <c r="O193" s="186">
        <f>+N193/J87+1</f>
        <v>8.84</v>
      </c>
      <c r="P193" s="197">
        <f>+ROUNDUP(O193,0)</f>
        <v>9</v>
      </c>
      <c r="Q193" s="187">
        <f>+(L87+M87-2*0.04)*D194+(((L87+M87-2*0.04)*D194)/6*50*(I87/1000))</f>
        <v>137.58333333333334</v>
      </c>
      <c r="R193" s="189">
        <f>+N193*M193+P193*Q193</f>
        <v>2298.6099999999997</v>
      </c>
      <c r="S193" s="196">
        <f>((I87*I87)/162)*R193</f>
        <v>1418.8950617283947</v>
      </c>
      <c r="T193" s="153" t="s">
        <v>193</v>
      </c>
    </row>
    <row r="194" spans="2:20" hidden="1">
      <c r="C194" s="153" t="s">
        <v>218</v>
      </c>
      <c r="D194" s="190">
        <f>ROUNDUP(+(E193/SQRT(L87^2+M87^2)),0)</f>
        <v>100</v>
      </c>
      <c r="E194" s="183"/>
      <c r="G194" s="198"/>
      <c r="H194" s="198"/>
      <c r="I194" s="199"/>
      <c r="J194" s="199"/>
      <c r="K194" s="199"/>
      <c r="L194" s="192"/>
      <c r="M194" s="197"/>
      <c r="N194" s="193"/>
      <c r="O194" s="192"/>
      <c r="P194" s="200"/>
      <c r="Q194" s="194"/>
      <c r="R194" s="189"/>
      <c r="S194" s="196"/>
    </row>
    <row r="195" spans="2:20" hidden="1">
      <c r="C195" s="153" t="s">
        <v>219</v>
      </c>
      <c r="D195" s="153">
        <f>ROUNDUP(+E193/1,0)</f>
        <v>100</v>
      </c>
    </row>
    <row r="196" spans="2:20" hidden="1"/>
    <row r="197" spans="2:20" hidden="1">
      <c r="B197" s="204" t="s">
        <v>224</v>
      </c>
      <c r="C197" s="177" t="s">
        <v>222</v>
      </c>
      <c r="E197" s="183">
        <v>100</v>
      </c>
      <c r="G197" s="195">
        <f>+E197*(C91+E91*2+1)</f>
        <v>200</v>
      </c>
      <c r="H197" s="195">
        <f>0.5*L91*M91*D198</f>
        <v>20.25</v>
      </c>
      <c r="I197" s="196">
        <f>+(L91*(C91+2*E91)*D198*E91)</f>
        <v>9</v>
      </c>
      <c r="J197" s="196">
        <f>+D198*(L91+M91)*E91*(C91+2*E91)+D198*((L91+M91)*E91*D91)*2</f>
        <v>35.1</v>
      </c>
      <c r="K197" s="196">
        <f>+(D91+(D91+E91))*E197*2</f>
        <v>340.00000000000006</v>
      </c>
      <c r="L197" s="186">
        <f>+(D198*(L91+M91))/H91+ IF(E197&gt;0,1,0)</f>
        <v>541</v>
      </c>
      <c r="M197" s="197">
        <f>+ROUNDUP(L197,0)</f>
        <v>541</v>
      </c>
      <c r="N197" s="188">
        <f>+(D91+E91-0.08)*2+(C91+E91*2-0.08)</f>
        <v>2.56</v>
      </c>
      <c r="O197" s="186">
        <f>+N197/J91+1</f>
        <v>11.24</v>
      </c>
      <c r="P197" s="197">
        <f>+ROUNDUP(O197,0)</f>
        <v>12</v>
      </c>
      <c r="Q197" s="187">
        <f>+(L91+M91-2*0.04)*D198+(((L91+M91-2*0.04)*D198)/6*50*(I91/1000))</f>
        <v>137.58333333333334</v>
      </c>
      <c r="R197" s="189">
        <f>+N197*M197+P197*Q197</f>
        <v>3035.96</v>
      </c>
      <c r="S197" s="196">
        <f>((I91*I91)/162)*R197</f>
        <v>1874.0493827160492</v>
      </c>
      <c r="T197" s="153" t="s">
        <v>193</v>
      </c>
    </row>
    <row r="198" spans="2:20" hidden="1">
      <c r="C198" s="153" t="s">
        <v>218</v>
      </c>
      <c r="D198" s="190">
        <f>ROUNDUP(+(E197/SQRT(L91^2+M91^2)),0)</f>
        <v>100</v>
      </c>
      <c r="E198" s="183"/>
      <c r="G198" s="198"/>
      <c r="H198" s="198"/>
      <c r="I198" s="199"/>
      <c r="J198" s="199"/>
      <c r="K198" s="199"/>
      <c r="L198" s="192"/>
      <c r="M198" s="197"/>
      <c r="N198" s="193"/>
      <c r="O198" s="192"/>
      <c r="P198" s="200"/>
      <c r="Q198" s="194"/>
      <c r="R198" s="189"/>
      <c r="S198" s="196"/>
    </row>
    <row r="199" spans="2:20" hidden="1">
      <c r="C199" s="153" t="s">
        <v>219</v>
      </c>
      <c r="D199" s="153">
        <f>ROUNDUP(+E197/1,0)</f>
        <v>100</v>
      </c>
    </row>
    <row r="200" spans="2:20" hidden="1"/>
    <row r="201" spans="2:20" hidden="1">
      <c r="B201" s="204" t="s">
        <v>224</v>
      </c>
      <c r="C201" s="177" t="s">
        <v>225</v>
      </c>
      <c r="E201" s="183">
        <f>(22.38+21.09+22.47+16.84)*1.06418</f>
        <v>88.092820399999994</v>
      </c>
      <c r="G201" s="195">
        <f>+E201*(C95+E95*2+1)</f>
        <v>198.20884589999997</v>
      </c>
      <c r="H201" s="195">
        <f>0.5*L95*M95*D202</f>
        <v>17.82</v>
      </c>
      <c r="I201" s="196">
        <f>+(L95*(C95+2*E95)*D202*E95)</f>
        <v>12.375</v>
      </c>
      <c r="J201" s="196">
        <f>+D202*(L95+M95)*E95*(C95+2*E95)+D202*((L95+M95)*E95*D95)*2</f>
        <v>40.837500000000006</v>
      </c>
      <c r="K201" s="196">
        <f>+(D95+(D95+E95))*E201*2</f>
        <v>286.30166629999997</v>
      </c>
      <c r="L201" s="186">
        <f>+(D202*(L95+M95))/H95+ IF(E201&gt;0,1,0)</f>
        <v>476.20000000000005</v>
      </c>
      <c r="M201" s="197">
        <f>+ROUNDUP(L201,0)</f>
        <v>477</v>
      </c>
      <c r="N201" s="188">
        <f>+(D95+E95-0.08)*2+(C95+E95*2-0.08)</f>
        <v>2.76</v>
      </c>
      <c r="O201" s="186">
        <f>+N201/J95+1</f>
        <v>12.04</v>
      </c>
      <c r="P201" s="197">
        <f>+ROUNDUP(O201,0)</f>
        <v>13</v>
      </c>
      <c r="Q201" s="187">
        <f>+(L95+M95-2*0.04)*D202+(((L95+M95-2*0.04)*D202)/6*50*(I95/1000))</f>
        <v>121.07333333333334</v>
      </c>
      <c r="R201" s="189">
        <f>+N201*M201+P201*Q201</f>
        <v>2890.4733333333334</v>
      </c>
      <c r="S201" s="196">
        <f>((I95*I95)/162)*R201</f>
        <v>1784.2427983539094</v>
      </c>
      <c r="T201" s="153" t="s">
        <v>193</v>
      </c>
    </row>
    <row r="202" spans="2:20" hidden="1">
      <c r="C202" s="153" t="s">
        <v>218</v>
      </c>
      <c r="D202" s="190">
        <f>ROUNDUP(+(E201/SQRT(L95^2+M95^2)),0)</f>
        <v>88</v>
      </c>
      <c r="E202" s="183"/>
      <c r="G202" s="198"/>
      <c r="H202" s="198"/>
      <c r="I202" s="199"/>
      <c r="J202" s="199">
        <f>0.5*(0.075+0.05)*0.075*C95*D202</f>
        <v>0.41249999999999998</v>
      </c>
      <c r="K202" s="199">
        <f>D202*C95*M95</f>
        <v>39.6</v>
      </c>
      <c r="L202" s="192"/>
      <c r="M202" s="197"/>
      <c r="N202" s="193"/>
      <c r="O202" s="192"/>
      <c r="P202" s="200"/>
      <c r="Q202" s="194"/>
      <c r="R202" s="189"/>
      <c r="S202" s="196"/>
    </row>
    <row r="203" spans="2:20" hidden="1">
      <c r="C203" s="153" t="s">
        <v>219</v>
      </c>
      <c r="D203" s="153">
        <f>ROUNDUP(+E201/1,0)</f>
        <v>89</v>
      </c>
    </row>
    <row r="204" spans="2:20" hidden="1">
      <c r="G204" s="205" t="s">
        <v>226</v>
      </c>
      <c r="H204" s="205" t="s">
        <v>227</v>
      </c>
      <c r="I204" s="205" t="s">
        <v>89</v>
      </c>
    </row>
    <row r="205" spans="2:20" hidden="1"/>
    <row r="206" spans="2:20" hidden="1">
      <c r="B206" s="201"/>
      <c r="E206" s="201"/>
    </row>
    <row r="207" spans="2:20" hidden="1"/>
    <row r="208" spans="2:20" hidden="1">
      <c r="E208" s="201"/>
    </row>
    <row r="209" spans="5:5" hidden="1"/>
    <row r="210" spans="5:5" hidden="1">
      <c r="E210" s="201"/>
    </row>
    <row r="211" spans="5:5" hidden="1"/>
    <row r="212" spans="5:5" hidden="1">
      <c r="E212" s="201"/>
    </row>
    <row r="213" spans="5:5" hidden="1"/>
    <row r="214" spans="5:5" hidden="1"/>
    <row r="215" spans="5:5" hidden="1"/>
    <row r="216" spans="5:5" hidden="1"/>
    <row r="217" spans="5:5" hidden="1"/>
    <row r="218" spans="5:5" hidden="1"/>
    <row r="219" spans="5:5" hidden="1"/>
    <row r="220" spans="5:5" hidden="1"/>
    <row r="221" spans="5:5" hidden="1"/>
    <row r="222" spans="5:5" hidden="1"/>
    <row r="223" spans="5:5" hidden="1"/>
    <row r="224" spans="5:5" hidden="1"/>
    <row r="225" spans="2:7" hidden="1"/>
    <row r="226" spans="2:7" hidden="1"/>
    <row r="227" spans="2:7" hidden="1">
      <c r="B227" s="201" t="s">
        <v>195</v>
      </c>
    </row>
    <row r="228" spans="2:7" ht="28.8" hidden="1">
      <c r="B228" s="206" t="s">
        <v>228</v>
      </c>
      <c r="C228" s="207"/>
    </row>
    <row r="229" spans="2:7" hidden="1"/>
    <row r="230" spans="2:7" hidden="1">
      <c r="B230" s="153" t="s">
        <v>229</v>
      </c>
      <c r="C230" s="190"/>
    </row>
    <row r="231" spans="2:7" hidden="1">
      <c r="B231" s="153" t="s">
        <v>230</v>
      </c>
      <c r="C231" s="153">
        <v>0.5</v>
      </c>
    </row>
    <row r="232" spans="2:7" hidden="1">
      <c r="C232" s="190"/>
    </row>
    <row r="233" spans="2:7" hidden="1">
      <c r="B233" s="153" t="s">
        <v>231</v>
      </c>
      <c r="C233" s="153">
        <f>ROUNDUP(C228/C231,0)</f>
        <v>0</v>
      </c>
    </row>
    <row r="234" spans="2:7" hidden="1"/>
    <row r="235" spans="2:7" hidden="1"/>
    <row r="236" spans="2:7" hidden="1">
      <c r="B236" s="153" t="s">
        <v>232</v>
      </c>
      <c r="C236" s="153">
        <f>C233*0.16*0.5</f>
        <v>0</v>
      </c>
      <c r="E236" s="201" t="s">
        <v>233</v>
      </c>
    </row>
    <row r="237" spans="2:7" hidden="1">
      <c r="B237" s="153" t="s">
        <v>119</v>
      </c>
      <c r="C237" s="153">
        <f>((0.16*2)+(0.15*0.5*2))*C233</f>
        <v>0</v>
      </c>
    </row>
    <row r="238" spans="2:7" hidden="1"/>
    <row r="239" spans="2:7" hidden="1">
      <c r="B239" s="153" t="s">
        <v>234</v>
      </c>
      <c r="C239" s="192">
        <v>2.12</v>
      </c>
      <c r="D239" s="208">
        <f>ROUNDUP(0.5/0.125,0)+1</f>
        <v>5</v>
      </c>
      <c r="E239" s="153">
        <f>C233</f>
        <v>0</v>
      </c>
      <c r="F239" s="153">
        <v>1.1000000000000001</v>
      </c>
      <c r="G239" s="153">
        <f>PRODUCT(C239:F239)</f>
        <v>0</v>
      </c>
    </row>
    <row r="240" spans="2:7" hidden="1">
      <c r="C240" s="153">
        <v>0.5</v>
      </c>
      <c r="D240" s="208">
        <f>ROUNDUP(C239/0.2+1,0)</f>
        <v>12</v>
      </c>
      <c r="E240" s="153">
        <f>C233</f>
        <v>0</v>
      </c>
      <c r="F240" s="153">
        <v>1.1000000000000001</v>
      </c>
      <c r="G240" s="153">
        <f>PRODUCT(C240:F240)</f>
        <v>0</v>
      </c>
    </row>
    <row r="241" spans="2:10" hidden="1"/>
    <row r="242" spans="2:10" hidden="1">
      <c r="G242" s="153">
        <f>SUM(G239:G241)</f>
        <v>0</v>
      </c>
      <c r="H242" s="153">
        <f>ROUND(100/162,3)</f>
        <v>0.61699999999999999</v>
      </c>
      <c r="J242" s="192">
        <f>ROUNDUP(PRODUCT(G242:H242),0)</f>
        <v>0</v>
      </c>
    </row>
    <row r="243" spans="2:10" hidden="1"/>
    <row r="244" spans="2:10" hidden="1"/>
    <row r="245" spans="2:10" hidden="1"/>
    <row r="246" spans="2:10" hidden="1"/>
    <row r="247" spans="2:10" hidden="1"/>
    <row r="248" spans="2:10" hidden="1"/>
    <row r="249" spans="2:10" hidden="1">
      <c r="B249" s="201" t="s">
        <v>235</v>
      </c>
    </row>
    <row r="250" spans="2:10">
      <c r="C250" s="201"/>
      <c r="D250" s="201"/>
      <c r="F250" s="201"/>
    </row>
    <row r="251" spans="2:10">
      <c r="B251" s="201"/>
      <c r="C251" s="190"/>
      <c r="D251" s="190"/>
    </row>
  </sheetData>
  <mergeCells count="10">
    <mergeCell ref="L105:M105"/>
    <mergeCell ref="O105:P105"/>
    <mergeCell ref="H3:J3"/>
    <mergeCell ref="T6:U6"/>
    <mergeCell ref="W7:W17"/>
    <mergeCell ref="W18:W20"/>
    <mergeCell ref="L103:S103"/>
    <mergeCell ref="L104:N104"/>
    <mergeCell ref="O104:Q104"/>
    <mergeCell ref="R104:S104"/>
  </mergeCells>
  <pageMargins left="0.7" right="0.7" top="0.75" bottom="0.75" header="0.3" footer="0.3"/>
  <pageSetup paperSize="9" orientation="portrait" r:id="rId1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EF101-641F-4AC1-9FA7-85B5028A0061}">
  <sheetPr>
    <tabColor rgb="FF002060"/>
    <pageSetUpPr fitToPage="1"/>
  </sheetPr>
  <dimension ref="A1:M36"/>
  <sheetViews>
    <sheetView showGridLines="0" view="pageBreakPreview" zoomScaleNormal="100" zoomScaleSheetLayoutView="100" workbookViewId="0">
      <selection activeCell="F32" sqref="F32"/>
    </sheetView>
  </sheetViews>
  <sheetFormatPr defaultColWidth="9.109375" defaultRowHeight="13.2"/>
  <cols>
    <col min="1" max="1" width="5.6640625" style="21" customWidth="1"/>
    <col min="2" max="2" width="40.6640625" style="22" customWidth="1"/>
    <col min="3" max="3" width="6.6640625" style="21" customWidth="1"/>
    <col min="4" max="4" width="8.6640625" style="23" customWidth="1"/>
    <col min="5" max="5" width="13.33203125" style="24" customWidth="1"/>
    <col min="6" max="6" width="33" style="24" customWidth="1"/>
    <col min="7" max="7" width="1.6640625" style="22" customWidth="1"/>
    <col min="8" max="8" width="17.5546875" style="25" customWidth="1"/>
    <col min="9" max="9" width="13.44140625" style="26" bestFit="1" customWidth="1"/>
    <col min="10" max="10" width="11.6640625" style="25" bestFit="1" customWidth="1"/>
    <col min="11" max="11" width="12.44140625" style="22" bestFit="1" customWidth="1"/>
    <col min="12" max="12" width="13.5546875" style="22" customWidth="1"/>
    <col min="13" max="13" width="14.109375" style="22" customWidth="1"/>
    <col min="14" max="16384" width="9.109375" style="22"/>
  </cols>
  <sheetData>
    <row r="1" spans="1:13" customFormat="1" ht="15.6">
      <c r="A1" s="772" t="s">
        <v>932</v>
      </c>
      <c r="B1" s="773"/>
      <c r="C1" s="773"/>
      <c r="D1" s="773"/>
      <c r="E1" s="773"/>
      <c r="F1" s="774"/>
    </row>
    <row r="2" spans="1:13" customFormat="1" ht="67.2" customHeight="1" thickBot="1">
      <c r="A2" s="718" t="s">
        <v>1169</v>
      </c>
      <c r="B2" s="775"/>
      <c r="C2" s="775"/>
      <c r="D2" s="775"/>
      <c r="E2" s="775"/>
      <c r="F2" s="720"/>
    </row>
    <row r="3" spans="1:13" customFormat="1" ht="15" hidden="1" thickBot="1">
      <c r="A3" s="644"/>
      <c r="B3" s="645"/>
      <c r="C3" s="645"/>
      <c r="D3" s="645"/>
      <c r="E3" s="646"/>
      <c r="F3" s="647"/>
    </row>
    <row r="4" spans="1:13" customFormat="1" ht="15" thickBot="1">
      <c r="A4" s="636"/>
      <c r="B4" s="6" t="s">
        <v>8</v>
      </c>
      <c r="C4" s="6"/>
      <c r="D4" s="7"/>
      <c r="E4" s="8"/>
      <c r="F4" s="637" t="s">
        <v>9</v>
      </c>
    </row>
    <row r="5" spans="1:13" s="11" customFormat="1" ht="24.9" customHeight="1">
      <c r="A5" s="9"/>
      <c r="B5" s="776" t="str">
        <f xml:space="preserve"> 'Bill 6.2.1'!A1</f>
        <v>BILL No. 6.2.1 - SITE CLEARING</v>
      </c>
      <c r="C5" s="776"/>
      <c r="D5" s="776"/>
      <c r="E5" s="777"/>
      <c r="F5" s="10"/>
      <c r="H5" s="12"/>
      <c r="I5" s="13"/>
      <c r="J5" s="12"/>
      <c r="L5" s="14"/>
    </row>
    <row r="6" spans="1:13" s="11" customFormat="1" ht="17.399999999999999" customHeight="1">
      <c r="A6" s="9"/>
      <c r="B6" s="776" t="str">
        <f>'Bill 6.2.2'!A1</f>
        <v>BILL No. 6.2.2 - EARTHWORKS</v>
      </c>
      <c r="C6" s="776"/>
      <c r="D6" s="776"/>
      <c r="E6" s="777"/>
      <c r="F6" s="10"/>
      <c r="H6" s="12"/>
      <c r="I6" s="13"/>
      <c r="J6" s="12"/>
      <c r="L6" s="14"/>
    </row>
    <row r="7" spans="1:13" s="11" customFormat="1" ht="24.9" customHeight="1" thickBot="1">
      <c r="A7" s="9"/>
      <c r="B7" s="776" t="str">
        <f>'Bill 6.2.3'!A1</f>
        <v>BILL No. 6.2.3 - STRUCTURE CONSTRUCTION</v>
      </c>
      <c r="C7" s="776"/>
      <c r="D7" s="776"/>
      <c r="E7" s="777"/>
      <c r="F7" s="10"/>
      <c r="H7" s="12"/>
      <c r="I7" s="13"/>
      <c r="J7" s="12"/>
      <c r="L7" s="14"/>
    </row>
    <row r="8" spans="1:13" s="11" customFormat="1" ht="24.9" customHeight="1" thickBot="1">
      <c r="A8" s="15"/>
      <c r="B8" s="723" t="s">
        <v>12</v>
      </c>
      <c r="C8" s="723"/>
      <c r="D8" s="723"/>
      <c r="E8" s="724"/>
      <c r="F8" s="16"/>
      <c r="H8" s="12"/>
      <c r="I8" s="17"/>
      <c r="J8" s="12"/>
      <c r="K8" s="14"/>
      <c r="M8" s="12"/>
    </row>
    <row r="9" spans="1:13" s="11" customFormat="1">
      <c r="A9" s="18"/>
      <c r="C9" s="18"/>
      <c r="D9" s="19"/>
      <c r="E9" s="20"/>
      <c r="F9" s="20"/>
      <c r="H9" s="12"/>
      <c r="I9" s="13"/>
      <c r="J9" s="12"/>
    </row>
    <row r="10" spans="1:13" s="11" customFormat="1">
      <c r="A10" s="18"/>
      <c r="C10" s="18"/>
      <c r="D10" s="19"/>
      <c r="E10" s="20"/>
      <c r="F10" s="20"/>
      <c r="H10" s="12"/>
      <c r="I10" s="13"/>
      <c r="J10" s="12"/>
    </row>
    <row r="11" spans="1:13" s="11" customFormat="1" ht="38.4" customHeight="1">
      <c r="A11" s="18"/>
      <c r="C11" s="18"/>
      <c r="D11" s="19"/>
      <c r="E11" s="20"/>
      <c r="F11" s="20"/>
      <c r="H11" s="12"/>
      <c r="I11" s="13"/>
      <c r="J11" s="12"/>
    </row>
    <row r="12" spans="1:13" s="11" customFormat="1" ht="38.4" customHeight="1">
      <c r="A12" s="18"/>
      <c r="C12" s="18"/>
      <c r="D12" s="19"/>
      <c r="E12" s="20"/>
      <c r="F12" s="20"/>
      <c r="H12" s="12"/>
      <c r="I12" s="13"/>
      <c r="J12" s="12"/>
    </row>
    <row r="13" spans="1:13" s="11" customFormat="1" ht="38.4" customHeight="1">
      <c r="A13" s="18"/>
      <c r="C13" s="18"/>
      <c r="D13" s="19"/>
      <c r="E13" s="20"/>
      <c r="F13" s="20"/>
      <c r="H13" s="12"/>
      <c r="I13" s="13"/>
      <c r="J13" s="12"/>
    </row>
    <row r="14" spans="1:13" s="11" customFormat="1" ht="38.4" customHeight="1">
      <c r="A14" s="18"/>
      <c r="C14" s="18"/>
      <c r="D14" s="19"/>
      <c r="E14" s="20"/>
      <c r="F14" s="20"/>
      <c r="H14" s="12"/>
      <c r="I14" s="13"/>
      <c r="J14" s="12"/>
    </row>
    <row r="15" spans="1:13" s="11" customFormat="1" ht="38.4" customHeight="1">
      <c r="A15" s="18"/>
      <c r="C15" s="18"/>
      <c r="D15" s="19"/>
      <c r="E15" s="20"/>
      <c r="F15" s="20"/>
      <c r="H15" s="12"/>
      <c r="I15" s="13"/>
      <c r="J15" s="12"/>
    </row>
    <row r="16" spans="1:13" s="11" customFormat="1" ht="38.4" customHeight="1">
      <c r="A16" s="18"/>
      <c r="C16" s="18"/>
      <c r="D16" s="19"/>
      <c r="E16" s="20"/>
      <c r="F16" s="20"/>
      <c r="H16" s="12"/>
      <c r="I16" s="13"/>
      <c r="J16" s="12"/>
    </row>
    <row r="17" spans="1:10" s="11" customFormat="1" ht="38.4" customHeight="1">
      <c r="A17" s="18"/>
      <c r="C17" s="18"/>
      <c r="D17" s="19"/>
      <c r="E17" s="20"/>
      <c r="F17" s="20"/>
      <c r="H17" s="12"/>
      <c r="I17" s="13"/>
      <c r="J17" s="12"/>
    </row>
    <row r="18" spans="1:10" s="11" customFormat="1" ht="38.4" customHeight="1">
      <c r="A18" s="18"/>
      <c r="C18" s="18"/>
      <c r="D18" s="19"/>
      <c r="E18" s="20"/>
      <c r="F18" s="20"/>
      <c r="H18" s="12"/>
      <c r="I18" s="13"/>
      <c r="J18" s="12"/>
    </row>
    <row r="19" spans="1:10" s="11" customFormat="1" ht="38.4" customHeight="1">
      <c r="A19" s="18"/>
      <c r="C19" s="18"/>
      <c r="D19" s="19"/>
      <c r="E19" s="20"/>
      <c r="F19" s="20"/>
      <c r="H19" s="12"/>
      <c r="I19" s="13"/>
      <c r="J19" s="12"/>
    </row>
    <row r="20" spans="1:10" s="11" customFormat="1" ht="38.4" customHeight="1">
      <c r="A20" s="18"/>
      <c r="C20" s="18"/>
      <c r="D20" s="19"/>
      <c r="E20" s="20"/>
      <c r="F20" s="20"/>
      <c r="H20" s="12"/>
      <c r="I20" s="13"/>
      <c r="J20" s="12"/>
    </row>
    <row r="21" spans="1:10" s="11" customFormat="1" ht="34.799999999999997" customHeight="1">
      <c r="A21" s="18"/>
      <c r="C21" s="18"/>
      <c r="D21" s="19"/>
      <c r="E21" s="20"/>
      <c r="F21" s="20"/>
      <c r="H21" s="12"/>
      <c r="I21" s="13"/>
      <c r="J21" s="12"/>
    </row>
    <row r="22" spans="1:10" s="11" customFormat="1" ht="34.799999999999997" customHeight="1">
      <c r="A22" s="18"/>
      <c r="C22" s="18"/>
      <c r="D22" s="19"/>
      <c r="E22" s="20"/>
      <c r="F22" s="20"/>
      <c r="H22" s="12"/>
      <c r="I22" s="13"/>
      <c r="J22" s="12"/>
    </row>
    <row r="23" spans="1:10" s="11" customFormat="1" ht="34.799999999999997" customHeight="1">
      <c r="A23" s="18"/>
      <c r="C23" s="18"/>
      <c r="D23" s="19"/>
      <c r="E23" s="20"/>
      <c r="F23" s="20"/>
      <c r="H23" s="12"/>
      <c r="I23" s="13"/>
      <c r="J23" s="12"/>
    </row>
    <row r="24" spans="1:10" s="11" customFormat="1" ht="34.799999999999997" customHeight="1">
      <c r="A24" s="18"/>
      <c r="C24" s="18"/>
      <c r="D24" s="19"/>
      <c r="E24" s="20"/>
      <c r="F24" s="20"/>
      <c r="H24" s="12"/>
      <c r="I24" s="13"/>
      <c r="J24" s="12"/>
    </row>
    <row r="25" spans="1:10" s="11" customFormat="1" ht="34.799999999999997" customHeight="1">
      <c r="A25" s="18"/>
      <c r="C25" s="18"/>
      <c r="D25" s="19"/>
      <c r="E25" s="20"/>
      <c r="F25" s="20"/>
      <c r="H25" s="12"/>
      <c r="I25" s="13"/>
      <c r="J25" s="12"/>
    </row>
    <row r="26" spans="1:10" s="11" customFormat="1" ht="34.799999999999997" customHeight="1">
      <c r="A26" s="18"/>
      <c r="C26" s="18"/>
      <c r="D26" s="19"/>
      <c r="E26" s="20"/>
      <c r="F26" s="20"/>
      <c r="H26" s="12"/>
      <c r="I26" s="13"/>
      <c r="J26" s="12"/>
    </row>
    <row r="27" spans="1:10" s="11" customFormat="1">
      <c r="A27" s="18"/>
      <c r="C27" s="18"/>
      <c r="D27" s="19"/>
      <c r="E27" s="20"/>
      <c r="F27" s="20"/>
      <c r="H27" s="12"/>
      <c r="I27" s="13"/>
      <c r="J27" s="12"/>
    </row>
    <row r="28" spans="1:10" s="11" customFormat="1">
      <c r="A28" s="18"/>
      <c r="C28" s="18"/>
      <c r="D28" s="19"/>
      <c r="E28" s="20"/>
      <c r="F28" s="20"/>
      <c r="H28" s="12"/>
      <c r="I28" s="13"/>
      <c r="J28" s="12"/>
    </row>
    <row r="29" spans="1:10" s="11" customFormat="1">
      <c r="A29" s="18"/>
      <c r="C29" s="18"/>
      <c r="D29" s="19"/>
      <c r="E29" s="20"/>
      <c r="F29" s="20"/>
      <c r="H29" s="12"/>
      <c r="I29" s="13"/>
      <c r="J29" s="12"/>
    </row>
    <row r="30" spans="1:10" s="11" customFormat="1">
      <c r="A30" s="18"/>
      <c r="C30" s="18"/>
      <c r="D30" s="19"/>
      <c r="E30" s="20"/>
      <c r="F30" s="20"/>
      <c r="H30" s="12"/>
      <c r="I30" s="13"/>
      <c r="J30" s="12"/>
    </row>
    <row r="31" spans="1:10" s="11" customFormat="1">
      <c r="A31" s="18"/>
      <c r="C31" s="18"/>
      <c r="D31" s="19"/>
      <c r="E31" s="20"/>
      <c r="F31" s="20"/>
      <c r="H31" s="12"/>
      <c r="I31" s="13"/>
      <c r="J31" s="12"/>
    </row>
    <row r="32" spans="1:10" s="11" customFormat="1">
      <c r="A32" s="18"/>
      <c r="C32" s="18"/>
      <c r="D32" s="19"/>
      <c r="E32" s="20"/>
      <c r="F32" s="20"/>
      <c r="H32" s="12"/>
      <c r="I32" s="13"/>
      <c r="J32" s="12"/>
    </row>
    <row r="33" spans="1:10" s="11" customFormat="1">
      <c r="A33" s="18"/>
      <c r="C33" s="18"/>
      <c r="D33" s="19"/>
      <c r="E33" s="20"/>
      <c r="F33" s="20"/>
      <c r="H33" s="12"/>
      <c r="I33" s="13"/>
      <c r="J33" s="12"/>
    </row>
    <row r="34" spans="1:10" s="11" customFormat="1">
      <c r="A34" s="18"/>
      <c r="C34" s="18"/>
      <c r="D34" s="19"/>
      <c r="E34" s="20"/>
      <c r="F34" s="20"/>
      <c r="H34" s="12"/>
      <c r="I34" s="13"/>
      <c r="J34" s="12"/>
    </row>
    <row r="35" spans="1:10" s="11" customFormat="1">
      <c r="A35" s="18"/>
      <c r="C35" s="18"/>
      <c r="D35" s="19"/>
      <c r="E35" s="20"/>
      <c r="F35" s="20"/>
      <c r="H35" s="12"/>
      <c r="I35" s="13"/>
      <c r="J35" s="12"/>
    </row>
    <row r="36" spans="1:10" s="11" customFormat="1">
      <c r="A36" s="18"/>
      <c r="C36" s="18"/>
      <c r="D36" s="19"/>
      <c r="E36" s="20"/>
      <c r="F36" s="20"/>
      <c r="H36" s="12"/>
      <c r="I36" s="13"/>
      <c r="J36" s="12"/>
    </row>
  </sheetData>
  <mergeCells count="6">
    <mergeCell ref="B8:E8"/>
    <mergeCell ref="A1:F1"/>
    <mergeCell ref="A2:F2"/>
    <mergeCell ref="B5:E5"/>
    <mergeCell ref="B6:E6"/>
    <mergeCell ref="B7:E7"/>
  </mergeCells>
  <printOptions horizontalCentered="1"/>
  <pageMargins left="0.75" right="0.4" top="0.75" bottom="0.5" header="0" footer="0"/>
  <pageSetup paperSize="9" scale="83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5D735-5381-4B53-BCAE-8840D06D03C7}">
  <sheetPr>
    <tabColor rgb="FFFF9933"/>
    <pageSetUpPr fitToPage="1"/>
  </sheetPr>
  <dimension ref="A1:O26"/>
  <sheetViews>
    <sheetView view="pageBreakPreview" zoomScaleNormal="100" zoomScaleSheetLayoutView="100" workbookViewId="0">
      <selection activeCell="I1" sqref="I1:M1048576"/>
    </sheetView>
  </sheetViews>
  <sheetFormatPr defaultColWidth="9.109375" defaultRowHeight="13.2"/>
  <cols>
    <col min="1" max="1" width="7.6640625" style="31" customWidth="1"/>
    <col min="2" max="2" width="9.6640625" style="31" customWidth="1"/>
    <col min="3" max="3" width="50.6640625" style="31" customWidth="1"/>
    <col min="4" max="4" width="7.6640625" style="31" customWidth="1"/>
    <col min="5" max="5" width="8.6640625" style="567" customWidth="1"/>
    <col min="6" max="6" width="10.6640625" style="31" customWidth="1"/>
    <col min="7" max="7" width="17.6640625" style="31" customWidth="1"/>
    <col min="8" max="8" width="9.109375" style="31"/>
    <col min="9" max="13" width="0" style="31" hidden="1" customWidth="1"/>
    <col min="14" max="16384" width="9.109375" style="31"/>
  </cols>
  <sheetData>
    <row r="1" spans="1:15" s="27" customFormat="1" ht="60" customHeight="1" thickBot="1">
      <c r="A1" s="778" t="s">
        <v>1044</v>
      </c>
      <c r="B1" s="779"/>
      <c r="C1" s="779"/>
      <c r="D1" s="789" t="str">
        <f>'Bill No. 6.2'!A2</f>
        <v>BILL NO. 6.2 - 
REDUCTION OF LANDSLIDE VULNERABILITY  BY MITIGATION MEASURES GAMMANA MAHA VIDYALAYA - AREA II (SITE NO. 90)</v>
      </c>
      <c r="E1" s="789"/>
      <c r="F1" s="789"/>
      <c r="G1" s="790"/>
    </row>
    <row r="2" spans="1:15" ht="26.4">
      <c r="A2" s="620" t="s">
        <v>13</v>
      </c>
      <c r="B2" s="28" t="s">
        <v>14</v>
      </c>
      <c r="C2" s="29" t="s">
        <v>8</v>
      </c>
      <c r="D2" s="28" t="s">
        <v>15</v>
      </c>
      <c r="E2" s="565" t="s">
        <v>16</v>
      </c>
      <c r="F2" s="30" t="s">
        <v>17</v>
      </c>
      <c r="G2" s="621" t="s">
        <v>18</v>
      </c>
    </row>
    <row r="3" spans="1:15" customFormat="1" ht="30" customHeight="1">
      <c r="A3" s="456" t="s">
        <v>767</v>
      </c>
      <c r="B3" s="457"/>
      <c r="C3" s="458" t="s">
        <v>760</v>
      </c>
      <c r="D3" s="457"/>
      <c r="E3" s="576"/>
      <c r="F3" s="366"/>
      <c r="G3" s="459"/>
      <c r="I3" s="538" t="s">
        <v>0</v>
      </c>
      <c r="J3" s="825" t="s">
        <v>892</v>
      </c>
      <c r="K3" s="825"/>
      <c r="L3" s="825"/>
    </row>
    <row r="4" spans="1:15" s="27" customFormat="1" ht="39.6">
      <c r="A4" s="221" t="s">
        <v>1045</v>
      </c>
      <c r="B4" s="46" t="s">
        <v>22</v>
      </c>
      <c r="C4" s="47" t="s">
        <v>316</v>
      </c>
      <c r="D4" s="46" t="s">
        <v>372</v>
      </c>
      <c r="E4" s="577">
        <v>830</v>
      </c>
      <c r="F4" s="460"/>
      <c r="G4" s="461"/>
      <c r="H4" s="658"/>
      <c r="I4" s="40">
        <f>'Drains 90(2)'!G112+'Drains 90(2)'!G117+'Drains 90(2)'!G172+'Drains 90(2)'!G176</f>
        <v>187.57874960000001</v>
      </c>
      <c r="J4" s="823">
        <f>'QTY 90(2)'!J12</f>
        <v>640.86</v>
      </c>
      <c r="K4" s="823"/>
      <c r="L4" s="823"/>
      <c r="M4" s="40">
        <f>SUM(I4:L4)</f>
        <v>828.43874960000005</v>
      </c>
    </row>
    <row r="5" spans="1:15" s="27" customFormat="1" ht="30" customHeight="1">
      <c r="A5" s="221" t="s">
        <v>1046</v>
      </c>
      <c r="B5" s="56" t="s">
        <v>26</v>
      </c>
      <c r="C5" s="222" t="s">
        <v>27</v>
      </c>
      <c r="D5" s="46" t="s">
        <v>28</v>
      </c>
      <c r="E5" s="231">
        <v>40</v>
      </c>
      <c r="F5" s="57"/>
      <c r="G5" s="461"/>
      <c r="H5" s="40"/>
      <c r="I5" s="40"/>
      <c r="J5" s="249"/>
    </row>
    <row r="6" spans="1:15" s="27" customFormat="1" ht="30" customHeight="1">
      <c r="A6" s="221" t="s">
        <v>1047</v>
      </c>
      <c r="B6" s="56" t="s">
        <v>30</v>
      </c>
      <c r="C6" s="222" t="s">
        <v>763</v>
      </c>
      <c r="D6" s="36" t="s">
        <v>28</v>
      </c>
      <c r="E6" s="232">
        <v>20</v>
      </c>
      <c r="F6" s="57"/>
      <c r="G6" s="39"/>
      <c r="H6" s="658"/>
      <c r="I6" s="40"/>
      <c r="J6" s="249"/>
    </row>
    <row r="7" spans="1:15" s="27" customFormat="1" ht="30" customHeight="1">
      <c r="A7" s="221" t="s">
        <v>1048</v>
      </c>
      <c r="B7" s="56" t="s">
        <v>237</v>
      </c>
      <c r="C7" s="222" t="s">
        <v>238</v>
      </c>
      <c r="D7" s="36" t="s">
        <v>28</v>
      </c>
      <c r="E7" s="232">
        <v>10</v>
      </c>
      <c r="F7" s="57"/>
      <c r="G7" s="39"/>
      <c r="H7" s="40"/>
      <c r="I7" s="40"/>
      <c r="J7" s="249"/>
    </row>
    <row r="8" spans="1:15" s="27" customFormat="1" ht="30" customHeight="1">
      <c r="A8" s="221" t="s">
        <v>1049</v>
      </c>
      <c r="B8" s="56" t="s">
        <v>240</v>
      </c>
      <c r="C8" s="222" t="s">
        <v>241</v>
      </c>
      <c r="D8" s="36" t="s">
        <v>28</v>
      </c>
      <c r="E8" s="232">
        <v>10</v>
      </c>
      <c r="F8" s="57"/>
      <c r="G8" s="39"/>
      <c r="H8" s="40"/>
      <c r="I8" s="40"/>
      <c r="J8" s="249"/>
    </row>
    <row r="9" spans="1:15" s="27" customFormat="1" ht="30" customHeight="1">
      <c r="A9" s="221" t="s">
        <v>1050</v>
      </c>
      <c r="B9" s="56" t="s">
        <v>33</v>
      </c>
      <c r="C9" s="222" t="s">
        <v>243</v>
      </c>
      <c r="D9" s="36" t="s">
        <v>28</v>
      </c>
      <c r="E9" s="232">
        <v>10</v>
      </c>
      <c r="F9" s="57"/>
      <c r="G9" s="39"/>
      <c r="H9" s="40"/>
      <c r="I9" s="40"/>
      <c r="J9" s="249"/>
    </row>
    <row r="10" spans="1:15" s="27" customFormat="1" ht="30" customHeight="1">
      <c r="A10" s="221" t="s">
        <v>1051</v>
      </c>
      <c r="B10" s="56" t="s">
        <v>245</v>
      </c>
      <c r="C10" s="222" t="s">
        <v>246</v>
      </c>
      <c r="D10" s="36" t="s">
        <v>28</v>
      </c>
      <c r="E10" s="232">
        <v>10</v>
      </c>
      <c r="F10" s="57"/>
      <c r="G10" s="39"/>
      <c r="H10" s="40"/>
      <c r="I10" s="40"/>
      <c r="J10" s="249"/>
      <c r="O10" s="27">
        <v>0</v>
      </c>
    </row>
    <row r="11" spans="1:15" customFormat="1" ht="38.4" customHeight="1">
      <c r="A11" s="626" t="s">
        <v>768</v>
      </c>
      <c r="B11" s="250"/>
      <c r="C11" s="251" t="s">
        <v>318</v>
      </c>
      <c r="D11" s="250"/>
      <c r="E11" s="569"/>
      <c r="F11" s="57"/>
      <c r="G11" s="627"/>
    </row>
    <row r="12" spans="1:15" customFormat="1" ht="38.4" customHeight="1">
      <c r="A12" s="221" t="s">
        <v>1052</v>
      </c>
      <c r="B12" s="250" t="s">
        <v>320</v>
      </c>
      <c r="C12" s="253" t="s">
        <v>321</v>
      </c>
      <c r="D12" s="250" t="s">
        <v>37</v>
      </c>
      <c r="E12" s="569">
        <v>10</v>
      </c>
      <c r="F12" s="57"/>
      <c r="G12" s="627"/>
    </row>
    <row r="13" spans="1:15" customFormat="1" ht="38.4" customHeight="1">
      <c r="A13" s="221" t="s">
        <v>1053</v>
      </c>
      <c r="B13" s="254" t="s">
        <v>323</v>
      </c>
      <c r="C13" s="255" t="s">
        <v>324</v>
      </c>
      <c r="D13" s="254" t="s">
        <v>37</v>
      </c>
      <c r="E13" s="570">
        <v>10</v>
      </c>
      <c r="F13" s="257"/>
      <c r="G13" s="627"/>
    </row>
    <row r="14" spans="1:15" ht="38.4" customHeight="1" thickBot="1">
      <c r="A14" s="631"/>
      <c r="B14" s="783" t="s">
        <v>1054</v>
      </c>
      <c r="C14" s="784"/>
      <c r="D14" s="784"/>
      <c r="E14" s="784"/>
      <c r="F14" s="785"/>
      <c r="G14" s="632"/>
    </row>
    <row r="15" spans="1:15" ht="38.4" customHeight="1"/>
    <row r="16" spans="1:15" ht="38.4" customHeight="1"/>
    <row r="17" ht="38.4" customHeight="1"/>
    <row r="18" ht="38.4" customHeight="1"/>
    <row r="19" ht="38.4" customHeight="1"/>
    <row r="20" ht="38.4" customHeight="1"/>
    <row r="21" ht="34.799999999999997" customHeight="1"/>
    <row r="22" ht="34.799999999999997" customHeight="1"/>
    <row r="23" ht="34.799999999999997" customHeight="1"/>
    <row r="24" ht="34.799999999999997" customHeight="1"/>
    <row r="25" ht="34.799999999999997" customHeight="1"/>
    <row r="26" ht="34.799999999999997" customHeight="1"/>
  </sheetData>
  <mergeCells count="5">
    <mergeCell ref="A1:C1"/>
    <mergeCell ref="D1:G1"/>
    <mergeCell ref="J3:L3"/>
    <mergeCell ref="J4:L4"/>
    <mergeCell ref="B14:F14"/>
  </mergeCells>
  <phoneticPr fontId="32" type="noConversion"/>
  <printOptions horizontalCentered="1"/>
  <pageMargins left="0.75" right="0.4" top="0.75" bottom="0.5" header="0" footer="0"/>
  <pageSetup paperSize="9" scale="80" fitToHeight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B698-87C6-45D9-A6DC-64A3A5026A47}">
  <sheetPr>
    <tabColor rgb="FFFF9933"/>
    <pageSetUpPr fitToPage="1"/>
  </sheetPr>
  <dimension ref="A1:L26"/>
  <sheetViews>
    <sheetView view="pageBreakPreview" zoomScaleNormal="100" zoomScaleSheetLayoutView="100" workbookViewId="0">
      <selection activeCell="H1" sqref="H1:K1048576"/>
    </sheetView>
  </sheetViews>
  <sheetFormatPr defaultColWidth="9.109375" defaultRowHeight="15"/>
  <cols>
    <col min="1" max="1" width="7.6640625" style="31" customWidth="1"/>
    <col min="2" max="2" width="9.6640625" style="31" customWidth="1"/>
    <col min="3" max="3" width="54" style="31" customWidth="1"/>
    <col min="4" max="4" width="7.6640625" style="31" customWidth="1"/>
    <col min="5" max="5" width="8.6640625" style="567" customWidth="1"/>
    <col min="6" max="6" width="10.6640625" style="31" customWidth="1"/>
    <col min="7" max="7" width="17.6640625" style="31" customWidth="1"/>
    <col min="8" max="8" width="11.5546875" style="465" hidden="1" customWidth="1"/>
    <col min="9" max="10" width="0" style="31" hidden="1" customWidth="1"/>
    <col min="11" max="11" width="11.5546875" style="31" hidden="1" customWidth="1"/>
    <col min="12" max="16384" width="9.109375" style="31"/>
  </cols>
  <sheetData>
    <row r="1" spans="1:12" s="27" customFormat="1" ht="60" customHeight="1" thickBot="1">
      <c r="A1" s="778" t="s">
        <v>1055</v>
      </c>
      <c r="B1" s="779"/>
      <c r="C1" s="779"/>
      <c r="D1" s="789" t="str">
        <f>+'Bill 6.2.1'!D1:G1</f>
        <v>BILL NO. 6.2 - 
REDUCTION OF LANDSLIDE VULNERABILITY  BY MITIGATION MEASURES GAMMANA MAHA VIDYALAYA - AREA II (SITE NO. 90)</v>
      </c>
      <c r="E1" s="789"/>
      <c r="F1" s="789"/>
      <c r="G1" s="790"/>
      <c r="H1" s="462"/>
    </row>
    <row r="2" spans="1:12" ht="30.75" customHeight="1">
      <c r="A2" s="620" t="s">
        <v>13</v>
      </c>
      <c r="B2" s="28" t="s">
        <v>14</v>
      </c>
      <c r="C2" s="29" t="s">
        <v>8</v>
      </c>
      <c r="D2" s="28" t="s">
        <v>15</v>
      </c>
      <c r="E2" s="565" t="s">
        <v>16</v>
      </c>
      <c r="F2" s="30" t="s">
        <v>17</v>
      </c>
      <c r="G2" s="621" t="s">
        <v>18</v>
      </c>
      <c r="H2" s="463" t="s">
        <v>869</v>
      </c>
      <c r="I2" s="219" t="s">
        <v>766</v>
      </c>
    </row>
    <row r="3" spans="1:12" ht="24.75" customHeight="1">
      <c r="A3" s="628" t="s">
        <v>769</v>
      </c>
      <c r="B3" s="41"/>
      <c r="C3" s="42" t="s">
        <v>268</v>
      </c>
      <c r="D3" s="41"/>
      <c r="E3" s="566"/>
      <c r="F3" s="41"/>
      <c r="G3" s="630"/>
      <c r="H3" s="31"/>
    </row>
    <row r="4" spans="1:12" ht="36" customHeight="1">
      <c r="A4" s="624" t="s">
        <v>1056</v>
      </c>
      <c r="B4" s="33" t="s">
        <v>257</v>
      </c>
      <c r="C4" s="45" t="s">
        <v>433</v>
      </c>
      <c r="D4" s="33" t="s">
        <v>36</v>
      </c>
      <c r="E4" s="234">
        <v>110</v>
      </c>
      <c r="F4" s="35"/>
      <c r="G4" s="629"/>
      <c r="H4" s="464">
        <f>'QTY 90(2)'!J35</f>
        <v>107.13</v>
      </c>
      <c r="I4" s="464"/>
      <c r="J4" s="464"/>
      <c r="K4" s="464">
        <f>SUM(H4:J4)</f>
        <v>107.13</v>
      </c>
      <c r="L4" s="464"/>
    </row>
    <row r="5" spans="1:12" ht="32.25" customHeight="1">
      <c r="A5" s="624" t="s">
        <v>1057</v>
      </c>
      <c r="B5" s="33" t="s">
        <v>260</v>
      </c>
      <c r="C5" s="45" t="s">
        <v>435</v>
      </c>
      <c r="D5" s="33" t="s">
        <v>36</v>
      </c>
      <c r="E5" s="233">
        <v>100</v>
      </c>
      <c r="F5" s="35"/>
      <c r="G5" s="629"/>
    </row>
    <row r="6" spans="1:12" ht="32.25" customHeight="1">
      <c r="A6" s="624" t="s">
        <v>1058</v>
      </c>
      <c r="B6" s="46" t="s">
        <v>263</v>
      </c>
      <c r="C6" s="47" t="s">
        <v>437</v>
      </c>
      <c r="D6" s="46" t="s">
        <v>37</v>
      </c>
      <c r="E6" s="231">
        <v>75</v>
      </c>
      <c r="F6" s="35"/>
      <c r="G6" s="629"/>
    </row>
    <row r="7" spans="1:12" ht="32.25" customHeight="1">
      <c r="A7" s="624" t="s">
        <v>1059</v>
      </c>
      <c r="B7" s="48" t="s">
        <v>266</v>
      </c>
      <c r="C7" s="49" t="s">
        <v>439</v>
      </c>
      <c r="D7" s="50" t="s">
        <v>36</v>
      </c>
      <c r="E7" s="231">
        <v>110</v>
      </c>
      <c r="F7" s="35"/>
      <c r="G7" s="629"/>
      <c r="H7" s="464">
        <f>E4</f>
        <v>110</v>
      </c>
    </row>
    <row r="8" spans="1:12" ht="26.25" customHeight="1">
      <c r="A8" s="628" t="s">
        <v>770</v>
      </c>
      <c r="B8" s="41"/>
      <c r="C8" s="42" t="s">
        <v>39</v>
      </c>
      <c r="D8" s="51"/>
      <c r="E8" s="566"/>
      <c r="F8" s="41"/>
      <c r="G8" s="630"/>
    </row>
    <row r="9" spans="1:12" ht="48" customHeight="1">
      <c r="A9" s="624" t="s">
        <v>1060</v>
      </c>
      <c r="B9" s="52" t="s">
        <v>41</v>
      </c>
      <c r="C9" s="53" t="s">
        <v>42</v>
      </c>
      <c r="D9" s="52" t="s">
        <v>37</v>
      </c>
      <c r="E9" s="234">
        <v>56</v>
      </c>
      <c r="F9" s="35"/>
      <c r="G9" s="629"/>
      <c r="H9" s="469">
        <f>'Drains 90(2)'!H106+'Drains 90(2)'!H112+'Drains 90(2)'!H117+'Drains 90(2)'!H172+'Drains 90(2)'!H176</f>
        <v>55.904932160000016</v>
      </c>
    </row>
    <row r="10" spans="1:12" ht="51" customHeight="1">
      <c r="A10" s="624" t="s">
        <v>1061</v>
      </c>
      <c r="B10" s="52" t="s">
        <v>41</v>
      </c>
      <c r="C10" s="53" t="s">
        <v>893</v>
      </c>
      <c r="D10" s="52" t="s">
        <v>37</v>
      </c>
      <c r="E10" s="234">
        <v>415</v>
      </c>
      <c r="F10" s="35"/>
      <c r="G10" s="629"/>
      <c r="H10" s="469">
        <f>'QTY 90(2)'!J49</f>
        <v>413.48725000000002</v>
      </c>
    </row>
    <row r="11" spans="1:12" ht="38.4" customHeight="1">
      <c r="A11" s="624" t="s">
        <v>1062</v>
      </c>
      <c r="B11" s="52" t="s">
        <v>326</v>
      </c>
      <c r="C11" s="53" t="s">
        <v>894</v>
      </c>
      <c r="D11" s="52" t="s">
        <v>37</v>
      </c>
      <c r="E11" s="234">
        <v>143</v>
      </c>
      <c r="F11" s="35"/>
      <c r="G11" s="629"/>
      <c r="H11" s="469">
        <f>'QTY 90(2)'!J60</f>
        <v>142.66021000000001</v>
      </c>
    </row>
    <row r="12" spans="1:12" ht="38.4" customHeight="1">
      <c r="A12" s="624" t="s">
        <v>1063</v>
      </c>
      <c r="B12" s="46" t="s">
        <v>46</v>
      </c>
      <c r="C12" s="47" t="s">
        <v>445</v>
      </c>
      <c r="D12" s="46" t="s">
        <v>37</v>
      </c>
      <c r="E12" s="231">
        <v>30</v>
      </c>
      <c r="F12" s="35"/>
      <c r="G12" s="629"/>
    </row>
    <row r="13" spans="1:12" ht="38.4" customHeight="1">
      <c r="A13" s="624" t="s">
        <v>1064</v>
      </c>
      <c r="B13" s="46" t="s">
        <v>48</v>
      </c>
      <c r="C13" s="47" t="s">
        <v>437</v>
      </c>
      <c r="D13" s="46" t="s">
        <v>37</v>
      </c>
      <c r="E13" s="231">
        <v>40</v>
      </c>
      <c r="F13" s="35"/>
      <c r="G13" s="629"/>
    </row>
    <row r="14" spans="1:12" ht="38.4" customHeight="1">
      <c r="A14" s="624" t="s">
        <v>1065</v>
      </c>
      <c r="B14" s="48" t="s">
        <v>49</v>
      </c>
      <c r="C14" s="49" t="s">
        <v>50</v>
      </c>
      <c r="D14" s="50" t="s">
        <v>36</v>
      </c>
      <c r="E14" s="231">
        <v>328</v>
      </c>
      <c r="F14" s="35"/>
      <c r="G14" s="629"/>
      <c r="H14" s="469">
        <f>E9+E10-E11</f>
        <v>328</v>
      </c>
    </row>
    <row r="15" spans="1:12" ht="38.4" customHeight="1" thickBot="1">
      <c r="A15" s="631"/>
      <c r="B15" s="783" t="s">
        <v>1066</v>
      </c>
      <c r="C15" s="784"/>
      <c r="D15" s="784"/>
      <c r="E15" s="784"/>
      <c r="F15" s="785"/>
      <c r="G15" s="632"/>
    </row>
    <row r="16" spans="1:12" ht="38.4" customHeight="1"/>
    <row r="17" ht="38.4" customHeight="1"/>
    <row r="18" ht="38.4" customHeight="1"/>
    <row r="19" ht="38.4" customHeight="1"/>
    <row r="20" ht="38.4" customHeight="1"/>
    <row r="21" ht="34.799999999999997" customHeight="1"/>
    <row r="22" ht="34.799999999999997" customHeight="1"/>
    <row r="23" ht="34.799999999999997" customHeight="1"/>
    <row r="24" ht="34.799999999999997" customHeight="1"/>
    <row r="25" ht="34.799999999999997" customHeight="1"/>
    <row r="26" ht="34.799999999999997" customHeight="1"/>
  </sheetData>
  <mergeCells count="3">
    <mergeCell ref="A1:C1"/>
    <mergeCell ref="D1:G1"/>
    <mergeCell ref="B15:F15"/>
  </mergeCells>
  <phoneticPr fontId="32" type="noConversion"/>
  <printOptions horizontalCentered="1"/>
  <pageMargins left="0.75" right="0.4" top="0.75" bottom="0.5" header="0" footer="0"/>
  <pageSetup paperSize="9" scale="78" fitToHeight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038DF-0D49-474B-8744-A5F46A570468}">
  <sheetPr>
    <tabColor rgb="FFFF9933"/>
    <pageSetUpPr fitToPage="1"/>
  </sheetPr>
  <dimension ref="A1:O44"/>
  <sheetViews>
    <sheetView view="pageBreakPreview" zoomScaleNormal="110" zoomScaleSheetLayoutView="100" workbookViewId="0">
      <pane ySplit="2" topLeftCell="A3" activePane="bottomLeft" state="frozen"/>
      <selection activeCell="F32" sqref="F32"/>
      <selection pane="bottomLeft" activeCell="H1" sqref="H1:O1048576"/>
    </sheetView>
  </sheetViews>
  <sheetFormatPr defaultColWidth="9.109375" defaultRowHeight="15"/>
  <cols>
    <col min="1" max="1" width="7.6640625" style="31" customWidth="1"/>
    <col min="2" max="2" width="9.5546875" style="31" customWidth="1"/>
    <col min="3" max="3" width="54" style="31" customWidth="1"/>
    <col min="4" max="4" width="7.6640625" style="31" customWidth="1"/>
    <col min="5" max="5" width="8.6640625" style="567" customWidth="1"/>
    <col min="6" max="6" width="10.6640625" style="31" customWidth="1"/>
    <col min="7" max="7" width="17.6640625" style="31" customWidth="1"/>
    <col min="8" max="8" width="11.5546875" style="471" hidden="1" customWidth="1"/>
    <col min="9" max="15" width="0" style="31" hidden="1" customWidth="1"/>
    <col min="16" max="16384" width="9.109375" style="31"/>
  </cols>
  <sheetData>
    <row r="1" spans="1:8" s="27" customFormat="1" ht="54" customHeight="1" thickBot="1">
      <c r="A1" s="778" t="s">
        <v>1067</v>
      </c>
      <c r="B1" s="779"/>
      <c r="C1" s="779"/>
      <c r="D1" s="789" t="str">
        <f>+'Bill 6.2.1'!D1:G1</f>
        <v>BILL NO. 6.2 - 
REDUCTION OF LANDSLIDE VULNERABILITY  BY MITIGATION MEASURES GAMMANA MAHA VIDYALAYA - AREA II (SITE NO. 90)</v>
      </c>
      <c r="E1" s="789"/>
      <c r="F1" s="789"/>
      <c r="G1" s="790"/>
      <c r="H1" s="470"/>
    </row>
    <row r="2" spans="1:8" ht="26.4">
      <c r="A2" s="620" t="s">
        <v>13</v>
      </c>
      <c r="B2" s="28" t="s">
        <v>14</v>
      </c>
      <c r="C2" s="29" t="s">
        <v>8</v>
      </c>
      <c r="D2" s="28" t="s">
        <v>15</v>
      </c>
      <c r="E2" s="565" t="s">
        <v>16</v>
      </c>
      <c r="F2" s="30" t="s">
        <v>17</v>
      </c>
      <c r="G2" s="621" t="s">
        <v>18</v>
      </c>
    </row>
    <row r="3" spans="1:8" ht="20.399999999999999" customHeight="1">
      <c r="A3" s="633" t="s">
        <v>1068</v>
      </c>
      <c r="B3" s="60"/>
      <c r="C3" s="42" t="s">
        <v>250</v>
      </c>
      <c r="D3" s="61"/>
      <c r="E3" s="235"/>
      <c r="F3" s="61"/>
      <c r="G3" s="634"/>
    </row>
    <row r="4" spans="1:8" ht="29.4" customHeight="1">
      <c r="A4" s="624" t="s">
        <v>1069</v>
      </c>
      <c r="B4" s="62" t="s">
        <v>55</v>
      </c>
      <c r="C4" s="45" t="s">
        <v>56</v>
      </c>
      <c r="D4" s="33" t="s">
        <v>36</v>
      </c>
      <c r="E4" s="234">
        <v>3</v>
      </c>
      <c r="F4" s="35"/>
      <c r="G4" s="629"/>
      <c r="H4" s="472">
        <f>'Drains 90(2)'!I106</f>
        <v>2.2577500000000001</v>
      </c>
    </row>
    <row r="5" spans="1:8" ht="29.4" customHeight="1">
      <c r="A5" s="624" t="s">
        <v>1070</v>
      </c>
      <c r="B5" s="62" t="s">
        <v>58</v>
      </c>
      <c r="C5" s="45" t="s">
        <v>59</v>
      </c>
      <c r="D5" s="33" t="s">
        <v>36</v>
      </c>
      <c r="E5" s="234">
        <v>10</v>
      </c>
      <c r="F5" s="35"/>
      <c r="G5" s="629"/>
      <c r="H5" s="472">
        <f>'Drains 90(2)'!J106+'Drains 90(2)'!J107</f>
        <v>9.9776937500000003</v>
      </c>
    </row>
    <row r="6" spans="1:8" ht="24" customHeight="1">
      <c r="A6" s="624" t="s">
        <v>1071</v>
      </c>
      <c r="B6" s="62" t="s">
        <v>61</v>
      </c>
      <c r="C6" s="45" t="s">
        <v>62</v>
      </c>
      <c r="D6" s="33" t="s">
        <v>63</v>
      </c>
      <c r="E6" s="234">
        <v>667</v>
      </c>
      <c r="F6" s="35"/>
      <c r="G6" s="629"/>
      <c r="H6" s="472">
        <f>'Drains 90(2)'!U107</f>
        <v>666.22530864197529</v>
      </c>
    </row>
    <row r="7" spans="1:8" ht="19.8" customHeight="1">
      <c r="A7" s="624" t="s">
        <v>1072</v>
      </c>
      <c r="B7" s="62" t="s">
        <v>65</v>
      </c>
      <c r="C7" s="45" t="s">
        <v>66</v>
      </c>
      <c r="D7" s="33" t="s">
        <v>24</v>
      </c>
      <c r="E7" s="234">
        <v>128</v>
      </c>
      <c r="F7" s="35"/>
      <c r="G7" s="629"/>
      <c r="H7" s="472">
        <f>'Drains 90(2)'!K106+'Drains 90(2)'!K107</f>
        <v>127.8755</v>
      </c>
    </row>
    <row r="8" spans="1:8" ht="16.8" customHeight="1">
      <c r="A8" s="633" t="s">
        <v>1073</v>
      </c>
      <c r="B8" s="60"/>
      <c r="C8" s="42" t="s">
        <v>68</v>
      </c>
      <c r="D8" s="61"/>
      <c r="E8" s="235"/>
      <c r="F8" s="61"/>
      <c r="G8" s="634"/>
    </row>
    <row r="9" spans="1:8" ht="29.4" customHeight="1">
      <c r="A9" s="624" t="s">
        <v>1074</v>
      </c>
      <c r="B9" s="62" t="s">
        <v>55</v>
      </c>
      <c r="C9" s="45" t="s">
        <v>56</v>
      </c>
      <c r="D9" s="33" t="s">
        <v>36</v>
      </c>
      <c r="E9" s="234">
        <v>1</v>
      </c>
      <c r="F9" s="35"/>
      <c r="G9" s="629"/>
      <c r="H9" s="472">
        <f>'Drains 90(2)'!I112</f>
        <v>0.86196000000000028</v>
      </c>
    </row>
    <row r="10" spans="1:8" ht="29.4" customHeight="1">
      <c r="A10" s="624" t="s">
        <v>1075</v>
      </c>
      <c r="B10" s="62" t="s">
        <v>58</v>
      </c>
      <c r="C10" s="45" t="s">
        <v>59</v>
      </c>
      <c r="D10" s="33" t="s">
        <v>36</v>
      </c>
      <c r="E10" s="234">
        <v>5</v>
      </c>
      <c r="F10" s="35"/>
      <c r="G10" s="629"/>
      <c r="H10" s="472">
        <f>'Drains 90(2)'!J112+'Drains 90(2)'!J113</f>
        <v>4.3323000000000009</v>
      </c>
    </row>
    <row r="11" spans="1:8" ht="26.4" customHeight="1">
      <c r="A11" s="624" t="s">
        <v>1076</v>
      </c>
      <c r="B11" s="62" t="s">
        <v>61</v>
      </c>
      <c r="C11" s="45" t="s">
        <v>62</v>
      </c>
      <c r="D11" s="33" t="s">
        <v>63</v>
      </c>
      <c r="E11" s="234">
        <v>265</v>
      </c>
      <c r="F11" s="35"/>
      <c r="G11" s="629"/>
      <c r="H11" s="472">
        <f>'Drains 90(2)'!U113</f>
        <v>264.97700617283948</v>
      </c>
    </row>
    <row r="12" spans="1:8" ht="28.2" customHeight="1">
      <c r="A12" s="624" t="s">
        <v>1077</v>
      </c>
      <c r="B12" s="62" t="s">
        <v>65</v>
      </c>
      <c r="C12" s="45" t="s">
        <v>66</v>
      </c>
      <c r="D12" s="33" t="s">
        <v>24</v>
      </c>
      <c r="E12" s="234">
        <v>57</v>
      </c>
      <c r="F12" s="35"/>
      <c r="G12" s="629"/>
      <c r="H12" s="472">
        <f>'Drains 90(2)'!K112+'Drains 90(2)'!K113</f>
        <v>56.7714</v>
      </c>
    </row>
    <row r="13" spans="1:8" ht="25.2" customHeight="1">
      <c r="A13" s="633" t="s">
        <v>1078</v>
      </c>
      <c r="B13" s="60"/>
      <c r="C13" s="42" t="s">
        <v>895</v>
      </c>
      <c r="D13" s="61"/>
      <c r="E13" s="235"/>
      <c r="F13" s="61"/>
      <c r="G13" s="634"/>
    </row>
    <row r="14" spans="1:8" ht="38.4" customHeight="1">
      <c r="A14" s="624" t="s">
        <v>1079</v>
      </c>
      <c r="B14" s="62" t="s">
        <v>55</v>
      </c>
      <c r="C14" s="45" t="s">
        <v>56</v>
      </c>
      <c r="D14" s="33" t="s">
        <v>36</v>
      </c>
      <c r="E14" s="234">
        <v>1</v>
      </c>
      <c r="F14" s="35"/>
      <c r="G14" s="629"/>
      <c r="H14" s="472">
        <f>'Drains 90(2)'!I117</f>
        <v>0.40425000000000005</v>
      </c>
    </row>
    <row r="15" spans="1:8" ht="38.4" customHeight="1">
      <c r="A15" s="624" t="s">
        <v>1080</v>
      </c>
      <c r="B15" s="62" t="s">
        <v>58</v>
      </c>
      <c r="C15" s="45" t="s">
        <v>59</v>
      </c>
      <c r="D15" s="33" t="s">
        <v>36</v>
      </c>
      <c r="E15" s="234">
        <v>3</v>
      </c>
      <c r="F15" s="35"/>
      <c r="G15" s="629"/>
      <c r="H15" s="472">
        <f>'Drains 90(2)'!J117+'Drains 90(2)'!J118</f>
        <v>2.5371093750000004</v>
      </c>
    </row>
    <row r="16" spans="1:8" ht="28.8" customHeight="1">
      <c r="A16" s="624" t="s">
        <v>1081</v>
      </c>
      <c r="B16" s="62" t="s">
        <v>61</v>
      </c>
      <c r="C16" s="45" t="s">
        <v>62</v>
      </c>
      <c r="D16" s="33" t="s">
        <v>63</v>
      </c>
      <c r="E16" s="234">
        <v>135</v>
      </c>
      <c r="F16" s="35"/>
      <c r="G16" s="629"/>
      <c r="H16" s="472">
        <f>'Drains 90(2)'!U118</f>
        <v>131.50925925925927</v>
      </c>
    </row>
    <row r="17" spans="1:15" ht="24.6" customHeight="1">
      <c r="A17" s="624" t="s">
        <v>1082</v>
      </c>
      <c r="B17" s="62" t="s">
        <v>65</v>
      </c>
      <c r="C17" s="45" t="s">
        <v>66</v>
      </c>
      <c r="D17" s="33" t="s">
        <v>24</v>
      </c>
      <c r="E17" s="234">
        <v>27</v>
      </c>
      <c r="F17" s="35"/>
      <c r="G17" s="629"/>
      <c r="H17" s="472">
        <f>'Drains 90(2)'!K117+'Drains 90(2)'!K118</f>
        <v>26.625000000000004</v>
      </c>
    </row>
    <row r="18" spans="1:15" ht="24" customHeight="1">
      <c r="A18" s="633" t="s">
        <v>1083</v>
      </c>
      <c r="B18" s="51"/>
      <c r="C18" s="55" t="s">
        <v>870</v>
      </c>
      <c r="D18" s="41"/>
      <c r="E18" s="236"/>
      <c r="F18" s="41"/>
      <c r="G18" s="630"/>
    </row>
    <row r="19" spans="1:15" ht="38.4" customHeight="1">
      <c r="A19" s="624" t="s">
        <v>1084</v>
      </c>
      <c r="B19" s="62" t="s">
        <v>55</v>
      </c>
      <c r="C19" s="45" t="s">
        <v>56</v>
      </c>
      <c r="D19" s="33" t="s">
        <v>36</v>
      </c>
      <c r="E19" s="234">
        <v>2</v>
      </c>
      <c r="F19" s="35"/>
      <c r="G19" s="629"/>
      <c r="H19" s="472">
        <f>'Drains 90(2)'!I172</f>
        <v>1.2978732800000001</v>
      </c>
    </row>
    <row r="20" spans="1:15" ht="34.799999999999997" customHeight="1">
      <c r="A20" s="624" t="s">
        <v>1085</v>
      </c>
      <c r="B20" s="62" t="s">
        <v>58</v>
      </c>
      <c r="C20" s="45" t="s">
        <v>59</v>
      </c>
      <c r="D20" s="33" t="s">
        <v>36</v>
      </c>
      <c r="E20" s="234">
        <v>7</v>
      </c>
      <c r="F20" s="35"/>
      <c r="G20" s="629"/>
      <c r="H20" s="472">
        <f>'Drains 90(2)'!J172+'Drains 90(2)'!J173</f>
        <v>6.920297392000001</v>
      </c>
    </row>
    <row r="21" spans="1:15" ht="28.8" customHeight="1">
      <c r="A21" s="624" t="s">
        <v>1086</v>
      </c>
      <c r="B21" s="62" t="s">
        <v>61</v>
      </c>
      <c r="C21" s="45" t="s">
        <v>62</v>
      </c>
      <c r="D21" s="33" t="s">
        <v>63</v>
      </c>
      <c r="E21" s="234">
        <v>355</v>
      </c>
      <c r="F21" s="35"/>
      <c r="G21" s="629"/>
      <c r="H21" s="472">
        <f>'Drains 90(2)'!U173</f>
        <v>353.77568641975307</v>
      </c>
    </row>
    <row r="22" spans="1:15" ht="31.8" customHeight="1">
      <c r="A22" s="624" t="s">
        <v>1087</v>
      </c>
      <c r="B22" s="62" t="s">
        <v>65</v>
      </c>
      <c r="C22" s="45" t="s">
        <v>66</v>
      </c>
      <c r="D22" s="33" t="s">
        <v>24</v>
      </c>
      <c r="E22" s="234">
        <v>100</v>
      </c>
      <c r="F22" s="35"/>
      <c r="G22" s="629"/>
      <c r="H22" s="472">
        <f>'Drains 90(2)'!K172+'Drains 90(2)'!K173</f>
        <v>98.221763199999984</v>
      </c>
    </row>
    <row r="23" spans="1:15" ht="25.8" customHeight="1">
      <c r="A23" s="633" t="s">
        <v>1088</v>
      </c>
      <c r="B23" s="51"/>
      <c r="C23" s="55" t="s">
        <v>896</v>
      </c>
      <c r="D23" s="41"/>
      <c r="E23" s="236"/>
      <c r="F23" s="41"/>
      <c r="G23" s="630"/>
    </row>
    <row r="24" spans="1:15" ht="34.799999999999997" customHeight="1">
      <c r="A24" s="624" t="s">
        <v>1089</v>
      </c>
      <c r="B24" s="62" t="s">
        <v>55</v>
      </c>
      <c r="C24" s="45" t="s">
        <v>56</v>
      </c>
      <c r="D24" s="33" t="s">
        <v>36</v>
      </c>
      <c r="E24" s="234">
        <v>1</v>
      </c>
      <c r="F24" s="35"/>
      <c r="G24" s="629"/>
      <c r="H24" s="472">
        <f>'Drains 90(2)'!I176</f>
        <v>0.6768938000000001</v>
      </c>
    </row>
    <row r="25" spans="1:15" ht="34.799999999999997" customHeight="1">
      <c r="A25" s="624" t="s">
        <v>1090</v>
      </c>
      <c r="B25" s="62" t="s">
        <v>58</v>
      </c>
      <c r="C25" s="45" t="s">
        <v>59</v>
      </c>
      <c r="D25" s="33" t="s">
        <v>36</v>
      </c>
      <c r="E25" s="234">
        <v>4</v>
      </c>
      <c r="F25" s="35"/>
      <c r="G25" s="629"/>
      <c r="H25" s="472">
        <f>'Drains 90(2)'!J176+'Drains 90(2)'!J177</f>
        <v>3.7323250160000003</v>
      </c>
    </row>
    <row r="26" spans="1:15" ht="34.799999999999997" customHeight="1">
      <c r="A26" s="624" t="s">
        <v>1091</v>
      </c>
      <c r="B26" s="62" t="s">
        <v>61</v>
      </c>
      <c r="C26" s="45" t="s">
        <v>62</v>
      </c>
      <c r="D26" s="33" t="s">
        <v>63</v>
      </c>
      <c r="E26" s="234">
        <v>200</v>
      </c>
      <c r="F26" s="35"/>
      <c r="G26" s="629"/>
      <c r="H26" s="472">
        <f>'Drains 90(2)'!U177</f>
        <v>197.1311037037037</v>
      </c>
    </row>
    <row r="27" spans="1:15" ht="23.4" customHeight="1">
      <c r="A27" s="624" t="s">
        <v>1092</v>
      </c>
      <c r="B27" s="62" t="s">
        <v>65</v>
      </c>
      <c r="C27" s="45" t="s">
        <v>66</v>
      </c>
      <c r="D27" s="33" t="s">
        <v>24</v>
      </c>
      <c r="E27" s="234">
        <v>55</v>
      </c>
      <c r="F27" s="35"/>
      <c r="G27" s="629"/>
      <c r="H27" s="472">
        <f>'Drains 90(2)'!K176+'Drains 90(2)'!K177</f>
        <v>53.72877840000001</v>
      </c>
    </row>
    <row r="28" spans="1:15" s="65" customFormat="1" ht="16.2" customHeight="1">
      <c r="A28" s="633" t="s">
        <v>1093</v>
      </c>
      <c r="B28" s="46"/>
      <c r="C28" s="66" t="s">
        <v>1183</v>
      </c>
      <c r="D28" s="46"/>
      <c r="E28" s="231"/>
      <c r="F28" s="57"/>
      <c r="G28" s="277"/>
      <c r="H28" s="473"/>
    </row>
    <row r="29" spans="1:15" s="65" customFormat="1" ht="31.95" customHeight="1">
      <c r="A29" s="635" t="s">
        <v>1094</v>
      </c>
      <c r="B29" s="46" t="s">
        <v>85</v>
      </c>
      <c r="C29" s="58" t="s">
        <v>332</v>
      </c>
      <c r="D29" s="46" t="s">
        <v>5</v>
      </c>
      <c r="E29" s="231">
        <v>47</v>
      </c>
      <c r="F29" s="57"/>
      <c r="G29" s="277"/>
      <c r="H29" s="474">
        <f>'Drains 90(2)'!D178+'Drains 90(2)'!D174</f>
        <v>47</v>
      </c>
    </row>
    <row r="30" spans="1:15" ht="18.600000000000001" customHeight="1">
      <c r="A30" s="633" t="s">
        <v>1095</v>
      </c>
      <c r="B30" s="51"/>
      <c r="C30" s="55" t="s">
        <v>897</v>
      </c>
      <c r="D30" s="41"/>
      <c r="E30" s="236"/>
      <c r="F30" s="41"/>
      <c r="G30" s="630"/>
    </row>
    <row r="31" spans="1:15" customFormat="1" ht="24.6" customHeight="1">
      <c r="A31" s="662" t="s">
        <v>1096</v>
      </c>
      <c r="B31" s="33" t="s">
        <v>777</v>
      </c>
      <c r="C31" s="253" t="s">
        <v>778</v>
      </c>
      <c r="D31" s="33" t="s">
        <v>36</v>
      </c>
      <c r="E31" s="234">
        <v>225</v>
      </c>
      <c r="F31" s="269"/>
      <c r="G31" s="659"/>
      <c r="H31" s="513">
        <f>'QTY 90(2)'!J70</f>
        <v>224.76960000000005</v>
      </c>
      <c r="K31" s="826" t="s">
        <v>898</v>
      </c>
      <c r="L31" s="827"/>
      <c r="M31" s="827"/>
      <c r="N31" s="827"/>
      <c r="O31" s="828"/>
    </row>
    <row r="32" spans="1:15" customFormat="1" ht="30" customHeight="1">
      <c r="A32" s="662" t="s">
        <v>1097</v>
      </c>
      <c r="B32" s="476" t="s">
        <v>55</v>
      </c>
      <c r="C32" s="475" t="s">
        <v>899</v>
      </c>
      <c r="D32" s="476" t="s">
        <v>37</v>
      </c>
      <c r="E32" s="578">
        <v>8</v>
      </c>
      <c r="F32" s="57"/>
      <c r="G32" s="659"/>
      <c r="H32" s="513">
        <f>'QTY 90(2)'!J71</f>
        <v>7.0760800000000019</v>
      </c>
      <c r="K32" s="829"/>
      <c r="L32" s="830"/>
      <c r="M32" s="830"/>
      <c r="N32" s="830"/>
      <c r="O32" s="831"/>
    </row>
    <row r="33" spans="1:15" customFormat="1" ht="23.4" customHeight="1">
      <c r="A33" s="662" t="s">
        <v>1098</v>
      </c>
      <c r="B33" s="476" t="s">
        <v>58</v>
      </c>
      <c r="C33" s="475" t="s">
        <v>900</v>
      </c>
      <c r="D33" s="476" t="s">
        <v>37</v>
      </c>
      <c r="E33" s="578">
        <v>30</v>
      </c>
      <c r="F33" s="57"/>
      <c r="G33" s="659"/>
      <c r="H33" s="513">
        <f>'QTY 90(2)'!J72</f>
        <v>29.136800000000001</v>
      </c>
      <c r="K33" s="829"/>
      <c r="L33" s="830"/>
      <c r="M33" s="830"/>
      <c r="N33" s="830"/>
      <c r="O33" s="831"/>
    </row>
    <row r="34" spans="1:15" ht="20.399999999999999" customHeight="1">
      <c r="A34" s="662" t="s">
        <v>1099</v>
      </c>
      <c r="B34" s="62" t="s">
        <v>65</v>
      </c>
      <c r="C34" s="45" t="s">
        <v>66</v>
      </c>
      <c r="D34" s="33" t="s">
        <v>24</v>
      </c>
      <c r="E34" s="234">
        <v>86</v>
      </c>
      <c r="F34" s="35"/>
      <c r="G34" s="659"/>
      <c r="H34" s="59">
        <f>'QTY 90(2)'!J79</f>
        <v>85.118000000000023</v>
      </c>
      <c r="K34" s="829"/>
      <c r="L34" s="830"/>
      <c r="M34" s="830"/>
      <c r="N34" s="830"/>
      <c r="O34" s="831"/>
    </row>
    <row r="35" spans="1:15" customFormat="1" ht="19.2" customHeight="1">
      <c r="A35" s="662" t="s">
        <v>1100</v>
      </c>
      <c r="B35" s="476" t="s">
        <v>61</v>
      </c>
      <c r="C35" s="475" t="s">
        <v>62</v>
      </c>
      <c r="D35" s="476" t="s">
        <v>63</v>
      </c>
      <c r="E35" s="578">
        <v>930</v>
      </c>
      <c r="F35" s="57"/>
      <c r="G35" s="659"/>
      <c r="H35" s="513">
        <f>'QTY 90(2)'!J84</f>
        <v>925.89611400000013</v>
      </c>
      <c r="K35" s="829"/>
      <c r="L35" s="830"/>
      <c r="M35" s="830"/>
      <c r="N35" s="830"/>
      <c r="O35" s="831"/>
    </row>
    <row r="36" spans="1:15" customFormat="1" ht="24" customHeight="1">
      <c r="A36" s="662" t="s">
        <v>1101</v>
      </c>
      <c r="B36" s="476" t="s">
        <v>901</v>
      </c>
      <c r="C36" s="475" t="s">
        <v>902</v>
      </c>
      <c r="D36" s="476" t="s">
        <v>37</v>
      </c>
      <c r="E36" s="578">
        <v>72</v>
      </c>
      <c r="F36" s="57"/>
      <c r="G36" s="659"/>
      <c r="H36" s="513">
        <f>'QTY 90(2)'!J73</f>
        <v>71.593280000000007</v>
      </c>
      <c r="K36" s="829"/>
      <c r="L36" s="830"/>
      <c r="M36" s="830"/>
      <c r="N36" s="830"/>
      <c r="O36" s="831"/>
    </row>
    <row r="37" spans="1:15" customFormat="1" ht="23.4" customHeight="1">
      <c r="A37" s="662" t="s">
        <v>1102</v>
      </c>
      <c r="B37" s="476" t="s">
        <v>779</v>
      </c>
      <c r="C37" s="475" t="s">
        <v>780</v>
      </c>
      <c r="D37" s="477" t="s">
        <v>372</v>
      </c>
      <c r="E37" s="578">
        <v>211</v>
      </c>
      <c r="F37" s="57"/>
      <c r="G37" s="659"/>
      <c r="H37" s="513">
        <f>'QTY 90(2)'!J74</f>
        <v>210.61744000000002</v>
      </c>
      <c r="K37" s="829"/>
      <c r="L37" s="830"/>
      <c r="M37" s="830"/>
      <c r="N37" s="830"/>
      <c r="O37" s="831"/>
    </row>
    <row r="38" spans="1:15" customFormat="1" ht="24" customHeight="1">
      <c r="A38" s="662" t="s">
        <v>1103</v>
      </c>
      <c r="B38" s="476" t="s">
        <v>783</v>
      </c>
      <c r="C38" s="475" t="s">
        <v>903</v>
      </c>
      <c r="D38" s="477" t="s">
        <v>5</v>
      </c>
      <c r="E38" s="578">
        <v>83</v>
      </c>
      <c r="F38" s="57"/>
      <c r="G38" s="659"/>
      <c r="H38" s="513">
        <f>'QTY 90(2)'!J86</f>
        <v>82.94</v>
      </c>
      <c r="K38" s="829"/>
      <c r="L38" s="830"/>
      <c r="M38" s="830"/>
      <c r="N38" s="830"/>
      <c r="O38" s="831"/>
    </row>
    <row r="39" spans="1:15" ht="23.4" customHeight="1">
      <c r="A39" s="662" t="s">
        <v>1104</v>
      </c>
      <c r="B39" s="62" t="s">
        <v>785</v>
      </c>
      <c r="C39" s="45" t="s">
        <v>904</v>
      </c>
      <c r="D39" s="33" t="s">
        <v>24</v>
      </c>
      <c r="E39" s="234">
        <v>60</v>
      </c>
      <c r="F39" s="269"/>
      <c r="G39" s="629"/>
      <c r="H39" s="513">
        <f>'QTY 90(2)'!J75</f>
        <v>58.273600000000002</v>
      </c>
      <c r="K39" s="832"/>
      <c r="L39" s="833"/>
      <c r="M39" s="833"/>
      <c r="N39" s="833"/>
      <c r="O39" s="834"/>
    </row>
    <row r="40" spans="1:15" customFormat="1" ht="21" customHeight="1">
      <c r="A40" s="663" t="s">
        <v>1105</v>
      </c>
      <c r="B40" s="56"/>
      <c r="C40" s="55" t="s">
        <v>905</v>
      </c>
      <c r="D40" s="56"/>
      <c r="E40" s="579"/>
      <c r="F40" s="57"/>
      <c r="G40" s="659"/>
    </row>
    <row r="41" spans="1:15" customFormat="1" ht="63.6" customHeight="1">
      <c r="A41" s="662" t="s">
        <v>1106</v>
      </c>
      <c r="B41" s="62" t="s">
        <v>789</v>
      </c>
      <c r="C41" s="45" t="s">
        <v>906</v>
      </c>
      <c r="D41" s="33" t="s">
        <v>5</v>
      </c>
      <c r="E41" s="234">
        <v>67</v>
      </c>
      <c r="F41" s="269"/>
      <c r="G41" s="629"/>
      <c r="H41" s="513">
        <f>'Sheet90(2)'!B12*1.1</f>
        <v>66.077000000000012</v>
      </c>
    </row>
    <row r="42" spans="1:15" customFormat="1" ht="17.399999999999999" customHeight="1">
      <c r="A42" s="663" t="s">
        <v>1107</v>
      </c>
      <c r="B42" s="62"/>
      <c r="C42" s="561" t="s">
        <v>496</v>
      </c>
      <c r="D42" s="33"/>
      <c r="E42" s="234"/>
      <c r="F42" s="269"/>
      <c r="G42" s="629"/>
      <c r="H42" s="513"/>
    </row>
    <row r="43" spans="1:15" customFormat="1" ht="41.4" customHeight="1">
      <c r="A43" s="624" t="s">
        <v>1108</v>
      </c>
      <c r="B43" s="643" t="s">
        <v>501</v>
      </c>
      <c r="C43" s="253" t="s">
        <v>502</v>
      </c>
      <c r="D43" s="46" t="s">
        <v>372</v>
      </c>
      <c r="E43" s="231">
        <v>300</v>
      </c>
      <c r="F43" s="57"/>
      <c r="G43" s="277"/>
      <c r="H43" s="513"/>
    </row>
    <row r="44" spans="1:15" ht="22.2" customHeight="1" thickBot="1">
      <c r="A44" s="631"/>
      <c r="B44" s="783" t="s">
        <v>1109</v>
      </c>
      <c r="C44" s="784"/>
      <c r="D44" s="784"/>
      <c r="E44" s="784"/>
      <c r="F44" s="785"/>
      <c r="G44" s="632"/>
    </row>
  </sheetData>
  <mergeCells count="4">
    <mergeCell ref="A1:C1"/>
    <mergeCell ref="D1:G1"/>
    <mergeCell ref="K31:O39"/>
    <mergeCell ref="B44:F44"/>
  </mergeCells>
  <phoneticPr fontId="32" type="noConversion"/>
  <printOptions horizontalCentered="1"/>
  <pageMargins left="0.75" right="0.4" top="0.75" bottom="0.5" header="0" footer="0"/>
  <pageSetup paperSize="9" scale="78" fitToHeight="0" orientation="portrait" r:id="rId1"/>
  <rowBreaks count="1" manualBreakCount="1">
    <brk id="29" max="6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902C4-E7CE-44C7-AD2C-70BB25ED1E82}">
  <sheetPr>
    <tabColor rgb="FF00B050"/>
  </sheetPr>
  <dimension ref="A1:L163"/>
  <sheetViews>
    <sheetView view="pageBreakPreview" zoomScaleNormal="100" zoomScaleSheetLayoutView="100" workbookViewId="0">
      <pane ySplit="2" topLeftCell="A3" activePane="bottomLeft" state="frozen"/>
      <selection activeCell="D11" sqref="D11"/>
      <selection pane="bottomLeft" activeCell="D11" sqref="D11"/>
    </sheetView>
  </sheetViews>
  <sheetFormatPr defaultColWidth="9.109375" defaultRowHeight="13.2"/>
  <cols>
    <col min="1" max="1" width="26.5546875" style="67" customWidth="1"/>
    <col min="2" max="5" width="10.6640625" style="67" customWidth="1"/>
    <col min="6" max="7" width="12.6640625" style="67" customWidth="1"/>
    <col min="8" max="8" width="5.5546875" style="67" customWidth="1"/>
    <col min="9" max="10" width="12.6640625" style="67" customWidth="1"/>
    <col min="11" max="11" width="10.33203125" style="67" bestFit="1" customWidth="1"/>
    <col min="12" max="12" width="10" style="67" bestFit="1" customWidth="1"/>
    <col min="13" max="15" width="9.109375" style="67"/>
    <col min="16" max="16" width="11.109375" style="67" bestFit="1" customWidth="1"/>
    <col min="17" max="16384" width="9.109375" style="67"/>
  </cols>
  <sheetData>
    <row r="1" spans="1:12" ht="20.100000000000001" customHeight="1">
      <c r="A1" s="739" t="s">
        <v>875</v>
      </c>
      <c r="B1" s="740"/>
      <c r="C1" s="740"/>
      <c r="D1" s="740"/>
      <c r="E1" s="740"/>
      <c r="F1" s="740"/>
      <c r="G1" s="740"/>
      <c r="H1" s="740"/>
      <c r="I1" s="740"/>
      <c r="J1" s="741"/>
    </row>
    <row r="2" spans="1:12" s="70" customFormat="1" ht="30" customHeight="1">
      <c r="A2" s="68"/>
      <c r="B2" s="69" t="s">
        <v>90</v>
      </c>
      <c r="C2" s="69" t="s">
        <v>91</v>
      </c>
      <c r="D2" s="69" t="s">
        <v>6</v>
      </c>
      <c r="E2" s="69" t="s">
        <v>92</v>
      </c>
      <c r="F2" s="69" t="s">
        <v>93</v>
      </c>
      <c r="G2" s="69" t="s">
        <v>94</v>
      </c>
      <c r="H2" s="69" t="s">
        <v>95</v>
      </c>
      <c r="I2" s="69" t="s">
        <v>96</v>
      </c>
      <c r="J2" s="69" t="s">
        <v>97</v>
      </c>
      <c r="L2" s="71"/>
    </row>
    <row r="3" spans="1:12" ht="24.9" customHeight="1">
      <c r="A3" s="742" t="s">
        <v>98</v>
      </c>
      <c r="B3" s="743"/>
      <c r="C3" s="743"/>
      <c r="D3" s="743"/>
      <c r="E3" s="743"/>
      <c r="F3" s="743"/>
      <c r="G3" s="743"/>
      <c r="H3" s="743"/>
      <c r="I3" s="743"/>
      <c r="J3" s="744"/>
    </row>
    <row r="4" spans="1:12" ht="15">
      <c r="A4" s="745" t="s">
        <v>99</v>
      </c>
      <c r="B4" s="746"/>
      <c r="C4" s="746"/>
      <c r="D4" s="746"/>
      <c r="E4" s="746"/>
      <c r="F4" s="747"/>
      <c r="G4" s="72"/>
      <c r="H4" s="73"/>
      <c r="I4" s="72"/>
      <c r="J4" s="72"/>
    </row>
    <row r="5" spans="1:12" ht="15">
      <c r="A5" s="74" t="s">
        <v>577</v>
      </c>
      <c r="B5" s="75">
        <v>6.63</v>
      </c>
      <c r="C5" s="76">
        <v>10.75</v>
      </c>
      <c r="D5" s="77"/>
      <c r="E5" s="76"/>
      <c r="F5" s="75">
        <f>B5*C5</f>
        <v>71.272499999999994</v>
      </c>
      <c r="G5" s="76"/>
      <c r="H5" s="76" t="s">
        <v>393</v>
      </c>
      <c r="I5" s="78">
        <f>F5*1.1</f>
        <v>78.399749999999997</v>
      </c>
      <c r="J5" s="127">
        <f>ROUNDUP(I5,2)</f>
        <v>78.400000000000006</v>
      </c>
      <c r="L5" s="79"/>
    </row>
    <row r="6" spans="1:12" ht="15">
      <c r="A6" s="83" t="s">
        <v>907</v>
      </c>
      <c r="B6" s="81">
        <v>17.100000000000001</v>
      </c>
      <c r="C6" s="81">
        <v>8.1750000000000007</v>
      </c>
      <c r="D6" s="77"/>
      <c r="E6" s="76"/>
      <c r="F6" s="75">
        <f>B6*C6</f>
        <v>139.79250000000002</v>
      </c>
      <c r="G6" s="76"/>
      <c r="H6" s="76" t="s">
        <v>393</v>
      </c>
      <c r="I6" s="78">
        <f>F6*1.1</f>
        <v>153.77175000000003</v>
      </c>
      <c r="J6" s="127">
        <f>ROUNDUP(I6,2)</f>
        <v>153.78</v>
      </c>
      <c r="L6" s="79"/>
    </row>
    <row r="7" spans="1:12" ht="15">
      <c r="A7" s="83" t="s">
        <v>510</v>
      </c>
      <c r="B7" s="81">
        <v>15.38</v>
      </c>
      <c r="C7" s="75">
        <v>5.6</v>
      </c>
      <c r="D7" s="77"/>
      <c r="E7" s="76"/>
      <c r="F7" s="75">
        <f t="shared" ref="F7:F11" si="0">B7*C7</f>
        <v>86.128</v>
      </c>
      <c r="G7" s="76"/>
      <c r="H7" s="76" t="s">
        <v>393</v>
      </c>
      <c r="I7" s="78">
        <f t="shared" ref="I7:I11" si="1">F7*1.1</f>
        <v>94.740800000000007</v>
      </c>
      <c r="J7" s="127">
        <f t="shared" ref="J7:J11" si="2">ROUNDUP(I7,2)</f>
        <v>94.75</v>
      </c>
      <c r="L7" s="79"/>
    </row>
    <row r="8" spans="1:12" ht="15">
      <c r="A8" s="83"/>
      <c r="B8" s="81"/>
      <c r="C8" s="75"/>
      <c r="D8" s="77"/>
      <c r="E8" s="76"/>
      <c r="F8" s="75"/>
      <c r="G8" s="76"/>
      <c r="H8" s="76"/>
      <c r="I8" s="78"/>
      <c r="J8" s="78"/>
      <c r="L8" s="79"/>
    </row>
    <row r="9" spans="1:12" ht="15">
      <c r="A9" s="83" t="s">
        <v>908</v>
      </c>
      <c r="B9" s="75">
        <v>14</v>
      </c>
      <c r="C9" s="75">
        <v>8.43</v>
      </c>
      <c r="D9" s="77"/>
      <c r="E9" s="76"/>
      <c r="F9" s="75">
        <f t="shared" si="0"/>
        <v>118.02</v>
      </c>
      <c r="G9" s="76"/>
      <c r="H9" s="76" t="s">
        <v>393</v>
      </c>
      <c r="I9" s="78">
        <f t="shared" si="1"/>
        <v>129.822</v>
      </c>
      <c r="J9" s="127">
        <f t="shared" si="2"/>
        <v>129.82999999999998</v>
      </c>
      <c r="L9" s="79"/>
    </row>
    <row r="10" spans="1:12" ht="15">
      <c r="A10" s="83" t="s">
        <v>909</v>
      </c>
      <c r="B10" s="546">
        <v>10.75</v>
      </c>
      <c r="C10" s="546">
        <v>8.52</v>
      </c>
      <c r="D10" s="77"/>
      <c r="E10" s="76"/>
      <c r="F10" s="75">
        <f t="shared" si="0"/>
        <v>91.589999999999989</v>
      </c>
      <c r="G10" s="76"/>
      <c r="H10" s="76" t="s">
        <v>393</v>
      </c>
      <c r="I10" s="78">
        <f t="shared" si="1"/>
        <v>100.749</v>
      </c>
      <c r="J10" s="127">
        <f t="shared" si="2"/>
        <v>100.75</v>
      </c>
      <c r="L10" s="79"/>
    </row>
    <row r="11" spans="1:12" ht="15">
      <c r="A11" s="83" t="s">
        <v>506</v>
      </c>
      <c r="B11" s="75">
        <v>8.8000000000000007</v>
      </c>
      <c r="C11" s="75">
        <v>8.61</v>
      </c>
      <c r="D11" s="77"/>
      <c r="E11" s="76"/>
      <c r="F11" s="75">
        <f t="shared" si="0"/>
        <v>75.768000000000001</v>
      </c>
      <c r="G11" s="76"/>
      <c r="H11" s="76" t="s">
        <v>393</v>
      </c>
      <c r="I11" s="78">
        <f t="shared" si="1"/>
        <v>83.344800000000006</v>
      </c>
      <c r="J11" s="127">
        <f t="shared" si="2"/>
        <v>83.350000000000009</v>
      </c>
      <c r="L11" s="79"/>
    </row>
    <row r="12" spans="1:12" ht="15">
      <c r="A12" s="83"/>
      <c r="B12" s="75"/>
      <c r="C12" s="75"/>
      <c r="D12" s="77"/>
      <c r="E12" s="76"/>
      <c r="F12" s="75"/>
      <c r="G12" s="76"/>
      <c r="H12" s="76"/>
      <c r="I12" s="78"/>
      <c r="J12" s="102">
        <f>SUM(J5:J11)</f>
        <v>640.86</v>
      </c>
      <c r="L12" s="79"/>
    </row>
    <row r="13" spans="1:12" ht="15">
      <c r="A13" s="83"/>
      <c r="B13" s="75"/>
      <c r="C13" s="75"/>
      <c r="D13" s="77"/>
      <c r="E13" s="76"/>
      <c r="F13" s="75"/>
      <c r="G13" s="76"/>
      <c r="H13" s="76"/>
      <c r="I13" s="78"/>
      <c r="J13" s="78"/>
      <c r="L13" s="79"/>
    </row>
    <row r="14" spans="1:12" ht="15">
      <c r="A14" s="83"/>
      <c r="B14" s="75"/>
      <c r="C14" s="75"/>
      <c r="D14" s="77"/>
      <c r="E14" s="76"/>
      <c r="F14" s="75"/>
      <c r="G14" s="76"/>
      <c r="H14" s="76"/>
      <c r="I14" s="78"/>
      <c r="J14" s="78"/>
      <c r="L14" s="79"/>
    </row>
    <row r="15" spans="1:12" ht="15">
      <c r="A15" s="83"/>
      <c r="B15" s="75"/>
      <c r="C15" s="75"/>
      <c r="D15" s="77"/>
      <c r="E15" s="76"/>
      <c r="F15" s="75"/>
      <c r="G15" s="76"/>
      <c r="H15" s="76"/>
      <c r="I15" s="78"/>
      <c r="J15" s="78"/>
      <c r="L15" s="79"/>
    </row>
    <row r="16" spans="1:12" ht="15">
      <c r="A16" s="83"/>
      <c r="B16" s="75"/>
      <c r="C16" s="75"/>
      <c r="D16" s="77"/>
      <c r="E16" s="76"/>
      <c r="F16" s="75"/>
      <c r="G16" s="76"/>
      <c r="H16" s="76"/>
      <c r="I16" s="78"/>
      <c r="J16" s="78"/>
      <c r="L16" s="79"/>
    </row>
    <row r="17" spans="1:12" ht="15">
      <c r="A17" s="83"/>
      <c r="B17" s="75"/>
      <c r="C17" s="75"/>
      <c r="D17" s="77"/>
      <c r="E17" s="76"/>
      <c r="F17" s="75"/>
      <c r="G17" s="76"/>
      <c r="H17" s="76"/>
      <c r="I17" s="78"/>
      <c r="J17" s="100"/>
    </row>
    <row r="18" spans="1:12" ht="15">
      <c r="A18" s="83"/>
      <c r="B18" s="75"/>
      <c r="C18" s="75"/>
      <c r="D18" s="77"/>
      <c r="E18" s="76"/>
      <c r="F18" s="75"/>
      <c r="G18" s="76"/>
      <c r="H18" s="76"/>
      <c r="I18" s="78"/>
      <c r="J18" s="100"/>
    </row>
    <row r="19" spans="1:12" ht="15">
      <c r="A19" s="83"/>
      <c r="B19" s="75"/>
      <c r="C19" s="75"/>
      <c r="D19" s="77"/>
      <c r="E19" s="76"/>
      <c r="F19" s="75"/>
      <c r="G19" s="76"/>
      <c r="H19" s="76"/>
      <c r="I19" s="78"/>
      <c r="J19" s="100"/>
    </row>
    <row r="20" spans="1:12" ht="15">
      <c r="A20" s="83"/>
      <c r="B20" s="75"/>
      <c r="C20" s="75"/>
      <c r="D20" s="77"/>
      <c r="E20" s="76"/>
      <c r="F20" s="75"/>
      <c r="G20" s="76"/>
      <c r="H20" s="76"/>
      <c r="I20" s="78"/>
      <c r="J20" s="100"/>
    </row>
    <row r="21" spans="1:12" ht="15">
      <c r="A21" s="86"/>
      <c r="B21" s="87"/>
      <c r="C21" s="88"/>
      <c r="D21" s="89"/>
      <c r="E21" s="90"/>
      <c r="F21" s="87"/>
      <c r="G21" s="90"/>
      <c r="H21" s="90"/>
      <c r="I21" s="91"/>
      <c r="J21" s="92"/>
    </row>
    <row r="22" spans="1:12" ht="15">
      <c r="A22" s="742" t="s">
        <v>101</v>
      </c>
      <c r="B22" s="743"/>
      <c r="C22" s="743"/>
      <c r="D22" s="743"/>
      <c r="E22" s="743"/>
      <c r="F22" s="743"/>
      <c r="G22" s="743"/>
      <c r="H22" s="743"/>
      <c r="I22" s="743"/>
      <c r="J22" s="744"/>
    </row>
    <row r="23" spans="1:12" ht="15">
      <c r="A23" s="748" t="s">
        <v>102</v>
      </c>
      <c r="B23" s="749"/>
      <c r="C23" s="749"/>
      <c r="D23" s="749"/>
      <c r="E23" s="749"/>
      <c r="F23" s="750"/>
      <c r="G23" s="72"/>
      <c r="H23" s="73"/>
      <c r="I23" s="73"/>
      <c r="J23" s="72"/>
      <c r="K23" s="93"/>
    </row>
    <row r="24" spans="1:12" ht="15">
      <c r="A24" s="748" t="s">
        <v>103</v>
      </c>
      <c r="B24" s="749"/>
      <c r="C24" s="749"/>
      <c r="D24" s="749"/>
      <c r="E24" s="749"/>
      <c r="F24" s="750"/>
      <c r="G24" s="72"/>
      <c r="H24" s="73"/>
      <c r="I24" s="72"/>
      <c r="J24" s="72"/>
      <c r="L24" s="79"/>
    </row>
    <row r="25" spans="1:12" ht="15">
      <c r="A25" s="748" t="s">
        <v>104</v>
      </c>
      <c r="B25" s="749"/>
      <c r="C25" s="749"/>
      <c r="D25" s="749"/>
      <c r="E25" s="749"/>
      <c r="F25" s="750"/>
      <c r="G25" s="94"/>
      <c r="H25" s="95"/>
      <c r="I25" s="94"/>
      <c r="J25" s="94"/>
      <c r="L25" s="79"/>
    </row>
    <row r="26" spans="1:12" ht="15">
      <c r="A26" s="83" t="s">
        <v>105</v>
      </c>
      <c r="B26" s="546"/>
      <c r="C26" s="546"/>
      <c r="D26" s="77"/>
      <c r="E26" s="76"/>
      <c r="F26" s="546"/>
      <c r="G26" s="76"/>
      <c r="H26" s="76"/>
      <c r="I26" s="78"/>
      <c r="J26" s="78"/>
      <c r="L26" s="79"/>
    </row>
    <row r="27" spans="1:12" ht="15">
      <c r="A27" s="83" t="str">
        <f>A5</f>
        <v>~CS01</v>
      </c>
      <c r="B27" s="546">
        <f>B5</f>
        <v>6.63</v>
      </c>
      <c r="C27" s="546">
        <v>2.15</v>
      </c>
      <c r="D27" s="77"/>
      <c r="E27" s="76"/>
      <c r="F27" s="546">
        <f t="shared" ref="F27:F33" si="3">B27*C27</f>
        <v>14.254499999999998</v>
      </c>
      <c r="G27" s="76"/>
      <c r="H27" s="76" t="s">
        <v>100</v>
      </c>
      <c r="I27" s="78">
        <f t="shared" ref="I27:I33" si="4">F27*1.1</f>
        <v>15.67995</v>
      </c>
      <c r="J27" s="127">
        <f t="shared" ref="J27:J29" si="5">ROUNDUP(I27,2)</f>
        <v>15.68</v>
      </c>
      <c r="L27" s="79"/>
    </row>
    <row r="28" spans="1:12" ht="15">
      <c r="A28" s="83" t="str">
        <f t="shared" ref="A28:B33" si="6">A6</f>
        <v>CS01-CS03</v>
      </c>
      <c r="B28" s="546">
        <f t="shared" si="6"/>
        <v>17.100000000000001</v>
      </c>
      <c r="C28" s="546">
        <v>1.075</v>
      </c>
      <c r="D28" s="77"/>
      <c r="E28" s="76"/>
      <c r="F28" s="546">
        <f t="shared" si="3"/>
        <v>18.3825</v>
      </c>
      <c r="G28" s="76"/>
      <c r="H28" s="76" t="s">
        <v>100</v>
      </c>
      <c r="I28" s="78">
        <f t="shared" si="4"/>
        <v>20.220750000000002</v>
      </c>
      <c r="J28" s="127">
        <f t="shared" si="5"/>
        <v>20.23</v>
      </c>
      <c r="L28" s="79"/>
    </row>
    <row r="29" spans="1:12" ht="15">
      <c r="A29" s="83" t="str">
        <f t="shared" si="6"/>
        <v>CS03~</v>
      </c>
      <c r="B29" s="546">
        <f t="shared" si="6"/>
        <v>15.38</v>
      </c>
      <c r="C29" s="546">
        <v>0.53749999999999998</v>
      </c>
      <c r="D29" s="77"/>
      <c r="E29" s="76"/>
      <c r="F29" s="546">
        <f t="shared" si="3"/>
        <v>8.26675</v>
      </c>
      <c r="G29" s="76"/>
      <c r="H29" s="76" t="s">
        <v>100</v>
      </c>
      <c r="I29" s="78">
        <f t="shared" si="4"/>
        <v>9.0934250000000016</v>
      </c>
      <c r="J29" s="127">
        <f t="shared" si="5"/>
        <v>9.1</v>
      </c>
      <c r="L29" s="79"/>
    </row>
    <row r="30" spans="1:12" ht="15">
      <c r="A30" s="83"/>
      <c r="B30" s="546"/>
      <c r="C30" s="546"/>
      <c r="D30" s="77"/>
      <c r="E30" s="76"/>
      <c r="F30" s="546">
        <f t="shared" si="3"/>
        <v>0</v>
      </c>
      <c r="G30" s="76"/>
      <c r="H30" s="76" t="s">
        <v>100</v>
      </c>
      <c r="I30" s="78">
        <f t="shared" si="4"/>
        <v>0</v>
      </c>
      <c r="J30" s="78"/>
    </row>
    <row r="31" spans="1:12" ht="15">
      <c r="A31" s="83" t="str">
        <f t="shared" si="6"/>
        <v>~CS05</v>
      </c>
      <c r="B31" s="546">
        <f t="shared" si="6"/>
        <v>14</v>
      </c>
      <c r="C31" s="546">
        <v>2</v>
      </c>
      <c r="D31" s="77"/>
      <c r="E31" s="76"/>
      <c r="F31" s="546">
        <f t="shared" si="3"/>
        <v>28</v>
      </c>
      <c r="G31" s="76"/>
      <c r="H31" s="76" t="s">
        <v>100</v>
      </c>
      <c r="I31" s="78">
        <f t="shared" si="4"/>
        <v>30.800000000000004</v>
      </c>
      <c r="J31" s="127">
        <f t="shared" ref="J31:J33" si="7">ROUNDUP(I31,2)</f>
        <v>30.8</v>
      </c>
    </row>
    <row r="32" spans="1:12" ht="15">
      <c r="A32" s="83" t="str">
        <f t="shared" si="6"/>
        <v>CS05-CS06</v>
      </c>
      <c r="B32" s="546">
        <f t="shared" si="6"/>
        <v>10.75</v>
      </c>
      <c r="C32" s="546">
        <v>1.625</v>
      </c>
      <c r="D32" s="77"/>
      <c r="E32" s="76"/>
      <c r="F32" s="546">
        <f t="shared" si="3"/>
        <v>17.46875</v>
      </c>
      <c r="G32" s="76"/>
      <c r="H32" s="76" t="s">
        <v>100</v>
      </c>
      <c r="I32" s="78">
        <f t="shared" si="4"/>
        <v>19.215625000000003</v>
      </c>
      <c r="J32" s="127">
        <f t="shared" si="7"/>
        <v>19.220000000000002</v>
      </c>
    </row>
    <row r="33" spans="1:12" ht="15">
      <c r="A33" s="83" t="str">
        <f t="shared" si="6"/>
        <v>CS06~</v>
      </c>
      <c r="B33" s="546">
        <f t="shared" si="6"/>
        <v>8.8000000000000007</v>
      </c>
      <c r="C33" s="546">
        <v>1.25</v>
      </c>
      <c r="D33" s="77"/>
      <c r="E33" s="76"/>
      <c r="F33" s="546">
        <f t="shared" si="3"/>
        <v>11</v>
      </c>
      <c r="G33" s="76"/>
      <c r="H33" s="76" t="s">
        <v>100</v>
      </c>
      <c r="I33" s="78">
        <f t="shared" si="4"/>
        <v>12.100000000000001</v>
      </c>
      <c r="J33" s="127">
        <f t="shared" si="7"/>
        <v>12.1</v>
      </c>
    </row>
    <row r="34" spans="1:12" ht="15">
      <c r="A34" s="83"/>
      <c r="B34" s="547"/>
      <c r="C34" s="546"/>
      <c r="D34" s="77"/>
      <c r="E34" s="76"/>
      <c r="F34" s="546"/>
      <c r="G34" s="76"/>
      <c r="H34" s="76"/>
      <c r="I34" s="78"/>
      <c r="J34" s="78"/>
    </row>
    <row r="35" spans="1:12" ht="15">
      <c r="A35" s="83"/>
      <c r="B35" s="546"/>
      <c r="C35" s="546"/>
      <c r="D35" s="77"/>
      <c r="E35" s="76"/>
      <c r="F35" s="546"/>
      <c r="G35" s="76"/>
      <c r="H35" s="76"/>
      <c r="I35" s="78"/>
      <c r="J35" s="102">
        <f>SUM(J27:J34)</f>
        <v>107.13</v>
      </c>
    </row>
    <row r="36" spans="1:12" ht="15">
      <c r="A36" s="83"/>
      <c r="B36" s="546"/>
      <c r="C36" s="546"/>
      <c r="D36" s="77"/>
      <c r="E36" s="76"/>
      <c r="F36" s="546"/>
      <c r="G36" s="76"/>
      <c r="H36" s="76"/>
      <c r="I36" s="78"/>
      <c r="J36" s="100"/>
    </row>
    <row r="37" spans="1:12" ht="15">
      <c r="A37" s="83"/>
      <c r="B37" s="546"/>
      <c r="C37" s="546"/>
      <c r="D37" s="77"/>
      <c r="E37" s="76"/>
      <c r="F37" s="546"/>
      <c r="G37" s="76"/>
      <c r="H37" s="76"/>
      <c r="I37" s="78"/>
      <c r="J37" s="78"/>
    </row>
    <row r="38" spans="1:12" ht="15">
      <c r="A38" s="748" t="s">
        <v>106</v>
      </c>
      <c r="B38" s="749"/>
      <c r="C38" s="749"/>
      <c r="D38" s="749"/>
      <c r="E38" s="749"/>
      <c r="F38" s="750"/>
      <c r="G38" s="96"/>
      <c r="H38" s="73"/>
      <c r="I38" s="72"/>
      <c r="J38" s="72"/>
      <c r="K38" s="79"/>
      <c r="L38" s="79"/>
    </row>
    <row r="39" spans="1:12" ht="15">
      <c r="A39" s="748" t="s">
        <v>107</v>
      </c>
      <c r="B39" s="749"/>
      <c r="C39" s="749"/>
      <c r="D39" s="749"/>
      <c r="E39" s="749"/>
      <c r="F39" s="750"/>
      <c r="G39" s="96"/>
      <c r="H39" s="73"/>
      <c r="I39" s="72"/>
      <c r="J39" s="72"/>
      <c r="K39" s="79"/>
      <c r="L39" s="79"/>
    </row>
    <row r="40" spans="1:12" ht="15">
      <c r="A40" s="748" t="s">
        <v>108</v>
      </c>
      <c r="B40" s="749"/>
      <c r="C40" s="749"/>
      <c r="D40" s="749"/>
      <c r="E40" s="749"/>
      <c r="F40" s="750"/>
      <c r="G40" s="94"/>
      <c r="H40" s="95"/>
      <c r="I40" s="94"/>
      <c r="J40" s="94"/>
      <c r="K40" s="79"/>
      <c r="L40" s="79"/>
    </row>
    <row r="41" spans="1:12" ht="15">
      <c r="A41" s="97" t="s">
        <v>910</v>
      </c>
      <c r="B41" s="547"/>
      <c r="C41" s="98"/>
      <c r="D41" s="98"/>
      <c r="E41" s="99"/>
      <c r="F41" s="547"/>
      <c r="G41" s="99"/>
      <c r="H41" s="99"/>
      <c r="I41" s="78"/>
      <c r="J41" s="100"/>
      <c r="K41" s="79"/>
      <c r="L41" s="79"/>
    </row>
    <row r="42" spans="1:12" ht="15">
      <c r="A42" s="86" t="str">
        <f>A27</f>
        <v>~CS01</v>
      </c>
      <c r="B42" s="522">
        <f>B27</f>
        <v>6.63</v>
      </c>
      <c r="C42" s="89">
        <v>6.2</v>
      </c>
      <c r="D42" s="89"/>
      <c r="E42" s="90"/>
      <c r="F42" s="522">
        <f>PRODUCT(B42:E42)</f>
        <v>41.106000000000002</v>
      </c>
      <c r="G42" s="101">
        <f>F42</f>
        <v>41.106000000000002</v>
      </c>
      <c r="H42" s="76" t="s">
        <v>100</v>
      </c>
      <c r="I42" s="78">
        <f>G42*1.1</f>
        <v>45.216600000000007</v>
      </c>
      <c r="J42" s="127">
        <f>I42</f>
        <v>45.216600000000007</v>
      </c>
      <c r="K42" s="79"/>
      <c r="L42" s="79"/>
    </row>
    <row r="43" spans="1:12" ht="15">
      <c r="A43" s="86" t="str">
        <f t="shared" ref="A43:B48" si="8">A28</f>
        <v>CS01-CS03</v>
      </c>
      <c r="B43" s="522">
        <f t="shared" si="8"/>
        <v>17.100000000000001</v>
      </c>
      <c r="C43" s="89">
        <v>5.65</v>
      </c>
      <c r="D43" s="89"/>
      <c r="E43" s="90"/>
      <c r="F43" s="522">
        <f>PRODUCT(B43:E43)</f>
        <v>96.615000000000009</v>
      </c>
      <c r="G43" s="101">
        <f>F43</f>
        <v>96.615000000000009</v>
      </c>
      <c r="H43" s="76" t="s">
        <v>100</v>
      </c>
      <c r="I43" s="78">
        <f>G43*1.1</f>
        <v>106.27650000000001</v>
      </c>
      <c r="J43" s="127">
        <f>I43</f>
        <v>106.27650000000001</v>
      </c>
      <c r="K43" s="79"/>
      <c r="L43" s="79"/>
    </row>
    <row r="44" spans="1:12" ht="15">
      <c r="A44" s="86" t="str">
        <f t="shared" si="8"/>
        <v>CS03~</v>
      </c>
      <c r="B44" s="522">
        <f t="shared" si="8"/>
        <v>15.38</v>
      </c>
      <c r="C44" s="89">
        <v>5.0999999999999996</v>
      </c>
      <c r="D44" s="89"/>
      <c r="E44" s="90"/>
      <c r="F44" s="522">
        <f>PRODUCT(B44:E44)</f>
        <v>78.438000000000002</v>
      </c>
      <c r="G44" s="101">
        <f>F44</f>
        <v>78.438000000000002</v>
      </c>
      <c r="H44" s="76" t="s">
        <v>100</v>
      </c>
      <c r="I44" s="78">
        <f>G44*1.1</f>
        <v>86.281800000000004</v>
      </c>
      <c r="J44" s="127">
        <f>I44</f>
        <v>86.281800000000004</v>
      </c>
      <c r="K44" s="79"/>
      <c r="L44" s="79"/>
    </row>
    <row r="45" spans="1:12" ht="15">
      <c r="A45" s="86"/>
      <c r="B45" s="522"/>
      <c r="C45" s="89"/>
      <c r="D45" s="89"/>
      <c r="E45" s="90"/>
      <c r="F45" s="522"/>
      <c r="G45" s="101"/>
      <c r="H45" s="76"/>
      <c r="I45" s="78"/>
      <c r="J45" s="78"/>
      <c r="K45" s="79"/>
      <c r="L45" s="79"/>
    </row>
    <row r="46" spans="1:12" ht="15">
      <c r="A46" s="86" t="str">
        <f t="shared" si="8"/>
        <v>~CS05</v>
      </c>
      <c r="B46" s="522">
        <f t="shared" si="8"/>
        <v>14</v>
      </c>
      <c r="C46" s="89">
        <v>3.95</v>
      </c>
      <c r="D46" s="89"/>
      <c r="E46" s="90"/>
      <c r="F46" s="522">
        <f>PRODUCT(B46:E46)</f>
        <v>55.300000000000004</v>
      </c>
      <c r="G46" s="101">
        <f>F46</f>
        <v>55.300000000000004</v>
      </c>
      <c r="H46" s="76" t="s">
        <v>100</v>
      </c>
      <c r="I46" s="78">
        <f>G46*1.1</f>
        <v>60.830000000000013</v>
      </c>
      <c r="J46" s="127">
        <f>I46</f>
        <v>60.830000000000013</v>
      </c>
      <c r="K46" s="79"/>
      <c r="L46" s="79"/>
    </row>
    <row r="47" spans="1:12" ht="15">
      <c r="A47" s="86" t="str">
        <f t="shared" si="8"/>
        <v>CS05-CS06</v>
      </c>
      <c r="B47" s="522">
        <f t="shared" si="8"/>
        <v>10.75</v>
      </c>
      <c r="C47" s="89">
        <v>4.91</v>
      </c>
      <c r="D47" s="89"/>
      <c r="E47" s="90"/>
      <c r="F47" s="522">
        <f>PRODUCT(B47:E47)</f>
        <v>52.782499999999999</v>
      </c>
      <c r="G47" s="101">
        <f>F47</f>
        <v>52.782499999999999</v>
      </c>
      <c r="H47" s="76" t="s">
        <v>100</v>
      </c>
      <c r="I47" s="78">
        <f>G47*1.1</f>
        <v>58.060750000000006</v>
      </c>
      <c r="J47" s="127">
        <f>I47</f>
        <v>58.060750000000006</v>
      </c>
      <c r="K47" s="79"/>
      <c r="L47" s="79"/>
    </row>
    <row r="48" spans="1:12" ht="15">
      <c r="A48" s="86" t="str">
        <f t="shared" si="8"/>
        <v>CS06~</v>
      </c>
      <c r="B48" s="522">
        <f t="shared" si="8"/>
        <v>8.8000000000000007</v>
      </c>
      <c r="C48" s="89">
        <v>5.87</v>
      </c>
      <c r="D48" s="89"/>
      <c r="E48" s="90"/>
      <c r="F48" s="522">
        <f>PRODUCT(B48:E48)</f>
        <v>51.656000000000006</v>
      </c>
      <c r="G48" s="101">
        <f>F48</f>
        <v>51.656000000000006</v>
      </c>
      <c r="H48" s="76" t="s">
        <v>100</v>
      </c>
      <c r="I48" s="78">
        <f>G48*1.1</f>
        <v>56.821600000000011</v>
      </c>
      <c r="J48" s="127">
        <f>I48</f>
        <v>56.821600000000011</v>
      </c>
      <c r="K48" s="79"/>
      <c r="L48" s="79"/>
    </row>
    <row r="49" spans="1:12" ht="15">
      <c r="A49" s="86"/>
      <c r="B49" s="522"/>
      <c r="C49" s="89"/>
      <c r="D49" s="89"/>
      <c r="E49" s="90"/>
      <c r="F49" s="522"/>
      <c r="G49" s="90"/>
      <c r="H49" s="90"/>
      <c r="I49" s="78"/>
      <c r="J49" s="102">
        <f>SUM(J42:J48)</f>
        <v>413.48725000000002</v>
      </c>
      <c r="K49" s="79"/>
      <c r="L49" s="79"/>
    </row>
    <row r="50" spans="1:12" ht="15">
      <c r="A50" s="86"/>
      <c r="B50" s="522"/>
      <c r="C50" s="89"/>
      <c r="D50" s="89"/>
      <c r="E50" s="90"/>
      <c r="F50" s="522"/>
      <c r="G50" s="90"/>
      <c r="H50" s="90"/>
      <c r="I50" s="78"/>
      <c r="J50" s="100"/>
      <c r="K50" s="79"/>
      <c r="L50" s="79"/>
    </row>
    <row r="51" spans="1:12" ht="15">
      <c r="A51" s="751" t="s">
        <v>109</v>
      </c>
      <c r="B51" s="752"/>
      <c r="C51" s="752"/>
      <c r="D51" s="752"/>
      <c r="E51" s="752"/>
      <c r="F51" s="752"/>
      <c r="G51" s="752"/>
      <c r="H51" s="752"/>
      <c r="I51" s="752"/>
      <c r="J51" s="753"/>
      <c r="K51" s="79"/>
      <c r="L51" s="79"/>
    </row>
    <row r="52" spans="1:12" ht="15">
      <c r="A52" s="97" t="s">
        <v>910</v>
      </c>
      <c r="B52" s="546"/>
      <c r="C52" s="77"/>
      <c r="D52" s="77"/>
      <c r="E52" s="76"/>
      <c r="F52" s="546"/>
      <c r="G52" s="76"/>
      <c r="H52" s="76"/>
      <c r="I52" s="78"/>
      <c r="J52" s="78"/>
      <c r="K52" s="79"/>
      <c r="L52" s="79"/>
    </row>
    <row r="53" spans="1:12" ht="15">
      <c r="A53" s="86" t="str">
        <f>A42</f>
        <v>~CS01</v>
      </c>
      <c r="B53" s="522">
        <f>B42</f>
        <v>6.63</v>
      </c>
      <c r="C53" s="77">
        <v>1.55</v>
      </c>
      <c r="D53" s="77"/>
      <c r="E53" s="76"/>
      <c r="F53" s="522">
        <f>PRODUCT(B53:E53)</f>
        <v>10.2765</v>
      </c>
      <c r="G53" s="101">
        <f>F53</f>
        <v>10.2765</v>
      </c>
      <c r="H53" s="76" t="s">
        <v>100</v>
      </c>
      <c r="I53" s="78">
        <f>G53*1.1</f>
        <v>11.304150000000002</v>
      </c>
      <c r="J53" s="127">
        <f>I53</f>
        <v>11.304150000000002</v>
      </c>
      <c r="K53" s="79"/>
      <c r="L53" s="79"/>
    </row>
    <row r="54" spans="1:12" ht="15">
      <c r="A54" s="86" t="str">
        <f t="shared" ref="A54:B59" si="9">A43</f>
        <v>CS01-CS03</v>
      </c>
      <c r="B54" s="522">
        <f t="shared" si="9"/>
        <v>17.100000000000001</v>
      </c>
      <c r="C54" s="77">
        <v>1.5100000000000002</v>
      </c>
      <c r="D54" s="77"/>
      <c r="E54" s="76"/>
      <c r="F54" s="522">
        <f>PRODUCT(B54:E54)</f>
        <v>25.821000000000005</v>
      </c>
      <c r="G54" s="101">
        <f>F54</f>
        <v>25.821000000000005</v>
      </c>
      <c r="H54" s="76" t="s">
        <v>100</v>
      </c>
      <c r="I54" s="78">
        <f>G54*1.1</f>
        <v>28.403100000000009</v>
      </c>
      <c r="J54" s="127">
        <f>I54</f>
        <v>28.403100000000009</v>
      </c>
      <c r="K54" s="79"/>
      <c r="L54" s="79"/>
    </row>
    <row r="55" spans="1:12" ht="15">
      <c r="A55" s="86" t="str">
        <f t="shared" si="9"/>
        <v>CS03~</v>
      </c>
      <c r="B55" s="522">
        <f t="shared" si="9"/>
        <v>15.38</v>
      </c>
      <c r="C55" s="77">
        <v>1.4700000000000002</v>
      </c>
      <c r="D55" s="77"/>
      <c r="E55" s="76"/>
      <c r="F55" s="522">
        <f>PRODUCT(B55:E55)</f>
        <v>22.608600000000003</v>
      </c>
      <c r="G55" s="101">
        <f>F55</f>
        <v>22.608600000000003</v>
      </c>
      <c r="H55" s="76" t="s">
        <v>100</v>
      </c>
      <c r="I55" s="78">
        <f>G55*1.1</f>
        <v>24.869460000000004</v>
      </c>
      <c r="J55" s="127">
        <f>I55</f>
        <v>24.869460000000004</v>
      </c>
      <c r="K55" s="79"/>
      <c r="L55" s="79"/>
    </row>
    <row r="56" spans="1:12" ht="15">
      <c r="A56" s="86"/>
      <c r="B56" s="522"/>
      <c r="C56" s="77"/>
      <c r="D56" s="77"/>
      <c r="E56" s="76"/>
      <c r="F56" s="522"/>
      <c r="G56" s="101"/>
      <c r="H56" s="76"/>
      <c r="I56" s="78"/>
      <c r="J56" s="78"/>
      <c r="K56" s="79"/>
      <c r="L56" s="79"/>
    </row>
    <row r="57" spans="1:12" ht="15">
      <c r="A57" s="86" t="str">
        <f t="shared" si="9"/>
        <v>~CS05</v>
      </c>
      <c r="B57" s="522">
        <f t="shared" si="9"/>
        <v>14</v>
      </c>
      <c r="C57" s="77">
        <v>2.42</v>
      </c>
      <c r="D57" s="77"/>
      <c r="E57" s="76"/>
      <c r="F57" s="522">
        <f>PRODUCT(B57:E57)</f>
        <v>33.879999999999995</v>
      </c>
      <c r="G57" s="101">
        <f>F57</f>
        <v>33.879999999999995</v>
      </c>
      <c r="H57" s="76" t="s">
        <v>100</v>
      </c>
      <c r="I57" s="78">
        <f>G57*1.1</f>
        <v>37.268000000000001</v>
      </c>
      <c r="J57" s="127">
        <f>I57</f>
        <v>37.268000000000001</v>
      </c>
      <c r="K57" s="79"/>
      <c r="L57" s="79"/>
    </row>
    <row r="58" spans="1:12" ht="15">
      <c r="A58" s="86" t="str">
        <f t="shared" si="9"/>
        <v>CS05-CS06</v>
      </c>
      <c r="B58" s="522">
        <f t="shared" si="9"/>
        <v>10.75</v>
      </c>
      <c r="C58" s="77">
        <v>2.06</v>
      </c>
      <c r="D58" s="77"/>
      <c r="E58" s="76"/>
      <c r="F58" s="522">
        <f>PRODUCT(B58:E58)</f>
        <v>22.145</v>
      </c>
      <c r="G58" s="101">
        <f>F58</f>
        <v>22.145</v>
      </c>
      <c r="H58" s="76" t="s">
        <v>100</v>
      </c>
      <c r="I58" s="78">
        <f>G58*1.1</f>
        <v>24.359500000000001</v>
      </c>
      <c r="J58" s="127">
        <f>I58</f>
        <v>24.359500000000001</v>
      </c>
      <c r="K58" s="79"/>
      <c r="L58" s="79"/>
    </row>
    <row r="59" spans="1:12" ht="15">
      <c r="A59" s="86" t="str">
        <f t="shared" si="9"/>
        <v>CS06~</v>
      </c>
      <c r="B59" s="522">
        <f t="shared" si="9"/>
        <v>8.8000000000000007</v>
      </c>
      <c r="C59" s="77">
        <v>1.7</v>
      </c>
      <c r="D59" s="77"/>
      <c r="E59" s="76"/>
      <c r="F59" s="522">
        <f>PRODUCT(B59:E59)</f>
        <v>14.96</v>
      </c>
      <c r="G59" s="101">
        <f>F59</f>
        <v>14.96</v>
      </c>
      <c r="H59" s="76" t="s">
        <v>100</v>
      </c>
      <c r="I59" s="78">
        <f>G59*1.1</f>
        <v>16.456000000000003</v>
      </c>
      <c r="J59" s="127">
        <f>I59</f>
        <v>16.456000000000003</v>
      </c>
      <c r="K59" s="79"/>
      <c r="L59" s="79"/>
    </row>
    <row r="60" spans="1:12" ht="15">
      <c r="A60" s="83"/>
      <c r="B60" s="546"/>
      <c r="C60" s="77"/>
      <c r="D60" s="77"/>
      <c r="E60" s="76"/>
      <c r="F60" s="522"/>
      <c r="G60" s="90"/>
      <c r="H60" s="90"/>
      <c r="I60" s="78"/>
      <c r="J60" s="102">
        <f>SUM(J53:J59)</f>
        <v>142.66021000000001</v>
      </c>
      <c r="K60" s="79"/>
      <c r="L60" s="79"/>
    </row>
    <row r="61" spans="1:12" ht="15">
      <c r="A61" s="83"/>
      <c r="B61" s="75"/>
      <c r="C61" s="77"/>
      <c r="D61" s="77"/>
      <c r="E61" s="76"/>
      <c r="F61" s="75"/>
      <c r="G61" s="76"/>
      <c r="H61" s="76"/>
      <c r="I61" s="78"/>
      <c r="J61" s="78"/>
      <c r="K61" s="79"/>
      <c r="L61" s="79"/>
    </row>
    <row r="62" spans="1:12" ht="15">
      <c r="A62" s="736"/>
      <c r="B62" s="737"/>
      <c r="C62" s="737"/>
      <c r="D62" s="737"/>
      <c r="E62" s="737"/>
      <c r="F62" s="737"/>
      <c r="G62" s="737"/>
      <c r="H62" s="737"/>
      <c r="I62" s="737"/>
      <c r="J62" s="738"/>
      <c r="L62" s="79"/>
    </row>
    <row r="63" spans="1:12" ht="15">
      <c r="A63" s="754" t="s">
        <v>110</v>
      </c>
      <c r="B63" s="755"/>
      <c r="C63" s="755"/>
      <c r="D63" s="755"/>
      <c r="E63" s="755"/>
      <c r="F63" s="755"/>
      <c r="G63" s="755"/>
      <c r="H63" s="755"/>
      <c r="I63" s="755"/>
      <c r="J63" s="756"/>
      <c r="L63" s="79"/>
    </row>
    <row r="64" spans="1:12" ht="15">
      <c r="A64" s="757" t="s">
        <v>111</v>
      </c>
      <c r="B64" s="758"/>
      <c r="C64" s="758"/>
      <c r="D64" s="758"/>
      <c r="E64" s="758"/>
      <c r="F64" s="759"/>
      <c r="G64" s="72"/>
      <c r="H64" s="73"/>
      <c r="I64" s="72"/>
      <c r="J64" s="72"/>
    </row>
    <row r="65" spans="1:12" ht="15">
      <c r="A65" s="74"/>
      <c r="B65" s="81"/>
      <c r="C65" s="98"/>
      <c r="D65" s="103"/>
      <c r="E65" s="104"/>
      <c r="F65" s="81"/>
      <c r="G65" s="105"/>
      <c r="H65" s="99"/>
      <c r="I65" s="78"/>
      <c r="J65" s="100"/>
      <c r="L65" s="106"/>
    </row>
    <row r="66" spans="1:12" s="70" customFormat="1" ht="30" customHeight="1">
      <c r="A66" s="86"/>
      <c r="B66" s="107"/>
      <c r="C66" s="108"/>
      <c r="D66" s="103"/>
      <c r="E66" s="104"/>
      <c r="F66" s="109"/>
      <c r="G66" s="110"/>
      <c r="H66" s="76"/>
      <c r="I66" s="111"/>
      <c r="J66" s="111"/>
    </row>
    <row r="67" spans="1:12" ht="15">
      <c r="A67" s="757" t="s">
        <v>112</v>
      </c>
      <c r="B67" s="758"/>
      <c r="C67" s="758"/>
      <c r="D67" s="758"/>
      <c r="E67" s="758"/>
      <c r="F67" s="759"/>
      <c r="G67" s="72"/>
      <c r="H67" s="73"/>
      <c r="I67" s="72"/>
      <c r="J67" s="72"/>
    </row>
    <row r="68" spans="1:12" ht="15">
      <c r="A68" s="754" t="s">
        <v>113</v>
      </c>
      <c r="B68" s="755"/>
      <c r="C68" s="755"/>
      <c r="D68" s="755"/>
      <c r="E68" s="755"/>
      <c r="F68" s="755"/>
      <c r="G68" s="755"/>
      <c r="H68" s="755"/>
      <c r="I68" s="755"/>
      <c r="J68" s="756"/>
      <c r="L68" s="79"/>
    </row>
    <row r="69" spans="1:12" ht="15">
      <c r="A69" s="97"/>
      <c r="B69" s="75"/>
      <c r="C69" s="77"/>
      <c r="D69" s="77"/>
      <c r="E69" s="76"/>
      <c r="F69" s="75"/>
      <c r="G69" s="76"/>
      <c r="H69" s="76"/>
      <c r="I69" s="78"/>
      <c r="J69" s="78"/>
      <c r="L69" s="79"/>
    </row>
    <row r="70" spans="1:12" ht="15">
      <c r="A70" s="86" t="s">
        <v>911</v>
      </c>
      <c r="B70" s="522">
        <v>75.680000000000007</v>
      </c>
      <c r="C70" s="77">
        <v>2.7</v>
      </c>
      <c r="D70" s="77"/>
      <c r="E70" s="76"/>
      <c r="F70" s="87">
        <f>PRODUCT(B70:E70)</f>
        <v>204.33600000000004</v>
      </c>
      <c r="G70" s="101">
        <f>F70</f>
        <v>204.33600000000004</v>
      </c>
      <c r="H70" s="76" t="s">
        <v>100</v>
      </c>
      <c r="I70" s="78">
        <f>G70*1.1</f>
        <v>224.76960000000005</v>
      </c>
      <c r="J70" s="102">
        <f>I70</f>
        <v>224.76960000000005</v>
      </c>
      <c r="L70" s="79"/>
    </row>
    <row r="71" spans="1:12" ht="15">
      <c r="A71" s="86" t="s">
        <v>154</v>
      </c>
      <c r="B71" s="522">
        <v>75.680000000000007</v>
      </c>
      <c r="C71" s="77">
        <v>8.5000000000000006E-2</v>
      </c>
      <c r="D71" s="77"/>
      <c r="E71" s="76"/>
      <c r="F71" s="87">
        <f>PRODUCT(B71:E71)</f>
        <v>6.4328000000000012</v>
      </c>
      <c r="G71" s="101">
        <f>F71</f>
        <v>6.4328000000000012</v>
      </c>
      <c r="H71" s="76" t="s">
        <v>100</v>
      </c>
      <c r="I71" s="78">
        <f>G71*1.1</f>
        <v>7.0760800000000019</v>
      </c>
      <c r="J71" s="102">
        <f>I71</f>
        <v>7.0760800000000019</v>
      </c>
      <c r="L71" s="79"/>
    </row>
    <row r="72" spans="1:12" ht="15">
      <c r="A72" s="86" t="s">
        <v>912</v>
      </c>
      <c r="B72" s="522">
        <v>75.680000000000007</v>
      </c>
      <c r="C72" s="77">
        <v>0.35</v>
      </c>
      <c r="D72" s="77"/>
      <c r="E72" s="76"/>
      <c r="F72" s="87">
        <f>PRODUCT(B72:E72)</f>
        <v>26.488</v>
      </c>
      <c r="G72" s="101">
        <f>F72</f>
        <v>26.488</v>
      </c>
      <c r="H72" s="76" t="s">
        <v>100</v>
      </c>
      <c r="I72" s="78">
        <f>G72*1.1</f>
        <v>29.136800000000001</v>
      </c>
      <c r="J72" s="102">
        <f>I72</f>
        <v>29.136800000000001</v>
      </c>
      <c r="L72" s="79"/>
    </row>
    <row r="73" spans="1:12" ht="15">
      <c r="A73" s="86" t="s">
        <v>913</v>
      </c>
      <c r="B73" s="522">
        <v>75.680000000000007</v>
      </c>
      <c r="C73" s="77">
        <v>0.86</v>
      </c>
      <c r="D73" s="77"/>
      <c r="E73" s="76"/>
      <c r="F73" s="87">
        <f t="shared" ref="F73:F83" si="10">PRODUCT(B73:E73)</f>
        <v>65.084800000000001</v>
      </c>
      <c r="G73" s="101">
        <f t="shared" ref="G73:G86" si="11">F73</f>
        <v>65.084800000000001</v>
      </c>
      <c r="H73" s="76" t="s">
        <v>100</v>
      </c>
      <c r="I73" s="78">
        <f t="shared" ref="I73:I83" si="12">G73*1.1</f>
        <v>71.593280000000007</v>
      </c>
      <c r="J73" s="102">
        <f t="shared" ref="J73:J86" si="13">I73</f>
        <v>71.593280000000007</v>
      </c>
      <c r="L73" s="79"/>
    </row>
    <row r="74" spans="1:12" ht="15">
      <c r="A74" s="86" t="s">
        <v>114</v>
      </c>
      <c r="B74" s="522">
        <v>75.680000000000007</v>
      </c>
      <c r="C74" s="77">
        <v>2.5299999999999998</v>
      </c>
      <c r="D74" s="77"/>
      <c r="E74" s="76"/>
      <c r="F74" s="87">
        <f t="shared" si="10"/>
        <v>191.47040000000001</v>
      </c>
      <c r="G74" s="101">
        <f t="shared" si="11"/>
        <v>191.47040000000001</v>
      </c>
      <c r="H74" s="76" t="s">
        <v>393</v>
      </c>
      <c r="I74" s="78">
        <f t="shared" si="12"/>
        <v>210.61744000000002</v>
      </c>
      <c r="J74" s="102">
        <f t="shared" si="13"/>
        <v>210.61744000000002</v>
      </c>
      <c r="L74" s="79"/>
    </row>
    <row r="75" spans="1:12" ht="15">
      <c r="A75" s="86" t="s">
        <v>914</v>
      </c>
      <c r="B75" s="522">
        <v>75.680000000000007</v>
      </c>
      <c r="C75" s="77">
        <v>0.7</v>
      </c>
      <c r="D75" s="77"/>
      <c r="E75" s="76"/>
      <c r="F75" s="87">
        <f t="shared" si="10"/>
        <v>52.975999999999999</v>
      </c>
      <c r="G75" s="101">
        <f t="shared" si="11"/>
        <v>52.975999999999999</v>
      </c>
      <c r="H75" s="76" t="s">
        <v>393</v>
      </c>
      <c r="I75" s="78">
        <f t="shared" si="12"/>
        <v>58.273600000000002</v>
      </c>
      <c r="J75" s="102">
        <f t="shared" si="13"/>
        <v>58.273600000000002</v>
      </c>
      <c r="L75" s="79"/>
    </row>
    <row r="76" spans="1:12" ht="15">
      <c r="A76" s="86"/>
      <c r="B76" s="522"/>
      <c r="C76" s="77"/>
      <c r="D76" s="77"/>
      <c r="E76" s="76"/>
      <c r="F76" s="87"/>
      <c r="G76" s="101"/>
      <c r="H76" s="76"/>
      <c r="I76" s="78"/>
      <c r="J76" s="100"/>
      <c r="L76" s="79"/>
    </row>
    <row r="77" spans="1:12" ht="15">
      <c r="A77" s="86" t="s">
        <v>119</v>
      </c>
      <c r="B77" s="562">
        <v>0.42499999999999999</v>
      </c>
      <c r="C77" s="77">
        <v>4</v>
      </c>
      <c r="D77" s="77"/>
      <c r="E77" s="76"/>
      <c r="F77" s="87">
        <f t="shared" si="10"/>
        <v>1.7</v>
      </c>
      <c r="G77" s="101">
        <f t="shared" si="11"/>
        <v>1.7</v>
      </c>
      <c r="H77" s="76" t="s">
        <v>393</v>
      </c>
      <c r="I77" s="78">
        <f t="shared" si="12"/>
        <v>1.87</v>
      </c>
      <c r="J77" s="127">
        <f t="shared" si="13"/>
        <v>1.87</v>
      </c>
      <c r="L77" s="79"/>
    </row>
    <row r="78" spans="1:12" ht="15">
      <c r="A78" s="86"/>
      <c r="B78" s="522">
        <f>B70</f>
        <v>75.680000000000007</v>
      </c>
      <c r="C78" s="77">
        <v>0.25</v>
      </c>
      <c r="D78" s="77">
        <v>4</v>
      </c>
      <c r="E78" s="76"/>
      <c r="F78" s="87">
        <f t="shared" si="10"/>
        <v>75.680000000000007</v>
      </c>
      <c r="G78" s="101">
        <f t="shared" si="11"/>
        <v>75.680000000000007</v>
      </c>
      <c r="H78" s="76" t="s">
        <v>393</v>
      </c>
      <c r="I78" s="78">
        <f t="shared" si="12"/>
        <v>83.248000000000019</v>
      </c>
      <c r="J78" s="127">
        <f t="shared" si="13"/>
        <v>83.248000000000019</v>
      </c>
      <c r="L78" s="79"/>
    </row>
    <row r="79" spans="1:12" ht="15">
      <c r="A79" s="86"/>
      <c r="B79" s="522"/>
      <c r="C79" s="77"/>
      <c r="D79" s="77"/>
      <c r="E79" s="76"/>
      <c r="F79" s="87"/>
      <c r="G79" s="101"/>
      <c r="H79" s="76"/>
      <c r="I79" s="78"/>
      <c r="J79" s="102">
        <f>SUM(J77:J78)</f>
        <v>85.118000000000023</v>
      </c>
      <c r="L79" s="79"/>
    </row>
    <row r="80" spans="1:12" ht="15">
      <c r="A80" s="86"/>
      <c r="B80" s="522"/>
      <c r="C80" s="77"/>
      <c r="D80" s="77"/>
      <c r="E80" s="76"/>
      <c r="F80" s="87"/>
      <c r="G80" s="101"/>
      <c r="H80" s="76"/>
      <c r="I80" s="78"/>
      <c r="J80" s="100"/>
      <c r="L80" s="79"/>
    </row>
    <row r="81" spans="1:12" ht="15">
      <c r="A81" s="86" t="s">
        <v>118</v>
      </c>
      <c r="B81" s="522">
        <v>1.9</v>
      </c>
      <c r="C81" s="77">
        <f>ROUNDUP(B75/0.25,0)+1</f>
        <v>304</v>
      </c>
      <c r="D81" s="77"/>
      <c r="E81" s="76">
        <v>0.61699999999999999</v>
      </c>
      <c r="F81" s="87">
        <f t="shared" si="10"/>
        <v>356.37920000000003</v>
      </c>
      <c r="G81" s="101">
        <f t="shared" si="11"/>
        <v>356.37920000000003</v>
      </c>
      <c r="H81" s="76" t="s">
        <v>100</v>
      </c>
      <c r="I81" s="78">
        <f t="shared" si="12"/>
        <v>392.01712000000003</v>
      </c>
      <c r="J81" s="127">
        <f t="shared" si="13"/>
        <v>392.01712000000003</v>
      </c>
      <c r="L81" s="79"/>
    </row>
    <row r="82" spans="1:12" ht="15">
      <c r="A82" s="86"/>
      <c r="B82" s="522">
        <f>B75</f>
        <v>75.680000000000007</v>
      </c>
      <c r="C82" s="77">
        <f>ROUNDUP(B81/0.25,0)+1</f>
        <v>9</v>
      </c>
      <c r="D82" s="77"/>
      <c r="E82" s="76">
        <v>0.61699999999999999</v>
      </c>
      <c r="F82" s="87">
        <f t="shared" si="10"/>
        <v>420.25104000000005</v>
      </c>
      <c r="G82" s="101">
        <f t="shared" si="11"/>
        <v>420.25104000000005</v>
      </c>
      <c r="H82" s="76" t="s">
        <v>100</v>
      </c>
      <c r="I82" s="78">
        <f t="shared" si="12"/>
        <v>462.2761440000001</v>
      </c>
      <c r="J82" s="127">
        <f t="shared" si="13"/>
        <v>462.2761440000001</v>
      </c>
      <c r="L82" s="79"/>
    </row>
    <row r="83" spans="1:12" ht="15">
      <c r="A83" s="134" t="s">
        <v>915</v>
      </c>
      <c r="B83" s="522">
        <f>ROUNDUP(1258.72/6,0)+1</f>
        <v>211</v>
      </c>
      <c r="C83" s="77">
        <f>50*0.01</f>
        <v>0.5</v>
      </c>
      <c r="D83" s="77"/>
      <c r="E83" s="76">
        <v>0.61699999999999999</v>
      </c>
      <c r="F83" s="87">
        <f t="shared" si="10"/>
        <v>65.093500000000006</v>
      </c>
      <c r="G83" s="101">
        <f t="shared" si="11"/>
        <v>65.093500000000006</v>
      </c>
      <c r="H83" s="76" t="s">
        <v>100</v>
      </c>
      <c r="I83" s="78">
        <f t="shared" si="12"/>
        <v>71.602850000000018</v>
      </c>
      <c r="J83" s="127">
        <f t="shared" si="13"/>
        <v>71.602850000000018</v>
      </c>
      <c r="L83" s="79"/>
    </row>
    <row r="84" spans="1:12" ht="15">
      <c r="A84" s="86"/>
      <c r="B84" s="522"/>
      <c r="C84" s="77"/>
      <c r="D84" s="77"/>
      <c r="E84" s="76"/>
      <c r="F84" s="87"/>
      <c r="G84" s="101"/>
      <c r="H84" s="76"/>
      <c r="I84" s="78"/>
      <c r="J84" s="102">
        <f>SUM(J81:J83)</f>
        <v>925.89611400000013</v>
      </c>
      <c r="L84" s="79"/>
    </row>
    <row r="85" spans="1:12" ht="15">
      <c r="A85" s="86"/>
      <c r="B85" s="522"/>
      <c r="C85" s="77"/>
      <c r="D85" s="77"/>
      <c r="E85" s="76"/>
      <c r="F85" s="87"/>
      <c r="G85" s="101"/>
      <c r="H85" s="76"/>
      <c r="I85" s="78"/>
      <c r="J85" s="100"/>
      <c r="L85" s="79"/>
    </row>
    <row r="86" spans="1:12" ht="15">
      <c r="A86" s="86" t="s">
        <v>916</v>
      </c>
      <c r="B86" s="522">
        <f>ROUNDUP(B70/1.5,0)+1</f>
        <v>52</v>
      </c>
      <c r="C86" s="77">
        <v>1.45</v>
      </c>
      <c r="D86" s="77"/>
      <c r="E86" s="76"/>
      <c r="F86" s="87">
        <f t="shared" ref="F86" si="14">PRODUCT(B86:E86)</f>
        <v>75.399999999999991</v>
      </c>
      <c r="G86" s="101">
        <f t="shared" si="11"/>
        <v>75.399999999999991</v>
      </c>
      <c r="H86" s="76" t="s">
        <v>100</v>
      </c>
      <c r="I86" s="78">
        <f t="shared" ref="I86" si="15">G86*1.1</f>
        <v>82.94</v>
      </c>
      <c r="J86" s="102">
        <f t="shared" si="13"/>
        <v>82.94</v>
      </c>
      <c r="L86" s="79"/>
    </row>
    <row r="87" spans="1:12" ht="15">
      <c r="A87" s="86"/>
      <c r="B87" s="522"/>
      <c r="C87" s="77"/>
      <c r="D87" s="77"/>
      <c r="E87" s="76"/>
      <c r="F87" s="522"/>
      <c r="G87" s="101"/>
      <c r="H87" s="76"/>
      <c r="I87" s="78"/>
      <c r="J87" s="78"/>
      <c r="L87" s="79"/>
    </row>
    <row r="88" spans="1:12" ht="15">
      <c r="A88" s="86"/>
      <c r="B88" s="522"/>
      <c r="C88" s="77"/>
      <c r="D88" s="77"/>
      <c r="E88" s="76"/>
      <c r="F88" s="522"/>
      <c r="G88" s="101"/>
      <c r="H88" s="76"/>
      <c r="I88" s="78"/>
      <c r="J88" s="78"/>
      <c r="L88" s="79"/>
    </row>
    <row r="89" spans="1:12" ht="30">
      <c r="A89" s="113"/>
      <c r="B89" s="114" t="s">
        <v>115</v>
      </c>
      <c r="C89" s="114" t="s">
        <v>92</v>
      </c>
      <c r="D89" s="114" t="s">
        <v>1</v>
      </c>
      <c r="E89" s="115" t="s">
        <v>116</v>
      </c>
      <c r="F89" s="114" t="s">
        <v>117</v>
      </c>
      <c r="G89" s="114"/>
      <c r="H89" s="114"/>
      <c r="I89" s="114"/>
      <c r="J89" s="114"/>
      <c r="L89" s="106"/>
    </row>
    <row r="90" spans="1:12" ht="15">
      <c r="A90" s="757" t="s">
        <v>118</v>
      </c>
      <c r="B90" s="758"/>
      <c r="C90" s="758"/>
      <c r="D90" s="758"/>
      <c r="E90" s="758"/>
      <c r="F90" s="759"/>
      <c r="G90" s="72"/>
      <c r="H90" s="73"/>
      <c r="I90" s="72"/>
      <c r="J90" s="72"/>
    </row>
    <row r="91" spans="1:12" ht="15">
      <c r="A91" s="116"/>
      <c r="B91" s="98"/>
      <c r="C91" s="99"/>
      <c r="D91" s="98"/>
      <c r="E91" s="99"/>
      <c r="F91" s="81"/>
      <c r="G91" s="103"/>
      <c r="H91" s="99"/>
      <c r="I91" s="103"/>
      <c r="J91" s="92"/>
      <c r="L91" s="106"/>
    </row>
    <row r="92" spans="1:12" ht="15">
      <c r="A92" s="116"/>
      <c r="B92" s="98"/>
      <c r="C92" s="99"/>
      <c r="D92" s="98"/>
      <c r="E92" s="99"/>
      <c r="F92" s="81"/>
      <c r="G92" s="103"/>
      <c r="H92" s="99"/>
      <c r="I92" s="103"/>
      <c r="J92" s="92"/>
      <c r="L92" s="106"/>
    </row>
    <row r="93" spans="1:12" ht="15">
      <c r="A93" s="757" t="s">
        <v>119</v>
      </c>
      <c r="B93" s="758"/>
      <c r="C93" s="758"/>
      <c r="D93" s="758"/>
      <c r="E93" s="758"/>
      <c r="F93" s="759"/>
      <c r="G93" s="72"/>
      <c r="H93" s="73"/>
      <c r="I93" s="72"/>
      <c r="J93" s="72"/>
    </row>
    <row r="94" spans="1:12" ht="15">
      <c r="A94" s="74"/>
      <c r="B94" s="81"/>
      <c r="C94" s="99"/>
      <c r="D94" s="98"/>
      <c r="E94" s="99"/>
      <c r="F94" s="81"/>
      <c r="G94" s="91"/>
      <c r="H94" s="99"/>
      <c r="I94" s="91"/>
      <c r="J94" s="92"/>
      <c r="L94" s="79"/>
    </row>
    <row r="95" spans="1:12" ht="15">
      <c r="A95" s="74"/>
      <c r="B95" s="81"/>
      <c r="C95" s="99"/>
      <c r="D95" s="98"/>
      <c r="E95" s="99"/>
      <c r="F95" s="81"/>
      <c r="G95" s="91"/>
      <c r="H95" s="99"/>
      <c r="I95" s="91"/>
      <c r="J95" s="92"/>
      <c r="L95" s="79"/>
    </row>
    <row r="96" spans="1:12" ht="24.9" customHeight="1">
      <c r="A96" s="757" t="s">
        <v>120</v>
      </c>
      <c r="B96" s="758"/>
      <c r="C96" s="758"/>
      <c r="D96" s="758"/>
      <c r="E96" s="758"/>
      <c r="F96" s="759"/>
      <c r="G96" s="72"/>
      <c r="H96" s="73"/>
      <c r="I96" s="72"/>
      <c r="J96" s="72"/>
    </row>
    <row r="97" spans="1:12" ht="15">
      <c r="A97" s="74"/>
      <c r="B97" s="117"/>
      <c r="C97" s="103"/>
      <c r="D97" s="103"/>
      <c r="E97" s="117"/>
      <c r="F97" s="81"/>
      <c r="G97" s="99"/>
      <c r="H97" s="99"/>
      <c r="I97" s="91"/>
      <c r="J97" s="100"/>
    </row>
    <row r="98" spans="1:12" ht="15">
      <c r="A98" s="74"/>
      <c r="B98" s="117"/>
      <c r="C98" s="103"/>
      <c r="D98" s="103"/>
      <c r="E98" s="117"/>
      <c r="F98" s="81"/>
      <c r="G98" s="99"/>
      <c r="H98" s="99"/>
      <c r="I98" s="91"/>
      <c r="J98" s="100"/>
      <c r="L98" s="79"/>
    </row>
    <row r="99" spans="1:12" ht="15">
      <c r="A99" s="754" t="s">
        <v>121</v>
      </c>
      <c r="B99" s="755"/>
      <c r="C99" s="755"/>
      <c r="D99" s="755"/>
      <c r="E99" s="755"/>
      <c r="F99" s="755"/>
      <c r="G99" s="755"/>
      <c r="H99" s="755"/>
      <c r="I99" s="755"/>
      <c r="J99" s="756"/>
      <c r="L99" s="106"/>
    </row>
    <row r="100" spans="1:12" ht="24.9" customHeight="1">
      <c r="A100" s="757"/>
      <c r="B100" s="758"/>
      <c r="C100" s="758"/>
      <c r="D100" s="758"/>
      <c r="E100" s="758"/>
      <c r="F100" s="759"/>
      <c r="G100" s="72"/>
      <c r="H100" s="73"/>
      <c r="I100" s="72"/>
      <c r="J100" s="72"/>
    </row>
    <row r="101" spans="1:12" ht="15">
      <c r="A101" s="74"/>
      <c r="B101" s="117"/>
      <c r="C101" s="99"/>
      <c r="D101" s="98"/>
      <c r="E101" s="99"/>
      <c r="F101" s="81"/>
      <c r="G101" s="99"/>
      <c r="H101" s="99"/>
      <c r="I101" s="91"/>
      <c r="J101" s="78"/>
      <c r="L101" s="79"/>
    </row>
    <row r="102" spans="1:12" ht="15">
      <c r="A102" s="118"/>
      <c r="B102" s="119"/>
      <c r="C102" s="120"/>
      <c r="D102" s="121"/>
      <c r="E102" s="120"/>
      <c r="F102" s="122"/>
      <c r="G102" s="120"/>
      <c r="H102" s="120"/>
      <c r="I102" s="123"/>
      <c r="J102" s="123"/>
      <c r="L102" s="79"/>
    </row>
    <row r="103" spans="1:12" ht="15">
      <c r="A103" s="760" t="s">
        <v>122</v>
      </c>
      <c r="B103" s="761"/>
      <c r="C103" s="761"/>
      <c r="D103" s="761"/>
      <c r="E103" s="761"/>
      <c r="F103" s="761"/>
      <c r="G103" s="761"/>
      <c r="H103" s="761"/>
      <c r="I103" s="761"/>
      <c r="J103" s="762"/>
      <c r="L103" s="79"/>
    </row>
    <row r="104" spans="1:12" ht="15">
      <c r="A104" s="751" t="s">
        <v>123</v>
      </c>
      <c r="B104" s="752"/>
      <c r="C104" s="752"/>
      <c r="D104" s="752"/>
      <c r="E104" s="752"/>
      <c r="F104" s="752"/>
      <c r="G104" s="752"/>
      <c r="H104" s="752"/>
      <c r="I104" s="124"/>
      <c r="J104" s="243"/>
      <c r="L104" s="79"/>
    </row>
    <row r="105" spans="1:12" ht="15">
      <c r="A105" s="288" t="s">
        <v>124</v>
      </c>
      <c r="B105" s="81"/>
      <c r="C105" s="90"/>
      <c r="D105" s="77"/>
      <c r="E105" s="76"/>
      <c r="F105" s="75"/>
      <c r="G105" s="76"/>
      <c r="H105" s="76"/>
      <c r="I105" s="78"/>
      <c r="J105" s="100"/>
      <c r="L105" s="79"/>
    </row>
    <row r="106" spans="1:12" ht="15">
      <c r="A106" s="83"/>
      <c r="B106" s="81"/>
      <c r="C106" s="90"/>
      <c r="D106" s="77"/>
      <c r="E106" s="76"/>
      <c r="F106" s="75">
        <f>PRODUCT(B106:E106)</f>
        <v>0</v>
      </c>
      <c r="G106" s="76"/>
      <c r="H106" s="76" t="s">
        <v>5</v>
      </c>
      <c r="I106" s="78"/>
      <c r="J106" s="78">
        <f>F106</f>
        <v>0</v>
      </c>
      <c r="L106" s="79"/>
    </row>
    <row r="107" spans="1:12" ht="15">
      <c r="A107" s="83"/>
      <c r="B107" s="81"/>
      <c r="C107" s="90"/>
      <c r="D107" s="77"/>
      <c r="E107" s="76"/>
      <c r="F107" s="75">
        <f>PRODUCT(B107:E107)</f>
        <v>0</v>
      </c>
      <c r="G107" s="76"/>
      <c r="H107" s="76" t="s">
        <v>5</v>
      </c>
      <c r="I107" s="78"/>
      <c r="J107" s="78">
        <f>F107</f>
        <v>0</v>
      </c>
      <c r="L107" s="79"/>
    </row>
    <row r="108" spans="1:12" ht="15">
      <c r="A108" s="83"/>
      <c r="B108" s="81"/>
      <c r="C108" s="90"/>
      <c r="D108" s="77"/>
      <c r="E108" s="76"/>
      <c r="F108" s="75">
        <f>PRODUCT(B108:E108)</f>
        <v>0</v>
      </c>
      <c r="G108" s="76"/>
      <c r="H108" s="76" t="s">
        <v>5</v>
      </c>
      <c r="I108" s="78"/>
      <c r="J108" s="78">
        <f>F108</f>
        <v>0</v>
      </c>
      <c r="L108" s="79"/>
    </row>
    <row r="109" spans="1:12" ht="15">
      <c r="A109" s="288"/>
      <c r="B109" s="81"/>
      <c r="C109" s="90"/>
      <c r="D109" s="77"/>
      <c r="E109" s="76"/>
      <c r="F109" s="75"/>
      <c r="G109" s="76"/>
      <c r="H109" s="76"/>
      <c r="I109" s="78"/>
      <c r="J109" s="100">
        <f>SUM(J106:J108)</f>
        <v>0</v>
      </c>
      <c r="L109" s="79"/>
    </row>
    <row r="110" spans="1:12" ht="15">
      <c r="A110" s="83"/>
      <c r="B110" s="81"/>
      <c r="C110" s="90"/>
      <c r="D110" s="77"/>
      <c r="E110" s="76"/>
      <c r="F110" s="75"/>
      <c r="G110" s="76"/>
      <c r="H110" s="76"/>
      <c r="I110" s="78"/>
      <c r="J110" s="100"/>
      <c r="L110" s="79"/>
    </row>
    <row r="111" spans="1:12" ht="15">
      <c r="A111" s="288" t="s">
        <v>917</v>
      </c>
      <c r="B111" s="81"/>
      <c r="C111" s="90"/>
      <c r="D111" s="77"/>
      <c r="E111" s="76"/>
      <c r="F111" s="75"/>
      <c r="G111" s="76"/>
      <c r="H111" s="76"/>
      <c r="I111" s="78"/>
      <c r="J111" s="100"/>
      <c r="L111" s="79"/>
    </row>
    <row r="112" spans="1:12" ht="15">
      <c r="A112" s="83"/>
      <c r="B112" s="81"/>
      <c r="C112" s="90"/>
      <c r="D112" s="77"/>
      <c r="E112" s="76"/>
      <c r="F112" s="75">
        <f>PRODUCT(B112:E112)</f>
        <v>0</v>
      </c>
      <c r="G112" s="76"/>
      <c r="H112" s="76" t="s">
        <v>5</v>
      </c>
      <c r="I112" s="78"/>
      <c r="J112" s="78">
        <f>F112</f>
        <v>0</v>
      </c>
      <c r="L112" s="79"/>
    </row>
    <row r="113" spans="1:12" ht="15">
      <c r="A113" s="83"/>
      <c r="B113" s="81"/>
      <c r="C113" s="90"/>
      <c r="D113" s="77"/>
      <c r="E113" s="76"/>
      <c r="F113" s="75">
        <f>PRODUCT(B113:E113)</f>
        <v>0</v>
      </c>
      <c r="G113" s="76"/>
      <c r="H113" s="76" t="s">
        <v>5</v>
      </c>
      <c r="I113" s="78"/>
      <c r="J113" s="78">
        <f>F113</f>
        <v>0</v>
      </c>
      <c r="L113" s="79"/>
    </row>
    <row r="114" spans="1:12" ht="15">
      <c r="A114" s="83"/>
      <c r="B114" s="81"/>
      <c r="C114" s="90"/>
      <c r="D114" s="77"/>
      <c r="E114" s="76"/>
      <c r="F114" s="75">
        <f>PRODUCT(B114:E114)</f>
        <v>0</v>
      </c>
      <c r="G114" s="76"/>
      <c r="H114" s="76" t="s">
        <v>5</v>
      </c>
      <c r="I114" s="78"/>
      <c r="J114" s="78">
        <f>F114</f>
        <v>0</v>
      </c>
      <c r="L114" s="79"/>
    </row>
    <row r="115" spans="1:12" ht="15">
      <c r="A115" s="288"/>
      <c r="B115" s="81"/>
      <c r="C115" s="90"/>
      <c r="D115" s="77"/>
      <c r="E115" s="76"/>
      <c r="F115" s="75"/>
      <c r="G115" s="76"/>
      <c r="H115" s="76"/>
      <c r="I115" s="78"/>
      <c r="J115" s="100">
        <f>SUM(J112:J114)</f>
        <v>0</v>
      </c>
      <c r="L115" s="79"/>
    </row>
    <row r="116" spans="1:12" ht="15">
      <c r="A116" s="83"/>
      <c r="B116" s="81"/>
      <c r="C116" s="90"/>
      <c r="D116" s="98"/>
      <c r="E116" s="99"/>
      <c r="F116" s="81"/>
      <c r="G116" s="99"/>
      <c r="H116" s="99"/>
      <c r="I116" s="78"/>
      <c r="J116" s="78"/>
      <c r="L116" s="79"/>
    </row>
    <row r="117" spans="1:12" ht="15">
      <c r="A117" s="288" t="s">
        <v>125</v>
      </c>
      <c r="B117" s="87"/>
      <c r="C117" s="90"/>
      <c r="D117" s="89"/>
      <c r="E117" s="90"/>
      <c r="F117" s="81"/>
      <c r="G117" s="90"/>
      <c r="H117" s="90"/>
      <c r="I117" s="78"/>
      <c r="J117" s="78"/>
      <c r="L117" s="79"/>
    </row>
    <row r="118" spans="1:12" ht="15">
      <c r="A118" s="83"/>
      <c r="B118" s="87"/>
      <c r="C118" s="90"/>
      <c r="D118" s="89"/>
      <c r="E118" s="90"/>
      <c r="F118" s="87"/>
      <c r="G118" s="90"/>
      <c r="H118" s="128"/>
      <c r="I118" s="78"/>
      <c r="J118" s="78"/>
      <c r="L118" s="79"/>
    </row>
    <row r="119" spans="1:12" ht="15">
      <c r="A119" s="83"/>
      <c r="B119" s="87"/>
      <c r="C119" s="90"/>
      <c r="D119" s="89"/>
      <c r="E119" s="90"/>
      <c r="F119" s="87"/>
      <c r="G119" s="90"/>
      <c r="H119" s="128"/>
      <c r="I119" s="78"/>
      <c r="J119" s="78"/>
      <c r="L119" s="79"/>
    </row>
    <row r="120" spans="1:12" ht="15">
      <c r="A120" s="83"/>
      <c r="B120" s="87"/>
      <c r="C120" s="90"/>
      <c r="D120" s="89"/>
      <c r="E120" s="90"/>
      <c r="F120" s="87"/>
      <c r="G120" s="90"/>
      <c r="H120" s="76"/>
      <c r="I120" s="78"/>
      <c r="J120" s="78"/>
      <c r="L120" s="79"/>
    </row>
    <row r="121" spans="1:12" ht="15">
      <c r="A121" s="83"/>
      <c r="B121" s="87"/>
      <c r="C121" s="90"/>
      <c r="D121" s="89"/>
      <c r="E121" s="90"/>
      <c r="F121" s="87"/>
      <c r="G121" s="90"/>
      <c r="H121" s="76"/>
      <c r="I121" s="78"/>
      <c r="J121" s="78"/>
      <c r="L121" s="79"/>
    </row>
    <row r="122" spans="1:12" ht="15">
      <c r="A122" s="751" t="s">
        <v>127</v>
      </c>
      <c r="B122" s="752"/>
      <c r="C122" s="752"/>
      <c r="D122" s="752"/>
      <c r="E122" s="752"/>
      <c r="F122" s="752"/>
      <c r="G122" s="752"/>
      <c r="H122" s="752"/>
      <c r="I122" s="752"/>
      <c r="J122" s="753"/>
      <c r="L122" s="79"/>
    </row>
    <row r="123" spans="1:12" ht="15">
      <c r="A123" s="129"/>
      <c r="B123" s="130"/>
      <c r="C123" s="76"/>
      <c r="D123" s="77"/>
      <c r="E123" s="76"/>
      <c r="F123" s="75"/>
      <c r="G123" s="76"/>
      <c r="H123" s="76"/>
      <c r="I123" s="78"/>
      <c r="J123" s="78"/>
      <c r="L123" s="79"/>
    </row>
    <row r="124" spans="1:12" ht="15" customHeight="1">
      <c r="A124" s="289"/>
      <c r="B124" s="130"/>
      <c r="C124" s="76"/>
      <c r="D124" s="77"/>
      <c r="E124" s="76"/>
      <c r="F124" s="546">
        <f>PRODUCT(B124:E124)</f>
        <v>0</v>
      </c>
      <c r="G124" s="76"/>
      <c r="H124" s="76" t="s">
        <v>5</v>
      </c>
      <c r="I124" s="78"/>
      <c r="J124" s="78">
        <f>F124</f>
        <v>0</v>
      </c>
      <c r="L124" s="79"/>
    </row>
    <row r="125" spans="1:12" ht="15">
      <c r="A125" s="129"/>
      <c r="B125" s="117"/>
      <c r="C125" s="99"/>
      <c r="D125" s="98"/>
      <c r="E125" s="99"/>
      <c r="F125" s="547"/>
      <c r="G125" s="99"/>
      <c r="H125" s="99"/>
      <c r="I125" s="91"/>
      <c r="J125" s="91"/>
      <c r="L125" s="79"/>
    </row>
    <row r="126" spans="1:12" ht="15">
      <c r="A126" s="83"/>
      <c r="B126" s="117"/>
      <c r="C126" s="99"/>
      <c r="D126" s="98"/>
      <c r="E126" s="99"/>
      <c r="F126" s="547"/>
      <c r="G126" s="99"/>
      <c r="H126" s="99"/>
      <c r="I126" s="91"/>
      <c r="J126" s="92">
        <f>SUM(J124:J124)</f>
        <v>0</v>
      </c>
      <c r="L126" s="79"/>
    </row>
    <row r="127" spans="1:12" ht="15">
      <c r="A127" s="287"/>
      <c r="B127" s="88"/>
      <c r="C127" s="90"/>
      <c r="D127" s="89"/>
      <c r="E127" s="90"/>
      <c r="F127" s="522"/>
      <c r="G127" s="90"/>
      <c r="H127" s="90"/>
      <c r="I127" s="101"/>
      <c r="J127" s="133"/>
      <c r="L127" s="79"/>
    </row>
    <row r="128" spans="1:12" ht="15">
      <c r="A128" s="751" t="s">
        <v>128</v>
      </c>
      <c r="B128" s="752"/>
      <c r="C128" s="752"/>
      <c r="D128" s="752"/>
      <c r="E128" s="752"/>
      <c r="F128" s="752"/>
      <c r="G128" s="752"/>
      <c r="H128" s="752"/>
      <c r="I128" s="752"/>
      <c r="J128" s="753"/>
      <c r="L128" s="79"/>
    </row>
    <row r="129" spans="1:12" ht="15">
      <c r="A129" s="129"/>
      <c r="B129" s="130"/>
      <c r="C129" s="76"/>
      <c r="D129" s="77"/>
      <c r="E129" s="76"/>
      <c r="F129" s="546">
        <f>B129</f>
        <v>0</v>
      </c>
      <c r="G129" s="78">
        <f>F129</f>
        <v>0</v>
      </c>
      <c r="H129" s="76" t="s">
        <v>5</v>
      </c>
      <c r="I129" s="78">
        <f>G129*1.1</f>
        <v>0</v>
      </c>
      <c r="J129" s="78">
        <f>I129*1.1</f>
        <v>0</v>
      </c>
      <c r="L129" s="79"/>
    </row>
    <row r="130" spans="1:12" ht="15">
      <c r="A130" s="129"/>
      <c r="B130" s="130"/>
      <c r="C130" s="76"/>
      <c r="D130" s="77"/>
      <c r="E130" s="76"/>
      <c r="F130" s="546">
        <f>B130</f>
        <v>0</v>
      </c>
      <c r="G130" s="78">
        <f>F130</f>
        <v>0</v>
      </c>
      <c r="H130" s="76" t="s">
        <v>5</v>
      </c>
      <c r="I130" s="78">
        <f>G130*1.1</f>
        <v>0</v>
      </c>
      <c r="J130" s="78">
        <f>I130*1.1</f>
        <v>0</v>
      </c>
      <c r="L130" s="79"/>
    </row>
    <row r="131" spans="1:12" ht="15">
      <c r="A131" s="83"/>
      <c r="B131" s="117"/>
      <c r="C131" s="99"/>
      <c r="D131" s="98"/>
      <c r="E131" s="99"/>
      <c r="F131" s="547"/>
      <c r="G131" s="99"/>
      <c r="H131" s="99"/>
      <c r="I131" s="91"/>
      <c r="J131" s="92">
        <f>SUM(J129:J130)</f>
        <v>0</v>
      </c>
      <c r="L131" s="79"/>
    </row>
    <row r="132" spans="1:12" ht="15">
      <c r="A132" s="548"/>
      <c r="B132" s="549"/>
      <c r="C132" s="550"/>
      <c r="D132" s="534"/>
      <c r="E132" s="550"/>
      <c r="F132" s="551"/>
      <c r="G132" s="128"/>
      <c r="H132" s="128"/>
      <c r="I132" s="525"/>
      <c r="J132" s="552"/>
      <c r="L132" s="79"/>
    </row>
    <row r="133" spans="1:12" ht="15">
      <c r="A133" s="757" t="s">
        <v>388</v>
      </c>
      <c r="B133" s="758"/>
      <c r="C133" s="758"/>
      <c r="D133" s="758"/>
      <c r="E133" s="758"/>
      <c r="F133" s="759"/>
      <c r="G133" s="72"/>
      <c r="H133" s="73"/>
      <c r="I133" s="72"/>
      <c r="J133" s="72"/>
      <c r="L133" s="79"/>
    </row>
    <row r="134" spans="1:12" ht="15">
      <c r="A134" s="134"/>
      <c r="B134" s="88"/>
      <c r="C134" s="89"/>
      <c r="D134" s="135"/>
      <c r="E134" s="90"/>
      <c r="F134" s="547">
        <f>B134*E134</f>
        <v>0</v>
      </c>
      <c r="G134" s="91"/>
      <c r="H134" s="99" t="s">
        <v>5</v>
      </c>
      <c r="I134" s="91"/>
      <c r="J134" s="91">
        <f>F134</f>
        <v>0</v>
      </c>
      <c r="L134" s="79"/>
    </row>
    <row r="135" spans="1:12" ht="15">
      <c r="A135" s="134"/>
      <c r="B135" s="88"/>
      <c r="C135" s="89"/>
      <c r="D135" s="135"/>
      <c r="E135" s="90"/>
      <c r="F135" s="547"/>
      <c r="G135" s="91"/>
      <c r="H135" s="99"/>
      <c r="I135" s="91"/>
      <c r="J135" s="91"/>
    </row>
    <row r="136" spans="1:12" ht="15">
      <c r="A136" s="134"/>
      <c r="B136" s="88"/>
      <c r="C136" s="89"/>
      <c r="D136" s="135"/>
      <c r="E136" s="90"/>
      <c r="F136" s="522"/>
      <c r="G136" s="101"/>
      <c r="H136" s="90"/>
      <c r="I136" s="101"/>
      <c r="J136" s="133">
        <f>SUM(J134:J135)</f>
        <v>0</v>
      </c>
    </row>
    <row r="137" spans="1:12" ht="15">
      <c r="A137" s="86"/>
      <c r="B137" s="88"/>
      <c r="C137" s="89"/>
      <c r="D137" s="135"/>
      <c r="E137" s="90"/>
      <c r="F137" s="522"/>
      <c r="G137" s="101"/>
      <c r="H137" s="90"/>
      <c r="I137" s="101"/>
      <c r="J137" s="101"/>
    </row>
    <row r="138" spans="1:12" ht="15">
      <c r="A138" s="751" t="s">
        <v>390</v>
      </c>
      <c r="B138" s="752"/>
      <c r="C138" s="752"/>
      <c r="D138" s="752"/>
      <c r="E138" s="752"/>
      <c r="F138" s="752"/>
      <c r="G138" s="752"/>
      <c r="H138" s="752"/>
      <c r="I138" s="752"/>
      <c r="J138" s="753"/>
    </row>
    <row r="139" spans="1:12" ht="15">
      <c r="A139" s="238"/>
      <c r="B139" s="239"/>
      <c r="C139" s="239"/>
      <c r="D139" s="239"/>
      <c r="E139" s="239"/>
      <c r="F139" s="239"/>
      <c r="G139" s="239"/>
      <c r="H139" s="239"/>
      <c r="I139" s="239"/>
      <c r="J139" s="240"/>
    </row>
    <row r="140" spans="1:12" ht="15">
      <c r="A140" s="141"/>
      <c r="B140" s="142"/>
      <c r="C140" s="143"/>
      <c r="D140" s="144"/>
      <c r="E140" s="143"/>
      <c r="F140" s="553">
        <f>B140</f>
        <v>0</v>
      </c>
      <c r="G140" s="143"/>
      <c r="H140" s="143" t="s">
        <v>5</v>
      </c>
      <c r="I140" s="146">
        <f>F140*1.1</f>
        <v>0</v>
      </c>
      <c r="J140" s="94">
        <f>I140</f>
        <v>0</v>
      </c>
    </row>
    <row r="142" spans="1:12" ht="15">
      <c r="A142" s="751" t="s">
        <v>129</v>
      </c>
      <c r="B142" s="752"/>
      <c r="C142" s="752"/>
      <c r="D142" s="752"/>
      <c r="E142" s="752"/>
      <c r="F142" s="752"/>
      <c r="G142" s="752"/>
      <c r="H142" s="752"/>
      <c r="I142" s="752"/>
      <c r="J142" s="753"/>
    </row>
    <row r="143" spans="1:12" ht="15">
      <c r="A143" s="148"/>
      <c r="B143" s="547"/>
      <c r="C143" s="90"/>
      <c r="D143" s="547"/>
      <c r="E143" s="90"/>
      <c r="F143" s="547"/>
      <c r="G143" s="91"/>
      <c r="H143" s="99"/>
      <c r="I143" s="91"/>
      <c r="J143" s="91"/>
    </row>
    <row r="144" spans="1:12" ht="15">
      <c r="A144" s="74"/>
      <c r="B144" s="87"/>
      <c r="C144" s="90"/>
      <c r="D144" s="87"/>
      <c r="E144" s="90"/>
      <c r="F144" s="87"/>
      <c r="G144" s="101"/>
      <c r="H144" s="90"/>
      <c r="I144" s="101"/>
      <c r="J144" s="101"/>
    </row>
    <row r="145" spans="1:10" ht="15">
      <c r="A145" s="74"/>
      <c r="B145" s="87"/>
      <c r="C145" s="90"/>
      <c r="D145" s="87"/>
      <c r="E145" s="90"/>
      <c r="F145" s="87"/>
      <c r="G145" s="101"/>
      <c r="H145" s="90"/>
      <c r="I145" s="101"/>
      <c r="J145" s="101"/>
    </row>
    <row r="146" spans="1:10" ht="15">
      <c r="A146" s="74"/>
      <c r="B146" s="87"/>
      <c r="C146" s="90"/>
      <c r="D146" s="87"/>
      <c r="E146" s="90"/>
      <c r="F146" s="87"/>
      <c r="G146" s="101"/>
      <c r="H146" s="90"/>
      <c r="I146" s="101"/>
      <c r="J146" s="101"/>
    </row>
    <row r="147" spans="1:10" ht="15">
      <c r="A147" s="74"/>
      <c r="B147" s="87"/>
      <c r="C147" s="90"/>
      <c r="D147" s="87"/>
      <c r="E147" s="90"/>
      <c r="F147" s="87"/>
      <c r="G147" s="101"/>
      <c r="H147" s="90"/>
      <c r="I147" s="101"/>
      <c r="J147" s="101"/>
    </row>
    <row r="148" spans="1:10" ht="15">
      <c r="A148" s="74"/>
      <c r="B148" s="87"/>
      <c r="C148" s="90"/>
      <c r="D148" s="87"/>
      <c r="E148" s="90"/>
      <c r="F148" s="87"/>
      <c r="G148" s="101"/>
      <c r="H148" s="90"/>
      <c r="I148" s="101"/>
      <c r="J148" s="101"/>
    </row>
    <row r="149" spans="1:10" ht="15">
      <c r="A149" s="74"/>
      <c r="B149" s="87"/>
      <c r="C149" s="90"/>
      <c r="D149" s="87"/>
      <c r="E149" s="90"/>
      <c r="F149" s="87"/>
      <c r="G149" s="101"/>
      <c r="H149" s="90"/>
      <c r="I149" s="101"/>
      <c r="J149" s="101"/>
    </row>
    <row r="150" spans="1:10" ht="15">
      <c r="A150" s="554"/>
      <c r="B150" s="122"/>
      <c r="C150" s="121"/>
      <c r="D150" s="555"/>
      <c r="E150" s="120"/>
      <c r="F150" s="122"/>
      <c r="G150" s="123"/>
      <c r="H150" s="120"/>
      <c r="I150" s="123"/>
      <c r="J150" s="556"/>
    </row>
    <row r="151" spans="1:10" ht="15">
      <c r="A151" s="736" t="s">
        <v>881</v>
      </c>
      <c r="B151" s="737"/>
      <c r="C151" s="737"/>
      <c r="D151" s="737"/>
      <c r="E151" s="737"/>
      <c r="F151" s="737"/>
      <c r="G151" s="737"/>
      <c r="H151" s="737"/>
      <c r="I151" s="737"/>
      <c r="J151" s="738"/>
    </row>
    <row r="152" spans="1:10" ht="15">
      <c r="A152" s="83"/>
      <c r="B152" s="81"/>
      <c r="C152" s="90"/>
      <c r="D152" s="81"/>
      <c r="E152" s="90"/>
      <c r="F152" s="81"/>
      <c r="G152" s="91"/>
      <c r="H152" s="99"/>
      <c r="I152" s="91"/>
      <c r="J152" s="91"/>
    </row>
    <row r="153" spans="1:10" ht="15">
      <c r="A153" s="281"/>
      <c r="B153" s="122"/>
      <c r="C153" s="120"/>
      <c r="D153" s="122"/>
      <c r="E153" s="120"/>
      <c r="F153" s="122"/>
      <c r="G153" s="123"/>
      <c r="H153" s="120"/>
      <c r="I153" s="123"/>
      <c r="J153" s="123"/>
    </row>
    <row r="154" spans="1:10" ht="15">
      <c r="A154" s="736" t="s">
        <v>130</v>
      </c>
      <c r="B154" s="737"/>
      <c r="C154" s="737"/>
      <c r="D154" s="737"/>
      <c r="E154" s="737"/>
      <c r="F154" s="737"/>
      <c r="G154" s="737"/>
      <c r="H154" s="737"/>
      <c r="I154" s="737"/>
      <c r="J154" s="738"/>
    </row>
    <row r="155" spans="1:10" ht="15">
      <c r="A155" s="83"/>
      <c r="B155" s="81"/>
      <c r="C155" s="90"/>
      <c r="D155" s="81"/>
      <c r="E155" s="90"/>
      <c r="F155" s="81"/>
      <c r="G155" s="91"/>
      <c r="H155" s="99"/>
      <c r="I155" s="91"/>
      <c r="J155" s="91"/>
    </row>
    <row r="156" spans="1:10" ht="15">
      <c r="A156" s="83"/>
      <c r="B156" s="87"/>
      <c r="C156" s="90"/>
      <c r="D156" s="87"/>
      <c r="E156" s="90"/>
      <c r="F156" s="87"/>
      <c r="G156" s="101"/>
      <c r="H156" s="90"/>
      <c r="I156" s="101"/>
      <c r="J156" s="149"/>
    </row>
    <row r="157" spans="1:10" ht="15">
      <c r="A157" s="736" t="s">
        <v>867</v>
      </c>
      <c r="B157" s="737"/>
      <c r="C157" s="737"/>
      <c r="D157" s="737"/>
      <c r="E157" s="737"/>
      <c r="F157" s="737"/>
      <c r="G157" s="737"/>
      <c r="H157" s="737"/>
      <c r="I157" s="737"/>
      <c r="J157" s="738"/>
    </row>
    <row r="158" spans="1:10" ht="15">
      <c r="A158" s="83"/>
      <c r="B158" s="87"/>
      <c r="C158" s="90"/>
      <c r="D158" s="87"/>
      <c r="E158" s="90"/>
      <c r="F158" s="87"/>
      <c r="G158" s="101"/>
      <c r="H158" s="90"/>
      <c r="I158" s="101"/>
      <c r="J158" s="149"/>
    </row>
    <row r="159" spans="1:10" ht="15">
      <c r="A159" s="83" t="s">
        <v>882</v>
      </c>
      <c r="B159" s="87"/>
      <c r="C159" s="557"/>
      <c r="D159" s="557"/>
      <c r="E159" s="90"/>
      <c r="F159" s="87">
        <f>PRODUCT(B159:E159)</f>
        <v>0</v>
      </c>
      <c r="G159" s="101">
        <f>F159</f>
        <v>0</v>
      </c>
      <c r="H159" s="90" t="s">
        <v>100</v>
      </c>
      <c r="I159" s="101">
        <f>G159*1.1</f>
        <v>0</v>
      </c>
      <c r="J159" s="133">
        <f>I159</f>
        <v>0</v>
      </c>
    </row>
    <row r="160" spans="1:10" ht="15">
      <c r="A160" s="83"/>
      <c r="B160" s="87"/>
      <c r="C160" s="90"/>
      <c r="D160" s="87"/>
      <c r="E160" s="90"/>
      <c r="F160" s="87"/>
      <c r="G160" s="101"/>
      <c r="H160" s="90"/>
      <c r="I160" s="101"/>
      <c r="J160" s="149"/>
    </row>
    <row r="161" spans="1:10" ht="15">
      <c r="A161" s="83"/>
      <c r="B161" s="87"/>
      <c r="C161" s="90"/>
      <c r="D161" s="87"/>
      <c r="E161" s="90"/>
      <c r="F161" s="87"/>
      <c r="G161" s="101"/>
      <c r="H161" s="90"/>
      <c r="I161" s="101"/>
      <c r="J161" s="149"/>
    </row>
    <row r="162" spans="1:10" ht="15">
      <c r="A162" s="83"/>
      <c r="B162" s="87"/>
      <c r="C162" s="90"/>
      <c r="D162" s="87"/>
      <c r="E162" s="90"/>
      <c r="F162" s="87"/>
      <c r="G162" s="101"/>
      <c r="H162" s="90"/>
      <c r="I162" s="101"/>
      <c r="J162" s="149"/>
    </row>
    <row r="163" spans="1:10" ht="15">
      <c r="A163" s="83"/>
      <c r="B163" s="122"/>
      <c r="C163" s="120"/>
      <c r="D163" s="122"/>
      <c r="E163" s="120"/>
      <c r="F163" s="122"/>
      <c r="G163" s="123"/>
      <c r="H163" s="120"/>
      <c r="I163" s="123"/>
      <c r="J163" s="123"/>
    </row>
  </sheetData>
  <mergeCells count="31">
    <mergeCell ref="A62:J62"/>
    <mergeCell ref="A1:J1"/>
    <mergeCell ref="A3:J3"/>
    <mergeCell ref="A4:F4"/>
    <mergeCell ref="A22:J22"/>
    <mergeCell ref="A23:F23"/>
    <mergeCell ref="A24:F24"/>
    <mergeCell ref="A25:F25"/>
    <mergeCell ref="A38:F38"/>
    <mergeCell ref="A39:F39"/>
    <mergeCell ref="A40:F40"/>
    <mergeCell ref="A51:J51"/>
    <mergeCell ref="A122:J122"/>
    <mergeCell ref="A63:J63"/>
    <mergeCell ref="A64:F64"/>
    <mergeCell ref="A67:F67"/>
    <mergeCell ref="A68:J68"/>
    <mergeCell ref="A90:F90"/>
    <mergeCell ref="A93:F93"/>
    <mergeCell ref="A96:F96"/>
    <mergeCell ref="A99:J99"/>
    <mergeCell ref="A100:F100"/>
    <mergeCell ref="A103:J103"/>
    <mergeCell ref="A104:H104"/>
    <mergeCell ref="A157:J157"/>
    <mergeCell ref="A128:J128"/>
    <mergeCell ref="A133:F133"/>
    <mergeCell ref="A138:J138"/>
    <mergeCell ref="A142:J142"/>
    <mergeCell ref="A151:J151"/>
    <mergeCell ref="A154:J154"/>
  </mergeCells>
  <pageMargins left="0.7" right="0.7" top="0.75" bottom="0.75" header="0.3" footer="0.3"/>
  <pageSetup paperSize="9" scale="63" orientation="portrait" r:id="rId1"/>
  <rowBreaks count="1" manualBreakCount="1">
    <brk id="65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970B1-85E1-4285-8623-F916862FF2F1}">
  <dimension ref="B3:W250"/>
  <sheetViews>
    <sheetView zoomScale="70" zoomScaleNormal="70" workbookViewId="0">
      <pane ySplit="1" topLeftCell="A88" activePane="bottomLeft" state="frozen"/>
      <selection activeCell="D11" sqref="D11"/>
      <selection pane="bottomLeft" activeCell="D11" sqref="D11"/>
    </sheetView>
  </sheetViews>
  <sheetFormatPr defaultColWidth="9.109375" defaultRowHeight="14.4"/>
  <cols>
    <col min="1" max="1" width="3.88671875" style="153" customWidth="1"/>
    <col min="2" max="2" width="20.44140625" style="153" customWidth="1"/>
    <col min="3" max="3" width="17.109375" style="153" customWidth="1"/>
    <col min="4" max="4" width="14.44140625" style="153" customWidth="1"/>
    <col min="5" max="5" width="15.109375" style="153" customWidth="1"/>
    <col min="6" max="10" width="14.44140625" style="153" customWidth="1"/>
    <col min="11" max="11" width="19.88671875" style="153" customWidth="1"/>
    <col min="12" max="12" width="12.109375" style="153" customWidth="1"/>
    <col min="13" max="13" width="14" style="153" customWidth="1"/>
    <col min="14" max="17" width="9.109375" style="153"/>
    <col min="18" max="18" width="11.88671875" style="153" customWidth="1"/>
    <col min="19" max="19" width="12.88671875" style="153" customWidth="1"/>
    <col min="20" max="20" width="9.109375" style="153"/>
    <col min="21" max="21" width="11.109375" style="153" bestFit="1" customWidth="1"/>
    <col min="22" max="16384" width="9.109375" style="153"/>
  </cols>
  <sheetData>
    <row r="3" spans="2:23">
      <c r="B3" s="150" t="s">
        <v>132</v>
      </c>
      <c r="C3" s="150" t="s">
        <v>133</v>
      </c>
      <c r="D3" s="150" t="s">
        <v>134</v>
      </c>
      <c r="E3" s="150" t="s">
        <v>135</v>
      </c>
      <c r="F3" s="150" t="s">
        <v>136</v>
      </c>
      <c r="G3" s="150"/>
      <c r="H3" s="765" t="s">
        <v>137</v>
      </c>
      <c r="I3" s="765"/>
      <c r="J3" s="765"/>
      <c r="K3" s="150" t="s">
        <v>138</v>
      </c>
      <c r="L3" s="151" t="s">
        <v>139</v>
      </c>
      <c r="M3" s="152"/>
    </row>
    <row r="4" spans="2:23" ht="19.5" customHeight="1">
      <c r="B4" s="154"/>
      <c r="C4" s="154"/>
      <c r="D4" s="154"/>
      <c r="E4" s="154"/>
      <c r="F4" s="155" t="s">
        <v>135</v>
      </c>
      <c r="G4" s="155" t="s">
        <v>140</v>
      </c>
      <c r="H4" s="155" t="s">
        <v>141</v>
      </c>
      <c r="I4" s="155" t="s">
        <v>140</v>
      </c>
      <c r="J4" s="155" t="s">
        <v>142</v>
      </c>
      <c r="K4" s="155" t="s">
        <v>143</v>
      </c>
      <c r="L4" s="156" t="s">
        <v>144</v>
      </c>
      <c r="M4" s="156" t="s">
        <v>145</v>
      </c>
    </row>
    <row r="5" spans="2:23">
      <c r="B5" s="157"/>
      <c r="C5" s="157"/>
      <c r="D5" s="157"/>
      <c r="E5" s="157"/>
      <c r="F5" s="158"/>
      <c r="G5" s="158"/>
      <c r="H5" s="158"/>
      <c r="I5" s="158"/>
      <c r="J5" s="158"/>
      <c r="K5" s="159"/>
      <c r="L5" s="159"/>
      <c r="M5" s="159"/>
    </row>
    <row r="6" spans="2:23" ht="18">
      <c r="B6" s="159" t="s">
        <v>146</v>
      </c>
      <c r="C6" s="160">
        <v>0.3</v>
      </c>
      <c r="D6" s="160">
        <v>0.3</v>
      </c>
      <c r="E6" s="160">
        <v>0.1</v>
      </c>
      <c r="F6" s="160">
        <v>0.05</v>
      </c>
      <c r="G6" s="160">
        <v>10</v>
      </c>
      <c r="H6" s="160">
        <v>0.2</v>
      </c>
      <c r="I6" s="160">
        <v>10</v>
      </c>
      <c r="J6" s="160">
        <v>0.25</v>
      </c>
      <c r="K6" s="160">
        <v>3</v>
      </c>
      <c r="L6" s="159"/>
      <c r="M6" s="159"/>
      <c r="T6" s="766" t="s">
        <v>147</v>
      </c>
      <c r="U6" s="766"/>
    </row>
    <row r="7" spans="2:23">
      <c r="B7" s="159"/>
      <c r="C7" s="160"/>
      <c r="D7" s="160"/>
      <c r="E7" s="160"/>
      <c r="F7" s="160"/>
      <c r="G7" s="160"/>
      <c r="H7" s="159"/>
      <c r="I7" s="159"/>
      <c r="J7" s="159"/>
      <c r="K7" s="160"/>
      <c r="L7" s="159"/>
      <c r="M7" s="159"/>
      <c r="S7" s="161"/>
      <c r="V7" s="161"/>
      <c r="W7" s="767" t="s">
        <v>6</v>
      </c>
    </row>
    <row r="8" spans="2:23">
      <c r="B8" s="159"/>
      <c r="C8" s="160"/>
      <c r="D8" s="160"/>
      <c r="E8" s="160"/>
      <c r="F8" s="160"/>
      <c r="G8" s="160"/>
      <c r="H8" s="159"/>
      <c r="I8" s="159"/>
      <c r="J8" s="159"/>
      <c r="K8" s="160"/>
      <c r="L8" s="159"/>
      <c r="M8" s="159"/>
      <c r="S8" s="161"/>
      <c r="V8" s="161"/>
      <c r="W8" s="767"/>
    </row>
    <row r="9" spans="2:23">
      <c r="B9" s="159" t="s">
        <v>148</v>
      </c>
      <c r="C9" s="160">
        <v>0.45</v>
      </c>
      <c r="D9" s="160">
        <v>0.45</v>
      </c>
      <c r="E9" s="160">
        <v>0.1</v>
      </c>
      <c r="F9" s="160">
        <v>0.05</v>
      </c>
      <c r="G9" s="160">
        <v>10</v>
      </c>
      <c r="H9" s="160">
        <v>0.2</v>
      </c>
      <c r="I9" s="160">
        <v>10</v>
      </c>
      <c r="J9" s="160">
        <v>0.25</v>
      </c>
      <c r="K9" s="160">
        <v>3</v>
      </c>
      <c r="L9" s="159"/>
      <c r="M9" s="159"/>
      <c r="S9" s="161"/>
      <c r="V9" s="161"/>
      <c r="W9" s="767"/>
    </row>
    <row r="10" spans="2:23">
      <c r="B10" s="159"/>
      <c r="C10" s="160"/>
      <c r="D10" s="160"/>
      <c r="E10" s="160"/>
      <c r="F10" s="160"/>
      <c r="G10" s="160"/>
      <c r="H10" s="160"/>
      <c r="I10" s="160"/>
      <c r="J10" s="160"/>
      <c r="K10" s="160"/>
      <c r="L10" s="159"/>
      <c r="M10" s="159"/>
      <c r="S10" s="161"/>
      <c r="V10" s="161"/>
      <c r="W10" s="767"/>
    </row>
    <row r="11" spans="2:23">
      <c r="B11" s="159"/>
      <c r="C11" s="160"/>
      <c r="D11" s="160"/>
      <c r="E11" s="160"/>
      <c r="F11" s="160"/>
      <c r="G11" s="160"/>
      <c r="H11" s="159"/>
      <c r="I11" s="159"/>
      <c r="J11" s="159"/>
      <c r="K11" s="160"/>
      <c r="L11" s="159"/>
      <c r="M11" s="159"/>
      <c r="S11" s="161"/>
      <c r="V11" s="161"/>
      <c r="W11" s="767"/>
    </row>
    <row r="12" spans="2:23">
      <c r="B12" s="159" t="s">
        <v>149</v>
      </c>
      <c r="C12" s="160">
        <v>0.6</v>
      </c>
      <c r="D12" s="160">
        <v>0.6</v>
      </c>
      <c r="E12" s="160">
        <v>0.1</v>
      </c>
      <c r="F12" s="160">
        <v>0.05</v>
      </c>
      <c r="G12" s="160">
        <v>10</v>
      </c>
      <c r="H12" s="159">
        <v>0.2</v>
      </c>
      <c r="I12" s="159">
        <v>10</v>
      </c>
      <c r="J12" s="159">
        <v>0.25</v>
      </c>
      <c r="K12" s="160">
        <v>3</v>
      </c>
      <c r="L12" s="159"/>
      <c r="M12" s="159"/>
      <c r="S12" s="161"/>
      <c r="V12" s="161"/>
      <c r="W12" s="767"/>
    </row>
    <row r="13" spans="2:23">
      <c r="B13" s="159"/>
      <c r="C13" s="160"/>
      <c r="D13" s="160"/>
      <c r="E13" s="160"/>
      <c r="F13" s="160"/>
      <c r="G13" s="160"/>
      <c r="H13" s="159"/>
      <c r="I13" s="159"/>
      <c r="J13" s="159"/>
      <c r="K13" s="160"/>
      <c r="L13" s="159"/>
      <c r="M13" s="159"/>
      <c r="S13" s="161"/>
      <c r="V13" s="161"/>
      <c r="W13" s="767"/>
    </row>
    <row r="14" spans="2:23">
      <c r="B14" s="159"/>
      <c r="C14" s="160"/>
      <c r="D14" s="160"/>
      <c r="E14" s="160"/>
      <c r="F14" s="160"/>
      <c r="G14" s="160"/>
      <c r="H14" s="159"/>
      <c r="I14" s="159"/>
      <c r="J14" s="159"/>
      <c r="K14" s="160"/>
      <c r="L14" s="159"/>
      <c r="M14" s="159"/>
      <c r="S14" s="161"/>
      <c r="V14" s="161"/>
      <c r="W14" s="767"/>
    </row>
    <row r="15" spans="2:23">
      <c r="B15" s="159" t="s">
        <v>150</v>
      </c>
      <c r="C15" s="160">
        <v>0.75</v>
      </c>
      <c r="D15" s="160">
        <v>0.75</v>
      </c>
      <c r="E15" s="162">
        <v>0.125</v>
      </c>
      <c r="F15" s="160">
        <v>0.05</v>
      </c>
      <c r="G15" s="160">
        <v>10</v>
      </c>
      <c r="H15" s="159">
        <v>0.2</v>
      </c>
      <c r="I15" s="159">
        <v>10</v>
      </c>
      <c r="J15" s="159">
        <v>0.25</v>
      </c>
      <c r="K15" s="160">
        <v>3</v>
      </c>
      <c r="L15" s="159"/>
      <c r="M15" s="159"/>
      <c r="S15" s="161"/>
      <c r="V15" s="161"/>
      <c r="W15" s="767"/>
    </row>
    <row r="16" spans="2:23">
      <c r="B16" s="159"/>
      <c r="C16" s="160"/>
      <c r="D16" s="160"/>
      <c r="E16" s="160"/>
      <c r="F16" s="160"/>
      <c r="G16" s="160"/>
      <c r="H16" s="159"/>
      <c r="I16" s="159"/>
      <c r="J16" s="159"/>
      <c r="K16" s="160"/>
      <c r="L16" s="159"/>
      <c r="M16" s="159"/>
      <c r="S16" s="161"/>
      <c r="V16" s="161"/>
      <c r="W16" s="767"/>
    </row>
    <row r="17" spans="2:23">
      <c r="B17" s="159"/>
      <c r="C17" s="160"/>
      <c r="D17" s="160"/>
      <c r="E17" s="160"/>
      <c r="F17" s="160"/>
      <c r="G17" s="160"/>
      <c r="H17" s="159"/>
      <c r="I17" s="159"/>
      <c r="J17" s="159"/>
      <c r="K17" s="160"/>
      <c r="L17" s="159"/>
      <c r="M17" s="159"/>
      <c r="S17" s="161"/>
      <c r="V17" s="161"/>
      <c r="W17" s="767"/>
    </row>
    <row r="18" spans="2:23">
      <c r="B18" s="163" t="s">
        <v>151</v>
      </c>
      <c r="C18" s="160">
        <v>0.9</v>
      </c>
      <c r="D18" s="160">
        <v>0.9</v>
      </c>
      <c r="E18" s="162">
        <v>0.15</v>
      </c>
      <c r="F18" s="160">
        <v>0.05</v>
      </c>
      <c r="G18" s="160">
        <v>10</v>
      </c>
      <c r="H18" s="159">
        <v>0.17499999999999999</v>
      </c>
      <c r="I18" s="159">
        <v>10</v>
      </c>
      <c r="J18" s="159">
        <v>0.25</v>
      </c>
      <c r="K18" s="160">
        <v>3</v>
      </c>
      <c r="L18" s="159"/>
      <c r="M18" s="159"/>
      <c r="S18" s="161"/>
      <c r="T18" s="161"/>
      <c r="U18" s="161"/>
      <c r="V18" s="161"/>
      <c r="W18" s="767" t="s">
        <v>152</v>
      </c>
    </row>
    <row r="19" spans="2:23">
      <c r="B19" s="159"/>
      <c r="C19" s="160"/>
      <c r="D19" s="160"/>
      <c r="E19" s="160"/>
      <c r="F19" s="160"/>
      <c r="G19" s="160"/>
      <c r="H19" s="159"/>
      <c r="I19" s="159"/>
      <c r="J19" s="159"/>
      <c r="K19" s="160"/>
      <c r="L19" s="159"/>
      <c r="M19" s="159"/>
      <c r="S19" s="161"/>
      <c r="T19" s="161"/>
      <c r="U19" s="161"/>
      <c r="V19" s="161"/>
      <c r="W19" s="767"/>
    </row>
    <row r="20" spans="2:23">
      <c r="B20" s="159"/>
      <c r="C20" s="160"/>
      <c r="D20" s="160"/>
      <c r="E20" s="160"/>
      <c r="F20" s="160"/>
      <c r="G20" s="160"/>
      <c r="H20" s="159"/>
      <c r="I20" s="159"/>
      <c r="J20" s="159"/>
      <c r="K20" s="160"/>
      <c r="L20" s="159"/>
      <c r="M20" s="159"/>
      <c r="S20" s="161"/>
      <c r="T20" s="161"/>
      <c r="U20" s="161"/>
      <c r="V20" s="161"/>
      <c r="W20" s="767"/>
    </row>
    <row r="21" spans="2:23">
      <c r="B21" s="159" t="s">
        <v>153</v>
      </c>
      <c r="C21" s="160">
        <v>1</v>
      </c>
      <c r="D21" s="160">
        <v>1</v>
      </c>
      <c r="E21" s="160">
        <v>0.15</v>
      </c>
      <c r="F21" s="160">
        <v>0.05</v>
      </c>
      <c r="G21" s="160">
        <v>10</v>
      </c>
      <c r="H21" s="159">
        <v>0.17499999999999999</v>
      </c>
      <c r="I21" s="159">
        <v>10</v>
      </c>
      <c r="J21" s="159">
        <v>0.25</v>
      </c>
      <c r="K21" s="160">
        <v>3</v>
      </c>
      <c r="L21" s="159"/>
      <c r="M21" s="159"/>
      <c r="S21" s="164"/>
      <c r="T21" s="164"/>
      <c r="U21" s="164"/>
      <c r="V21" s="164"/>
      <c r="W21" s="153" t="s">
        <v>154</v>
      </c>
    </row>
    <row r="22" spans="2:23">
      <c r="B22" s="159"/>
      <c r="C22" s="160"/>
      <c r="D22" s="160"/>
      <c r="E22" s="160"/>
      <c r="F22" s="160"/>
      <c r="G22" s="160"/>
      <c r="H22" s="159"/>
      <c r="I22" s="159"/>
      <c r="J22" s="159"/>
      <c r="K22" s="160"/>
      <c r="L22" s="159"/>
      <c r="M22" s="159"/>
      <c r="S22" s="164"/>
      <c r="T22" s="164"/>
      <c r="U22" s="164"/>
      <c r="V22" s="164"/>
    </row>
    <row r="23" spans="2:23">
      <c r="B23" s="159"/>
      <c r="C23" s="160"/>
      <c r="D23" s="160"/>
      <c r="E23" s="160"/>
      <c r="F23" s="160"/>
      <c r="G23" s="160"/>
      <c r="H23" s="159"/>
      <c r="I23" s="159"/>
      <c r="J23" s="159"/>
      <c r="K23" s="160"/>
      <c r="L23" s="159"/>
      <c r="M23" s="159"/>
    </row>
    <row r="24" spans="2:23">
      <c r="B24" s="159" t="s">
        <v>155</v>
      </c>
      <c r="C24" s="160">
        <v>0.3</v>
      </c>
      <c r="D24" s="160">
        <v>0.3</v>
      </c>
      <c r="E24" s="160">
        <v>0.1</v>
      </c>
      <c r="F24" s="160">
        <v>0.05</v>
      </c>
      <c r="G24" s="160">
        <v>10</v>
      </c>
      <c r="H24" s="159">
        <v>0.2</v>
      </c>
      <c r="I24" s="159">
        <v>10</v>
      </c>
      <c r="J24" s="159">
        <v>0.25</v>
      </c>
      <c r="K24" s="160">
        <v>3</v>
      </c>
      <c r="L24" s="159"/>
      <c r="M24" s="159"/>
    </row>
    <row r="25" spans="2:23">
      <c r="B25" s="159"/>
      <c r="C25" s="160"/>
      <c r="D25" s="160"/>
      <c r="E25" s="160"/>
      <c r="F25" s="160"/>
      <c r="G25" s="160"/>
      <c r="H25" s="159"/>
      <c r="I25" s="159"/>
      <c r="J25" s="159"/>
      <c r="K25" s="160"/>
      <c r="L25" s="159"/>
      <c r="M25" s="159"/>
    </row>
    <row r="26" spans="2:23">
      <c r="B26" s="159"/>
      <c r="C26" s="160"/>
      <c r="D26" s="160"/>
      <c r="E26" s="160"/>
      <c r="F26" s="160"/>
      <c r="G26" s="160"/>
      <c r="H26" s="159"/>
      <c r="I26" s="159"/>
      <c r="J26" s="159"/>
      <c r="K26" s="160"/>
      <c r="L26" s="159"/>
      <c r="M26" s="159"/>
    </row>
    <row r="27" spans="2:23">
      <c r="B27" s="159" t="s">
        <v>156</v>
      </c>
      <c r="C27" s="160">
        <v>0.6</v>
      </c>
      <c r="D27" s="160">
        <v>0.6</v>
      </c>
      <c r="E27" s="160">
        <v>0.1</v>
      </c>
      <c r="F27" s="160">
        <v>0.05</v>
      </c>
      <c r="G27" s="160">
        <v>10</v>
      </c>
      <c r="H27" s="159">
        <v>0.2</v>
      </c>
      <c r="I27" s="159">
        <v>10</v>
      </c>
      <c r="J27" s="159">
        <v>0.25</v>
      </c>
      <c r="K27" s="160">
        <v>3</v>
      </c>
      <c r="L27" s="159"/>
      <c r="M27" s="159"/>
    </row>
    <row r="28" spans="2:23">
      <c r="B28" s="165"/>
      <c r="C28" s="166"/>
      <c r="D28" s="166"/>
      <c r="E28" s="166"/>
      <c r="F28" s="166"/>
      <c r="G28" s="166"/>
      <c r="H28" s="165"/>
      <c r="I28" s="165"/>
      <c r="J28" s="165"/>
      <c r="K28" s="160"/>
      <c r="L28" s="159"/>
      <c r="M28" s="159"/>
    </row>
    <row r="29" spans="2:23">
      <c r="B29" s="165"/>
      <c r="C29" s="166"/>
      <c r="D29" s="166"/>
      <c r="E29" s="166"/>
      <c r="F29" s="166"/>
      <c r="G29" s="166"/>
      <c r="H29" s="165"/>
      <c r="I29" s="165"/>
      <c r="J29" s="165"/>
      <c r="K29" s="166"/>
      <c r="L29" s="159"/>
      <c r="M29" s="159"/>
    </row>
    <row r="30" spans="2:23">
      <c r="B30" s="167" t="s">
        <v>157</v>
      </c>
      <c r="C30" s="160">
        <v>0.3</v>
      </c>
      <c r="D30" s="160">
        <v>0.3</v>
      </c>
      <c r="E30" s="160">
        <v>0.1</v>
      </c>
      <c r="F30" s="160">
        <v>0.05</v>
      </c>
      <c r="G30" s="160">
        <v>10</v>
      </c>
      <c r="H30" s="159">
        <v>0.25</v>
      </c>
      <c r="I30" s="159">
        <v>10</v>
      </c>
      <c r="J30" s="159">
        <v>0.25</v>
      </c>
      <c r="K30" s="160">
        <v>0</v>
      </c>
      <c r="L30" s="159"/>
      <c r="M30" s="159"/>
    </row>
    <row r="31" spans="2:23">
      <c r="B31" s="165" t="s">
        <v>158</v>
      </c>
      <c r="C31" s="166">
        <v>1.5</v>
      </c>
      <c r="D31" s="166"/>
      <c r="E31" s="166">
        <v>0.1</v>
      </c>
      <c r="F31" s="166"/>
      <c r="G31" s="166">
        <v>10</v>
      </c>
      <c r="H31" s="165">
        <v>0.25</v>
      </c>
      <c r="I31" s="165">
        <v>10</v>
      </c>
      <c r="J31" s="165">
        <v>0.15</v>
      </c>
      <c r="K31" s="160"/>
      <c r="L31" s="159"/>
      <c r="M31" s="159"/>
    </row>
    <row r="32" spans="2:23">
      <c r="B32" s="165"/>
      <c r="C32" s="166"/>
      <c r="D32" s="166"/>
      <c r="E32" s="166"/>
      <c r="F32" s="166"/>
      <c r="G32" s="166"/>
      <c r="H32" s="165"/>
      <c r="I32" s="165"/>
      <c r="J32" s="165"/>
      <c r="K32" s="166"/>
      <c r="L32" s="159"/>
      <c r="M32" s="159"/>
    </row>
    <row r="33" spans="2:13">
      <c r="B33" s="168" t="s">
        <v>159</v>
      </c>
      <c r="C33" s="160">
        <v>0.45</v>
      </c>
      <c r="D33" s="160">
        <v>0.45</v>
      </c>
      <c r="E33" s="160">
        <v>0.1</v>
      </c>
      <c r="F33" s="160">
        <v>0.05</v>
      </c>
      <c r="G33" s="160">
        <v>10</v>
      </c>
      <c r="H33" s="159">
        <v>0.25</v>
      </c>
      <c r="I33" s="159">
        <v>10</v>
      </c>
      <c r="J33" s="159">
        <v>0.25</v>
      </c>
      <c r="K33" s="160">
        <v>0</v>
      </c>
      <c r="L33" s="159"/>
      <c r="M33" s="159"/>
    </row>
    <row r="34" spans="2:13">
      <c r="B34" s="165" t="s">
        <v>158</v>
      </c>
      <c r="C34" s="166">
        <v>1.5</v>
      </c>
      <c r="D34" s="166"/>
      <c r="E34" s="166">
        <v>0.1</v>
      </c>
      <c r="F34" s="166"/>
      <c r="G34" s="166">
        <v>10</v>
      </c>
      <c r="H34" s="165">
        <v>0.25</v>
      </c>
      <c r="I34" s="165">
        <v>10</v>
      </c>
      <c r="J34" s="165">
        <v>0.15</v>
      </c>
      <c r="K34" s="160"/>
      <c r="L34" s="159"/>
      <c r="M34" s="159"/>
    </row>
    <row r="35" spans="2:13">
      <c r="B35" s="165"/>
      <c r="C35" s="166"/>
      <c r="D35" s="166"/>
      <c r="E35" s="166"/>
      <c r="F35" s="166"/>
      <c r="G35" s="166"/>
      <c r="H35" s="165"/>
      <c r="I35" s="165"/>
      <c r="J35" s="165"/>
      <c r="K35" s="166" t="s">
        <v>160</v>
      </c>
      <c r="L35" s="159"/>
      <c r="M35" s="159"/>
    </row>
    <row r="36" spans="2:13">
      <c r="B36" s="167" t="s">
        <v>161</v>
      </c>
      <c r="C36" s="160">
        <v>1</v>
      </c>
      <c r="D36" s="160">
        <v>0.15</v>
      </c>
      <c r="E36" s="160">
        <v>0.1</v>
      </c>
      <c r="F36" s="160">
        <v>0.05</v>
      </c>
      <c r="G36" s="160">
        <v>10</v>
      </c>
      <c r="H36" s="159">
        <v>0.25</v>
      </c>
      <c r="I36" s="159">
        <v>10</v>
      </c>
      <c r="J36" s="159">
        <v>0.25</v>
      </c>
      <c r="K36" s="160">
        <v>0</v>
      </c>
      <c r="L36" s="159"/>
      <c r="M36" s="159"/>
    </row>
    <row r="37" spans="2:13">
      <c r="B37" s="165" t="s">
        <v>158</v>
      </c>
      <c r="C37" s="166">
        <v>1.5</v>
      </c>
      <c r="D37" s="166"/>
      <c r="E37" s="166">
        <v>0.1</v>
      </c>
      <c r="F37" s="166"/>
      <c r="G37" s="166">
        <v>10</v>
      </c>
      <c r="H37" s="165">
        <v>0.25</v>
      </c>
      <c r="I37" s="165">
        <v>10</v>
      </c>
      <c r="J37" s="165">
        <v>0.15</v>
      </c>
      <c r="K37" s="160"/>
      <c r="L37" s="159"/>
      <c r="M37" s="159"/>
    </row>
    <row r="38" spans="2:13">
      <c r="B38" s="165"/>
      <c r="C38" s="166"/>
      <c r="D38" s="166"/>
      <c r="E38" s="166"/>
      <c r="F38" s="166"/>
      <c r="G38" s="166"/>
      <c r="H38" s="165"/>
      <c r="I38" s="165"/>
      <c r="J38" s="165"/>
      <c r="K38" s="166"/>
      <c r="L38" s="159"/>
      <c r="M38" s="159"/>
    </row>
    <row r="39" spans="2:13">
      <c r="B39" s="169" t="s">
        <v>162</v>
      </c>
      <c r="C39" s="160">
        <v>1</v>
      </c>
      <c r="D39" s="160">
        <v>0.2</v>
      </c>
      <c r="E39" s="160">
        <v>0.1</v>
      </c>
      <c r="F39" s="160">
        <v>0.05</v>
      </c>
      <c r="G39" s="160">
        <v>10</v>
      </c>
      <c r="H39" s="159">
        <v>0.25</v>
      </c>
      <c r="I39" s="159">
        <v>10</v>
      </c>
      <c r="J39" s="159">
        <v>0.25</v>
      </c>
      <c r="K39" s="160">
        <v>0</v>
      </c>
      <c r="L39" s="159"/>
      <c r="M39" s="159"/>
    </row>
    <row r="40" spans="2:13">
      <c r="B40" s="165"/>
      <c r="C40" s="166"/>
      <c r="D40" s="166"/>
      <c r="E40" s="166"/>
      <c r="F40" s="166"/>
      <c r="G40" s="166"/>
      <c r="H40" s="165"/>
      <c r="I40" s="165"/>
      <c r="J40" s="165"/>
      <c r="K40" s="166"/>
      <c r="L40" s="159"/>
      <c r="M40" s="159"/>
    </row>
    <row r="41" spans="2:13">
      <c r="B41" s="169" t="s">
        <v>163</v>
      </c>
      <c r="C41" s="160">
        <v>1</v>
      </c>
      <c r="D41" s="160">
        <v>0.3</v>
      </c>
      <c r="E41" s="160">
        <v>0.1</v>
      </c>
      <c r="F41" s="160">
        <v>0.05</v>
      </c>
      <c r="G41" s="160">
        <v>10</v>
      </c>
      <c r="H41" s="159">
        <v>0.25</v>
      </c>
      <c r="I41" s="159">
        <v>10</v>
      </c>
      <c r="J41" s="159">
        <v>0.25</v>
      </c>
      <c r="K41" s="160">
        <v>0</v>
      </c>
      <c r="L41" s="159"/>
      <c r="M41" s="159"/>
    </row>
    <row r="42" spans="2:13">
      <c r="B42" s="165"/>
      <c r="C42" s="166"/>
      <c r="D42" s="166"/>
      <c r="E42" s="166"/>
      <c r="F42" s="166"/>
      <c r="G42" s="166"/>
      <c r="H42" s="165"/>
      <c r="I42" s="165"/>
      <c r="J42" s="165"/>
      <c r="K42" s="166"/>
      <c r="L42" s="159"/>
      <c r="M42" s="159"/>
    </row>
    <row r="43" spans="2:13">
      <c r="B43" s="170" t="s">
        <v>164</v>
      </c>
      <c r="C43" s="160">
        <v>0.6</v>
      </c>
      <c r="D43" s="160">
        <v>0.6</v>
      </c>
      <c r="E43" s="160">
        <v>0.15</v>
      </c>
      <c r="F43" s="160">
        <v>0.05</v>
      </c>
      <c r="G43" s="160">
        <v>10</v>
      </c>
      <c r="H43" s="159">
        <v>0.25</v>
      </c>
      <c r="I43" s="159">
        <v>10</v>
      </c>
      <c r="J43" s="159">
        <v>0.25</v>
      </c>
      <c r="K43" s="160">
        <v>0</v>
      </c>
      <c r="L43" s="159"/>
      <c r="M43" s="159"/>
    </row>
    <row r="44" spans="2:13">
      <c r="B44" s="165"/>
      <c r="C44" s="166"/>
      <c r="D44" s="166"/>
      <c r="E44" s="166"/>
      <c r="F44" s="166"/>
      <c r="G44" s="166"/>
      <c r="H44" s="165"/>
      <c r="I44" s="165"/>
      <c r="J44" s="165"/>
      <c r="K44" s="166"/>
      <c r="L44" s="159"/>
      <c r="M44" s="159"/>
    </row>
    <row r="45" spans="2:13">
      <c r="B45" s="170" t="s">
        <v>165</v>
      </c>
      <c r="C45" s="160">
        <v>0.8</v>
      </c>
      <c r="D45" s="160">
        <v>0.8</v>
      </c>
      <c r="E45" s="160">
        <v>0.15</v>
      </c>
      <c r="F45" s="160">
        <v>0.05</v>
      </c>
      <c r="G45" s="160">
        <v>10</v>
      </c>
      <c r="H45" s="159">
        <v>0.25</v>
      </c>
      <c r="I45" s="159">
        <v>10</v>
      </c>
      <c r="J45" s="159">
        <v>0.25</v>
      </c>
      <c r="K45" s="160">
        <v>0</v>
      </c>
      <c r="L45" s="159"/>
      <c r="M45" s="159"/>
    </row>
    <row r="46" spans="2:13">
      <c r="B46" s="165"/>
      <c r="C46" s="166"/>
      <c r="D46" s="166"/>
      <c r="E46" s="166"/>
      <c r="F46" s="166"/>
      <c r="G46" s="166"/>
      <c r="H46" s="165"/>
      <c r="I46" s="165"/>
      <c r="J46" s="165"/>
      <c r="K46" s="166"/>
      <c r="L46" s="159"/>
      <c r="M46" s="159"/>
    </row>
    <row r="47" spans="2:13">
      <c r="B47" s="171" t="s">
        <v>166</v>
      </c>
      <c r="C47" s="160">
        <v>1</v>
      </c>
      <c r="D47" s="160">
        <v>0.6</v>
      </c>
      <c r="E47" s="160">
        <v>0.1</v>
      </c>
      <c r="F47" s="160">
        <v>0.05</v>
      </c>
      <c r="G47" s="160">
        <v>10</v>
      </c>
      <c r="H47" s="159">
        <v>0.25</v>
      </c>
      <c r="I47" s="159">
        <v>10</v>
      </c>
      <c r="J47" s="159">
        <v>0.25</v>
      </c>
      <c r="K47" s="160">
        <v>3</v>
      </c>
      <c r="L47" s="159"/>
      <c r="M47" s="159"/>
    </row>
    <row r="48" spans="2:13">
      <c r="B48" s="172"/>
      <c r="C48" s="166"/>
      <c r="D48" s="166"/>
      <c r="E48" s="166"/>
      <c r="F48" s="166"/>
      <c r="G48" s="166"/>
      <c r="H48" s="165"/>
      <c r="I48" s="165"/>
      <c r="J48" s="165"/>
      <c r="K48" s="166"/>
      <c r="L48" s="159"/>
      <c r="M48" s="159"/>
    </row>
    <row r="49" spans="2:13">
      <c r="B49" s="165"/>
      <c r="C49" s="166"/>
      <c r="D49" s="166"/>
      <c r="E49" s="166"/>
      <c r="F49" s="166"/>
      <c r="G49" s="166"/>
      <c r="H49" s="165"/>
      <c r="I49" s="165"/>
      <c r="J49" s="165"/>
      <c r="K49" s="166"/>
      <c r="L49" s="159"/>
      <c r="M49" s="159"/>
    </row>
    <row r="50" spans="2:13">
      <c r="B50" s="171" t="s">
        <v>167</v>
      </c>
      <c r="C50" s="160">
        <v>1</v>
      </c>
      <c r="D50" s="160">
        <v>0.8</v>
      </c>
      <c r="E50" s="160">
        <v>0.125</v>
      </c>
      <c r="F50" s="160">
        <v>0.05</v>
      </c>
      <c r="G50" s="160">
        <v>10</v>
      </c>
      <c r="H50" s="159">
        <v>0.25</v>
      </c>
      <c r="I50" s="159">
        <v>10</v>
      </c>
      <c r="J50" s="159">
        <v>0.25</v>
      </c>
      <c r="K50" s="160">
        <v>3</v>
      </c>
      <c r="L50" s="159"/>
      <c r="M50" s="159"/>
    </row>
    <row r="51" spans="2:13">
      <c r="B51" s="172"/>
      <c r="C51" s="166"/>
      <c r="D51" s="166"/>
      <c r="E51" s="166"/>
      <c r="F51" s="166"/>
      <c r="G51" s="166"/>
      <c r="H51" s="165"/>
      <c r="I51" s="165"/>
      <c r="J51" s="165"/>
      <c r="K51" s="166"/>
      <c r="L51" s="159"/>
      <c r="M51" s="159"/>
    </row>
    <row r="52" spans="2:13">
      <c r="B52" s="165"/>
      <c r="C52" s="166"/>
      <c r="D52" s="166"/>
      <c r="E52" s="166"/>
      <c r="F52" s="166"/>
      <c r="G52" s="166"/>
      <c r="H52" s="165"/>
      <c r="I52" s="165"/>
      <c r="J52" s="165"/>
      <c r="K52" s="166"/>
      <c r="L52" s="159"/>
      <c r="M52" s="159"/>
    </row>
    <row r="53" spans="2:13">
      <c r="B53" s="171" t="s">
        <v>168</v>
      </c>
      <c r="C53" s="160">
        <v>1</v>
      </c>
      <c r="D53" s="160">
        <v>1</v>
      </c>
      <c r="E53" s="160">
        <v>0.125</v>
      </c>
      <c r="F53" s="160">
        <v>0.05</v>
      </c>
      <c r="G53" s="160">
        <v>10</v>
      </c>
      <c r="H53" s="159">
        <v>0.25</v>
      </c>
      <c r="I53" s="159">
        <v>10</v>
      </c>
      <c r="J53" s="159">
        <v>0.25</v>
      </c>
      <c r="K53" s="160">
        <v>3</v>
      </c>
      <c r="L53" s="159"/>
      <c r="M53" s="159"/>
    </row>
    <row r="54" spans="2:13">
      <c r="B54" s="172"/>
      <c r="C54" s="166"/>
      <c r="D54" s="166"/>
      <c r="E54" s="166"/>
      <c r="F54" s="166"/>
      <c r="G54" s="166"/>
      <c r="H54" s="165"/>
      <c r="I54" s="165"/>
      <c r="J54" s="165"/>
      <c r="K54" s="166"/>
      <c r="L54" s="159"/>
      <c r="M54" s="159"/>
    </row>
    <row r="55" spans="2:13">
      <c r="B55" s="165"/>
      <c r="C55" s="166"/>
      <c r="D55" s="166"/>
      <c r="E55" s="166"/>
      <c r="F55" s="166"/>
      <c r="G55" s="166"/>
      <c r="H55" s="165"/>
      <c r="I55" s="165"/>
      <c r="J55" s="165"/>
      <c r="K55" s="166"/>
      <c r="L55" s="159"/>
      <c r="M55" s="159"/>
    </row>
    <row r="56" spans="2:13">
      <c r="B56" s="171" t="s">
        <v>169</v>
      </c>
      <c r="C56" s="160">
        <v>1</v>
      </c>
      <c r="D56" s="160">
        <v>1</v>
      </c>
      <c r="E56" s="160">
        <v>0.125</v>
      </c>
      <c r="F56" s="160">
        <v>0.05</v>
      </c>
      <c r="G56" s="160">
        <v>10</v>
      </c>
      <c r="H56" s="159">
        <v>0.25</v>
      </c>
      <c r="I56" s="159">
        <v>10</v>
      </c>
      <c r="J56" s="159">
        <v>0.25</v>
      </c>
      <c r="K56" s="160">
        <v>3</v>
      </c>
      <c r="L56" s="159"/>
      <c r="M56" s="159"/>
    </row>
    <row r="57" spans="2:13">
      <c r="B57" s="172"/>
      <c r="C57" s="166"/>
      <c r="D57" s="166"/>
      <c r="E57" s="166"/>
      <c r="F57" s="166"/>
      <c r="G57" s="166"/>
      <c r="H57" s="165"/>
      <c r="I57" s="165"/>
      <c r="J57" s="165"/>
      <c r="K57" s="166"/>
      <c r="L57" s="159"/>
      <c r="M57" s="159"/>
    </row>
    <row r="58" spans="2:13">
      <c r="B58" s="172"/>
      <c r="C58" s="166"/>
      <c r="D58" s="166"/>
      <c r="E58" s="166"/>
      <c r="F58" s="166"/>
      <c r="G58" s="166"/>
      <c r="H58" s="165"/>
      <c r="I58" s="165"/>
      <c r="J58" s="165"/>
      <c r="K58" s="166"/>
      <c r="L58" s="159"/>
      <c r="M58" s="159"/>
    </row>
    <row r="59" spans="2:13">
      <c r="B59" s="159" t="s">
        <v>170</v>
      </c>
      <c r="C59" s="160">
        <v>0.45</v>
      </c>
      <c r="D59" s="160">
        <v>0.45</v>
      </c>
      <c r="E59" s="160">
        <v>0.1</v>
      </c>
      <c r="F59" s="160">
        <v>0.05</v>
      </c>
      <c r="G59" s="160">
        <v>10</v>
      </c>
      <c r="H59" s="159">
        <v>0.25</v>
      </c>
      <c r="I59" s="159">
        <v>10</v>
      </c>
      <c r="J59" s="159">
        <v>0.25</v>
      </c>
      <c r="K59" s="160"/>
      <c r="L59" s="159">
        <v>0.27500000000000002</v>
      </c>
      <c r="M59" s="159">
        <v>0.27500000000000002</v>
      </c>
    </row>
    <row r="60" spans="2:13">
      <c r="B60" s="165"/>
      <c r="C60" s="166"/>
      <c r="D60" s="166"/>
      <c r="E60" s="166"/>
      <c r="F60" s="166"/>
      <c r="G60" s="166"/>
      <c r="H60" s="165"/>
      <c r="I60" s="165"/>
      <c r="J60" s="165"/>
      <c r="K60" s="166"/>
      <c r="L60" s="159"/>
      <c r="M60" s="159"/>
    </row>
    <row r="61" spans="2:13">
      <c r="B61" s="165"/>
      <c r="C61" s="166"/>
      <c r="D61" s="166"/>
      <c r="E61" s="166"/>
      <c r="F61" s="166"/>
      <c r="G61" s="166"/>
      <c r="H61" s="165"/>
      <c r="I61" s="165"/>
      <c r="J61" s="165"/>
      <c r="K61" s="166"/>
      <c r="L61" s="159"/>
      <c r="M61" s="159"/>
    </row>
    <row r="62" spans="2:13">
      <c r="B62" s="165"/>
      <c r="C62" s="166"/>
      <c r="D62" s="166"/>
      <c r="E62" s="166"/>
      <c r="F62" s="166"/>
      <c r="G62" s="166"/>
      <c r="H62" s="165"/>
      <c r="I62" s="165"/>
      <c r="J62" s="165"/>
      <c r="K62" s="166"/>
      <c r="L62" s="159"/>
      <c r="M62" s="159"/>
    </row>
    <row r="63" spans="2:13">
      <c r="B63" s="159" t="s">
        <v>171</v>
      </c>
      <c r="C63" s="160">
        <v>0.45</v>
      </c>
      <c r="D63" s="160">
        <v>0.6</v>
      </c>
      <c r="E63" s="160">
        <v>0.1</v>
      </c>
      <c r="F63" s="160">
        <v>0.05</v>
      </c>
      <c r="G63" s="160">
        <v>10</v>
      </c>
      <c r="H63" s="159">
        <v>0.25</v>
      </c>
      <c r="I63" s="159">
        <v>10</v>
      </c>
      <c r="J63" s="159">
        <v>0.25</v>
      </c>
      <c r="K63" s="160"/>
      <c r="L63" s="159">
        <v>0.27500000000000002</v>
      </c>
      <c r="M63" s="159">
        <v>0.27500000000000002</v>
      </c>
    </row>
    <row r="64" spans="2:13">
      <c r="B64" s="165"/>
      <c r="C64" s="166"/>
      <c r="D64" s="166"/>
      <c r="E64" s="166"/>
      <c r="F64" s="166"/>
      <c r="G64" s="166"/>
      <c r="H64" s="165"/>
      <c r="I64" s="165"/>
      <c r="J64" s="165"/>
      <c r="K64" s="166"/>
      <c r="L64" s="159"/>
      <c r="M64" s="159"/>
    </row>
    <row r="65" spans="2:13">
      <c r="B65" s="165"/>
      <c r="C65" s="166"/>
      <c r="D65" s="166"/>
      <c r="E65" s="166"/>
      <c r="F65" s="166"/>
      <c r="G65" s="166"/>
      <c r="H65" s="165"/>
      <c r="I65" s="165"/>
      <c r="J65" s="165"/>
      <c r="K65" s="166"/>
      <c r="L65" s="159"/>
      <c r="M65" s="159"/>
    </row>
    <row r="66" spans="2:13">
      <c r="B66" s="172"/>
      <c r="C66" s="166"/>
      <c r="D66" s="166"/>
      <c r="E66" s="166"/>
      <c r="F66" s="166"/>
      <c r="G66" s="166"/>
      <c r="H66" s="165"/>
      <c r="I66" s="165"/>
      <c r="J66" s="165"/>
      <c r="K66" s="166"/>
      <c r="L66" s="159"/>
      <c r="M66" s="159"/>
    </row>
    <row r="67" spans="2:13">
      <c r="B67" s="159" t="s">
        <v>172</v>
      </c>
      <c r="C67" s="160">
        <v>0.6</v>
      </c>
      <c r="D67" s="160">
        <v>0.6</v>
      </c>
      <c r="E67" s="160">
        <v>0.1</v>
      </c>
      <c r="F67" s="160">
        <v>0.05</v>
      </c>
      <c r="G67" s="160">
        <v>10</v>
      </c>
      <c r="H67" s="159">
        <v>0.25</v>
      </c>
      <c r="I67" s="159">
        <v>10</v>
      </c>
      <c r="J67" s="159">
        <v>0.25</v>
      </c>
      <c r="K67" s="160"/>
      <c r="L67" s="159">
        <v>0.27500000000000002</v>
      </c>
      <c r="M67" s="159">
        <v>0.27500000000000002</v>
      </c>
    </row>
    <row r="68" spans="2:13">
      <c r="B68" s="165"/>
      <c r="C68" s="166"/>
      <c r="D68" s="166"/>
      <c r="E68" s="166"/>
      <c r="F68" s="166"/>
      <c r="G68" s="166"/>
      <c r="H68" s="165"/>
      <c r="I68" s="165"/>
      <c r="J68" s="165"/>
      <c r="K68" s="166"/>
      <c r="L68" s="159"/>
      <c r="M68" s="159"/>
    </row>
    <row r="69" spans="2:13">
      <c r="B69" s="165"/>
      <c r="C69" s="166"/>
      <c r="D69" s="166"/>
      <c r="E69" s="166"/>
      <c r="F69" s="166"/>
      <c r="G69" s="166"/>
      <c r="H69" s="165"/>
      <c r="I69" s="165"/>
      <c r="J69" s="165"/>
      <c r="K69" s="166"/>
      <c r="L69" s="159"/>
      <c r="M69" s="159"/>
    </row>
    <row r="70" spans="2:13">
      <c r="B70" s="165"/>
      <c r="C70" s="166"/>
      <c r="D70" s="166"/>
      <c r="E70" s="166"/>
      <c r="F70" s="166"/>
      <c r="G70" s="166"/>
      <c r="H70" s="165"/>
      <c r="I70" s="165"/>
      <c r="J70" s="165"/>
      <c r="K70" s="166"/>
      <c r="L70" s="159"/>
      <c r="M70" s="159"/>
    </row>
    <row r="71" spans="2:13">
      <c r="B71" s="159" t="s">
        <v>173</v>
      </c>
      <c r="C71" s="160">
        <v>0.8</v>
      </c>
      <c r="D71" s="160">
        <v>0.8</v>
      </c>
      <c r="E71" s="160">
        <v>0.1</v>
      </c>
      <c r="F71" s="160">
        <v>0.05</v>
      </c>
      <c r="G71" s="160">
        <v>10</v>
      </c>
      <c r="H71" s="159">
        <v>0.25</v>
      </c>
      <c r="I71" s="159">
        <v>10</v>
      </c>
      <c r="J71" s="159">
        <v>0.25</v>
      </c>
      <c r="K71" s="160"/>
      <c r="L71" s="159">
        <v>0.27500000000000002</v>
      </c>
      <c r="M71" s="159">
        <v>0.27500000000000002</v>
      </c>
    </row>
    <row r="72" spans="2:13">
      <c r="B72" s="165"/>
      <c r="C72" s="166"/>
      <c r="D72" s="166"/>
      <c r="E72" s="166"/>
      <c r="F72" s="166"/>
      <c r="G72" s="166"/>
      <c r="H72" s="165"/>
      <c r="I72" s="165"/>
      <c r="J72" s="165"/>
      <c r="K72" s="166"/>
      <c r="L72" s="159"/>
      <c r="M72" s="159"/>
    </row>
    <row r="73" spans="2:13">
      <c r="B73" s="165"/>
      <c r="C73" s="166"/>
      <c r="D73" s="166"/>
      <c r="E73" s="166"/>
      <c r="F73" s="166"/>
      <c r="G73" s="166"/>
      <c r="H73" s="165"/>
      <c r="I73" s="165"/>
      <c r="J73" s="165"/>
      <c r="K73" s="166"/>
      <c r="L73" s="159"/>
      <c r="M73" s="159"/>
    </row>
    <row r="74" spans="2:13">
      <c r="B74" s="165"/>
      <c r="C74" s="166"/>
      <c r="D74" s="166"/>
      <c r="E74" s="166"/>
      <c r="F74" s="166"/>
      <c r="G74" s="166"/>
      <c r="H74" s="165"/>
      <c r="I74" s="165"/>
      <c r="J74" s="165"/>
      <c r="K74" s="166"/>
      <c r="L74" s="159"/>
      <c r="M74" s="159"/>
    </row>
    <row r="75" spans="2:13">
      <c r="B75" s="159" t="s">
        <v>174</v>
      </c>
      <c r="C75" s="160">
        <v>1</v>
      </c>
      <c r="D75" s="160">
        <v>1</v>
      </c>
      <c r="E75" s="160">
        <v>0.125</v>
      </c>
      <c r="F75" s="160">
        <v>0.05</v>
      </c>
      <c r="G75" s="160">
        <v>10</v>
      </c>
      <c r="H75" s="159">
        <v>0.25</v>
      </c>
      <c r="I75" s="159">
        <v>10</v>
      </c>
      <c r="J75" s="159">
        <v>0.25</v>
      </c>
      <c r="K75" s="160"/>
      <c r="L75" s="159">
        <v>0.27500000000000002</v>
      </c>
      <c r="M75" s="159">
        <v>0.27500000000000002</v>
      </c>
    </row>
    <row r="76" spans="2:13">
      <c r="B76" s="165"/>
      <c r="C76" s="166"/>
      <c r="D76" s="166"/>
      <c r="E76" s="166"/>
      <c r="F76" s="166"/>
      <c r="G76" s="166"/>
      <c r="H76" s="165"/>
      <c r="I76" s="165"/>
      <c r="J76" s="165"/>
      <c r="K76" s="166"/>
      <c r="L76" s="159"/>
      <c r="M76" s="159"/>
    </row>
    <row r="77" spans="2:13">
      <c r="B77" s="165"/>
      <c r="C77" s="166"/>
      <c r="D77" s="166"/>
      <c r="E77" s="166"/>
      <c r="F77" s="166"/>
      <c r="G77" s="166"/>
      <c r="H77" s="165"/>
      <c r="I77" s="165"/>
      <c r="J77" s="165"/>
      <c r="K77" s="166"/>
      <c r="L77" s="159"/>
      <c r="M77" s="159"/>
    </row>
    <row r="78" spans="2:13">
      <c r="B78" s="165"/>
      <c r="C78" s="166"/>
      <c r="D78" s="166"/>
      <c r="E78" s="166"/>
      <c r="F78" s="166"/>
      <c r="G78" s="166"/>
      <c r="H78" s="165"/>
      <c r="I78" s="165"/>
      <c r="J78" s="165"/>
      <c r="K78" s="166"/>
      <c r="L78" s="159"/>
      <c r="M78" s="159"/>
    </row>
    <row r="79" spans="2:13">
      <c r="B79" s="173" t="s">
        <v>175</v>
      </c>
      <c r="C79" s="160">
        <v>0.45</v>
      </c>
      <c r="D79" s="160">
        <v>0.45</v>
      </c>
      <c r="E79" s="160">
        <v>0.1</v>
      </c>
      <c r="F79" s="160">
        <v>0.05</v>
      </c>
      <c r="G79" s="160">
        <v>10</v>
      </c>
      <c r="H79" s="159">
        <v>0.25</v>
      </c>
      <c r="I79" s="159">
        <v>10</v>
      </c>
      <c r="J79" s="159">
        <v>0.25</v>
      </c>
      <c r="K79" s="160"/>
      <c r="L79" s="159">
        <v>0.9</v>
      </c>
      <c r="M79" s="159">
        <v>0.45</v>
      </c>
    </row>
    <row r="80" spans="2:13">
      <c r="B80" s="174"/>
      <c r="C80" s="166"/>
      <c r="D80" s="166"/>
      <c r="E80" s="166"/>
      <c r="F80" s="166"/>
      <c r="G80" s="166"/>
      <c r="H80" s="165"/>
      <c r="I80" s="165"/>
      <c r="J80" s="165"/>
      <c r="K80" s="166"/>
      <c r="L80" s="159"/>
      <c r="M80" s="159"/>
    </row>
    <row r="81" spans="2:13">
      <c r="B81" s="174"/>
      <c r="C81" s="166"/>
      <c r="D81" s="166"/>
      <c r="E81" s="166"/>
      <c r="F81" s="166"/>
      <c r="G81" s="166"/>
      <c r="H81" s="165"/>
      <c r="I81" s="165"/>
      <c r="J81" s="165"/>
      <c r="K81" s="166"/>
      <c r="L81" s="159"/>
      <c r="M81" s="159"/>
    </row>
    <row r="82" spans="2:13">
      <c r="B82" s="174"/>
      <c r="C82" s="166"/>
      <c r="D82" s="166"/>
      <c r="E82" s="166"/>
      <c r="F82" s="166"/>
      <c r="G82" s="166"/>
      <c r="H82" s="165"/>
      <c r="I82" s="165"/>
      <c r="J82" s="165"/>
      <c r="K82" s="166"/>
      <c r="L82" s="159"/>
      <c r="M82" s="159"/>
    </row>
    <row r="83" spans="2:13">
      <c r="B83" s="173" t="s">
        <v>176</v>
      </c>
      <c r="C83" s="160">
        <v>0.45</v>
      </c>
      <c r="D83" s="160">
        <v>0.6</v>
      </c>
      <c r="E83" s="160">
        <v>0.1</v>
      </c>
      <c r="F83" s="160">
        <v>0.05</v>
      </c>
      <c r="G83" s="160">
        <v>10</v>
      </c>
      <c r="H83" s="159">
        <v>0.25</v>
      </c>
      <c r="I83" s="159">
        <v>10</v>
      </c>
      <c r="J83" s="159">
        <v>0.25</v>
      </c>
      <c r="K83" s="160"/>
      <c r="L83" s="159">
        <v>0.9</v>
      </c>
      <c r="M83" s="159">
        <v>0.45</v>
      </c>
    </row>
    <row r="84" spans="2:13">
      <c r="B84" s="174"/>
      <c r="C84" s="166"/>
      <c r="D84" s="166"/>
      <c r="E84" s="166"/>
      <c r="F84" s="166"/>
      <c r="G84" s="166"/>
      <c r="H84" s="165"/>
      <c r="I84" s="165"/>
      <c r="J84" s="165"/>
      <c r="K84" s="166"/>
      <c r="L84" s="159"/>
      <c r="M84" s="159"/>
    </row>
    <row r="85" spans="2:13">
      <c r="B85" s="174"/>
      <c r="C85" s="166"/>
      <c r="D85" s="166"/>
      <c r="E85" s="166"/>
      <c r="F85" s="166"/>
      <c r="G85" s="166"/>
      <c r="H85" s="165"/>
      <c r="I85" s="165"/>
      <c r="J85" s="165"/>
      <c r="K85" s="166"/>
      <c r="L85" s="159"/>
      <c r="M85" s="159"/>
    </row>
    <row r="86" spans="2:13">
      <c r="B86" s="174"/>
      <c r="C86" s="166"/>
      <c r="D86" s="166"/>
      <c r="E86" s="166"/>
      <c r="F86" s="166"/>
      <c r="G86" s="166"/>
      <c r="H86" s="165"/>
      <c r="I86" s="165"/>
      <c r="J86" s="165"/>
      <c r="K86" s="166"/>
      <c r="L86" s="159"/>
      <c r="M86" s="159"/>
    </row>
    <row r="87" spans="2:13">
      <c r="B87" s="173" t="s">
        <v>177</v>
      </c>
      <c r="C87" s="160">
        <v>0.6</v>
      </c>
      <c r="D87" s="160">
        <v>0.6</v>
      </c>
      <c r="E87" s="160">
        <v>0.1</v>
      </c>
      <c r="F87" s="160">
        <v>0.05</v>
      </c>
      <c r="G87" s="160">
        <v>10</v>
      </c>
      <c r="H87" s="159">
        <v>0.25</v>
      </c>
      <c r="I87" s="159">
        <v>10</v>
      </c>
      <c r="J87" s="159">
        <v>0.25</v>
      </c>
      <c r="K87" s="160"/>
      <c r="L87" s="159">
        <v>0.9</v>
      </c>
      <c r="M87" s="159">
        <v>0.45</v>
      </c>
    </row>
    <row r="88" spans="2:13">
      <c r="B88" s="174"/>
      <c r="C88" s="166"/>
      <c r="D88" s="166"/>
      <c r="E88" s="166"/>
      <c r="F88" s="166"/>
      <c r="G88" s="166"/>
      <c r="H88" s="165"/>
      <c r="I88" s="165"/>
      <c r="J88" s="165"/>
      <c r="K88" s="166"/>
      <c r="L88" s="159"/>
      <c r="M88" s="159"/>
    </row>
    <row r="89" spans="2:13">
      <c r="B89" s="174"/>
      <c r="C89" s="166"/>
      <c r="D89" s="166"/>
      <c r="E89" s="166"/>
      <c r="F89" s="166"/>
      <c r="G89" s="166"/>
      <c r="H89" s="165"/>
      <c r="I89" s="165"/>
      <c r="J89" s="165"/>
      <c r="K89" s="166"/>
      <c r="L89" s="159"/>
      <c r="M89" s="159"/>
    </row>
    <row r="90" spans="2:13">
      <c r="B90" s="174"/>
      <c r="C90" s="166"/>
      <c r="D90" s="166"/>
      <c r="E90" s="166"/>
      <c r="F90" s="166"/>
      <c r="G90" s="166"/>
      <c r="H90" s="165"/>
      <c r="I90" s="165"/>
      <c r="J90" s="165"/>
      <c r="K90" s="166"/>
      <c r="L90" s="159"/>
      <c r="M90" s="159"/>
    </row>
    <row r="91" spans="2:13">
      <c r="B91" s="173" t="s">
        <v>178</v>
      </c>
      <c r="C91" s="160">
        <v>0.8</v>
      </c>
      <c r="D91" s="160">
        <v>0.8</v>
      </c>
      <c r="E91" s="160">
        <v>0.1</v>
      </c>
      <c r="F91" s="160">
        <v>0.05</v>
      </c>
      <c r="G91" s="160">
        <v>10</v>
      </c>
      <c r="H91" s="159">
        <v>0.25</v>
      </c>
      <c r="I91" s="159">
        <v>10</v>
      </c>
      <c r="J91" s="159">
        <v>0.25</v>
      </c>
      <c r="K91" s="160"/>
      <c r="L91" s="159">
        <v>0.9</v>
      </c>
      <c r="M91" s="159">
        <v>0.45</v>
      </c>
    </row>
    <row r="92" spans="2:13">
      <c r="B92" s="174"/>
      <c r="C92" s="166"/>
      <c r="D92" s="166"/>
      <c r="E92" s="166"/>
      <c r="F92" s="166"/>
      <c r="G92" s="166"/>
      <c r="H92" s="165"/>
      <c r="I92" s="165"/>
      <c r="J92" s="165"/>
      <c r="K92" s="166"/>
      <c r="L92" s="159"/>
      <c r="M92" s="159"/>
    </row>
    <row r="93" spans="2:13">
      <c r="B93" s="174"/>
      <c r="C93" s="166"/>
      <c r="D93" s="166"/>
      <c r="E93" s="166"/>
      <c r="F93" s="166"/>
      <c r="G93" s="166"/>
      <c r="H93" s="165"/>
      <c r="I93" s="165"/>
      <c r="J93" s="165"/>
      <c r="K93" s="166"/>
      <c r="L93" s="159"/>
      <c r="M93" s="159"/>
    </row>
    <row r="94" spans="2:13">
      <c r="B94" s="174"/>
      <c r="C94" s="166"/>
      <c r="D94" s="166"/>
      <c r="E94" s="166"/>
      <c r="F94" s="166"/>
      <c r="G94" s="166"/>
      <c r="H94" s="165"/>
      <c r="I94" s="165"/>
      <c r="J94" s="165"/>
      <c r="K94" s="166"/>
      <c r="L94" s="159"/>
      <c r="M94" s="159"/>
    </row>
    <row r="95" spans="2:13">
      <c r="B95" s="173" t="s">
        <v>179</v>
      </c>
      <c r="C95" s="160">
        <v>1</v>
      </c>
      <c r="D95" s="160">
        <v>0.75</v>
      </c>
      <c r="E95" s="160">
        <v>0.125</v>
      </c>
      <c r="F95" s="160">
        <v>0.05</v>
      </c>
      <c r="G95" s="160">
        <v>10</v>
      </c>
      <c r="H95" s="159">
        <v>0.25</v>
      </c>
      <c r="I95" s="159">
        <v>10</v>
      </c>
      <c r="J95" s="159">
        <v>0.25</v>
      </c>
      <c r="K95" s="160"/>
      <c r="L95" s="159">
        <v>0.9</v>
      </c>
      <c r="M95" s="159">
        <v>0.45</v>
      </c>
    </row>
    <row r="96" spans="2:13">
      <c r="B96" s="174"/>
      <c r="C96" s="166"/>
      <c r="D96" s="166"/>
      <c r="E96" s="166"/>
      <c r="F96" s="166"/>
      <c r="G96" s="166"/>
      <c r="H96" s="165"/>
      <c r="I96" s="165"/>
      <c r="J96" s="165"/>
      <c r="K96" s="166"/>
      <c r="L96" s="159"/>
      <c r="M96" s="159"/>
    </row>
    <row r="97" spans="2:21">
      <c r="B97" s="174"/>
      <c r="C97" s="166"/>
      <c r="D97" s="166"/>
      <c r="E97" s="166"/>
      <c r="F97" s="166"/>
      <c r="G97" s="166"/>
      <c r="H97" s="165"/>
      <c r="I97" s="165"/>
      <c r="J97" s="165"/>
      <c r="K97" s="166"/>
      <c r="L97" s="159"/>
      <c r="M97" s="159"/>
    </row>
    <row r="98" spans="2:21">
      <c r="B98" s="174"/>
      <c r="C98" s="166"/>
      <c r="D98" s="166"/>
      <c r="E98" s="166"/>
      <c r="F98" s="166"/>
      <c r="G98" s="166"/>
      <c r="H98" s="165"/>
      <c r="I98" s="165"/>
      <c r="J98" s="165"/>
      <c r="K98" s="166"/>
      <c r="L98" s="159"/>
      <c r="M98" s="159"/>
    </row>
    <row r="99" spans="2:21">
      <c r="B99" s="165"/>
      <c r="C99" s="166"/>
      <c r="D99" s="166"/>
      <c r="E99" s="166"/>
      <c r="F99" s="166"/>
      <c r="G99" s="166"/>
      <c r="H99" s="165"/>
      <c r="I99" s="165"/>
      <c r="J99" s="165"/>
      <c r="K99" s="166"/>
      <c r="L99" s="159"/>
      <c r="M99" s="159"/>
    </row>
    <row r="100" spans="2:21">
      <c r="B100" s="175"/>
      <c r="C100" s="175"/>
      <c r="D100" s="175"/>
      <c r="E100" s="175"/>
      <c r="F100" s="175"/>
      <c r="G100" s="175"/>
      <c r="H100" s="175"/>
      <c r="I100" s="175"/>
      <c r="J100" s="175"/>
      <c r="K100" s="176"/>
      <c r="L100" s="175"/>
      <c r="M100" s="175"/>
    </row>
    <row r="103" spans="2:21">
      <c r="K103" s="177" t="s">
        <v>180</v>
      </c>
      <c r="L103" s="768" t="s">
        <v>181</v>
      </c>
      <c r="M103" s="769"/>
      <c r="N103" s="769"/>
      <c r="O103" s="769"/>
      <c r="P103" s="769"/>
      <c r="Q103" s="769"/>
      <c r="R103" s="769"/>
      <c r="S103" s="770"/>
    </row>
    <row r="104" spans="2:21">
      <c r="B104" s="177" t="s">
        <v>182</v>
      </c>
      <c r="K104" s="178">
        <v>1</v>
      </c>
      <c r="L104" s="763" t="s">
        <v>7</v>
      </c>
      <c r="M104" s="771"/>
      <c r="N104" s="764"/>
      <c r="O104" s="763" t="s">
        <v>6</v>
      </c>
      <c r="P104" s="771"/>
      <c r="Q104" s="764"/>
      <c r="R104" s="763" t="s">
        <v>183</v>
      </c>
      <c r="S104" s="764"/>
    </row>
    <row r="105" spans="2:21">
      <c r="D105" s="179" t="s">
        <v>184</v>
      </c>
      <c r="E105" s="180" t="s">
        <v>1</v>
      </c>
      <c r="G105" s="181" t="s">
        <v>185</v>
      </c>
      <c r="H105" s="181" t="s">
        <v>186</v>
      </c>
      <c r="I105" s="181" t="s">
        <v>187</v>
      </c>
      <c r="J105" s="181" t="s">
        <v>188</v>
      </c>
      <c r="K105" s="181" t="s">
        <v>189</v>
      </c>
      <c r="L105" s="763" t="s">
        <v>190</v>
      </c>
      <c r="M105" s="764"/>
      <c r="N105" s="182" t="s">
        <v>1</v>
      </c>
      <c r="O105" s="763" t="s">
        <v>190</v>
      </c>
      <c r="P105" s="764"/>
      <c r="Q105" s="182" t="s">
        <v>1</v>
      </c>
      <c r="R105" s="182" t="s">
        <v>1</v>
      </c>
      <c r="S105" s="182" t="s">
        <v>117</v>
      </c>
    </row>
    <row r="106" spans="2:21" ht="20.25" customHeight="1">
      <c r="B106" s="306" t="s">
        <v>191</v>
      </c>
      <c r="C106" s="307" t="s">
        <v>192</v>
      </c>
      <c r="E106" s="183">
        <f>82.1*1.1</f>
        <v>90.31</v>
      </c>
      <c r="G106" s="184"/>
      <c r="H106" s="184">
        <f>+E106*(C6+E6*2)*(D6+E6+F6)</f>
        <v>20.319750000000003</v>
      </c>
      <c r="I106" s="185">
        <f>+(C6+E6*2)*E106*F6</f>
        <v>2.2577500000000001</v>
      </c>
      <c r="J106" s="185">
        <f>+E106*((C6+E6*2)*E6+(D6*E6*2))</f>
        <v>9.9341000000000008</v>
      </c>
      <c r="K106" s="185">
        <f>+(D6+$K$104*(D6+E6))*E106*2</f>
        <v>126.434</v>
      </c>
      <c r="L106" s="186">
        <f>+(E106)/H6+ IF(E106&gt;0,1,0)</f>
        <v>452.55</v>
      </c>
      <c r="M106" s="187">
        <f>+ROUNDUP(L106,0)</f>
        <v>453</v>
      </c>
      <c r="N106" s="188">
        <f>+(D6+E6-0.08)*2+(C6+E6*2-0.08)</f>
        <v>1.06</v>
      </c>
      <c r="O106" s="186">
        <f>+N106/J6+1</f>
        <v>5.24</v>
      </c>
      <c r="P106" s="187">
        <f>+ROUNDUP(O106,0)</f>
        <v>6</v>
      </c>
      <c r="Q106" s="187">
        <f>+E106+E106/6*50*(G6/1000)</f>
        <v>97.835833333333341</v>
      </c>
      <c r="R106" s="189">
        <f>+N106*M106+P106*Q106</f>
        <v>1067.1950000000002</v>
      </c>
      <c r="S106" s="185">
        <f>((I6*I6)/162)*R106</f>
        <v>658.76234567901236</v>
      </c>
      <c r="T106" s="153" t="s">
        <v>193</v>
      </c>
    </row>
    <row r="107" spans="2:21">
      <c r="C107" s="153" t="s">
        <v>138</v>
      </c>
      <c r="D107" s="190">
        <f>ROUNDUP(+E106/K6,0)</f>
        <v>31</v>
      </c>
      <c r="E107" s="183"/>
      <c r="G107" s="191"/>
      <c r="H107" s="191"/>
      <c r="I107" s="190"/>
      <c r="J107" s="190">
        <f>0.5*(0.075+0.05)*0.075*C6*D107</f>
        <v>4.3593750000000001E-2</v>
      </c>
      <c r="K107" s="190">
        <f>+(0.075+0.08)*C6*D107</f>
        <v>1.4415</v>
      </c>
      <c r="L107" s="192">
        <f>+D107</f>
        <v>31</v>
      </c>
      <c r="M107" s="187">
        <f>+ROUNDUP(L107,0)</f>
        <v>31</v>
      </c>
      <c r="N107" s="193">
        <f>+(C6-0.08)+((0.075+0.05-0.04)*2)</f>
        <v>0.38999999999999996</v>
      </c>
      <c r="O107" s="192"/>
      <c r="P107" s="194"/>
      <c r="Q107" s="194"/>
      <c r="R107" s="189">
        <f>+N107*M107+P107*Q107</f>
        <v>12.089999999999998</v>
      </c>
      <c r="S107" s="185">
        <f>((I6*I6)/162)*R107</f>
        <v>7.462962962962961</v>
      </c>
      <c r="T107" s="153" t="s">
        <v>193</v>
      </c>
      <c r="U107" s="190">
        <f>S106+S107</f>
        <v>666.22530864197529</v>
      </c>
    </row>
    <row r="108" spans="2:21">
      <c r="E108" s="183"/>
    </row>
    <row r="109" spans="2:21" hidden="1">
      <c r="B109" s="306" t="s">
        <v>191</v>
      </c>
      <c r="C109" s="307" t="s">
        <v>194</v>
      </c>
      <c r="E109" s="183"/>
      <c r="G109" s="184">
        <f>+E109*(C9+E9*2+3)</f>
        <v>0</v>
      </c>
      <c r="H109" s="184">
        <f>+E109*(C9+E9*2)*(D9+E9+F9)</f>
        <v>0</v>
      </c>
      <c r="I109" s="185">
        <f>+(C9+E9*2)*E109*F9</f>
        <v>0</v>
      </c>
      <c r="J109" s="185">
        <f>+E109*((C9+E9*2)*E9+(D9*E9*2))</f>
        <v>0</v>
      </c>
      <c r="K109" s="185">
        <f>+(D9+$K$104*(D9+E9))*E109*2</f>
        <v>0</v>
      </c>
      <c r="L109" s="186">
        <f>+(E109)/H9+ IF(E109&gt;0,1,0)</f>
        <v>0</v>
      </c>
      <c r="M109" s="187">
        <f>+ROUNDUP(L109,0)</f>
        <v>0</v>
      </c>
      <c r="N109" s="188">
        <f>+(D9+E9-0.08)*2+(C9+E9*2-0.08)</f>
        <v>1.5100000000000002</v>
      </c>
      <c r="O109" s="186">
        <f>+N109/J9+1</f>
        <v>7.0400000000000009</v>
      </c>
      <c r="P109" s="187">
        <f>+ROUNDUP(O109,0)</f>
        <v>8</v>
      </c>
      <c r="Q109" s="187">
        <f>+E109+E109/6*50*(G9/1000)</f>
        <v>0</v>
      </c>
      <c r="R109" s="189">
        <f>+N109*M109+P109*Q109</f>
        <v>0</v>
      </c>
      <c r="S109" s="185">
        <f>((I9*I9)/162)*R109</f>
        <v>0</v>
      </c>
      <c r="T109" s="153" t="s">
        <v>193</v>
      </c>
    </row>
    <row r="110" spans="2:21" hidden="1">
      <c r="C110" s="153" t="s">
        <v>138</v>
      </c>
      <c r="D110" s="190">
        <f>ROUNDUP(+E109/K9,0)</f>
        <v>0</v>
      </c>
      <c r="E110" s="183"/>
      <c r="G110" s="191"/>
      <c r="H110" s="191"/>
      <c r="I110" s="190"/>
      <c r="J110" s="190">
        <f>0.5*(0.075+0.05)*0.075*C9*D110</f>
        <v>0</v>
      </c>
      <c r="K110" s="190">
        <f>+(0.075+0.08)*C9*D110</f>
        <v>0</v>
      </c>
      <c r="L110" s="192">
        <f>+D110</f>
        <v>0</v>
      </c>
      <c r="M110" s="187">
        <f>+ROUNDUP(L110,0)</f>
        <v>0</v>
      </c>
      <c r="N110" s="193">
        <f>+(C9-0.08)+((0.075+0.05-0.04)*2)</f>
        <v>0.54</v>
      </c>
      <c r="O110" s="192"/>
      <c r="P110" s="194"/>
      <c r="Q110" s="194"/>
      <c r="R110" s="189">
        <f>+N110*M110+P110*Q110</f>
        <v>0</v>
      </c>
      <c r="S110" s="185">
        <f>((I9*I9)/162)*R110</f>
        <v>0</v>
      </c>
      <c r="T110" s="153" t="s">
        <v>193</v>
      </c>
      <c r="U110" s="190">
        <f>S109+S110</f>
        <v>0</v>
      </c>
    </row>
    <row r="111" spans="2:21" hidden="1">
      <c r="E111" s="183"/>
    </row>
    <row r="112" spans="2:21">
      <c r="B112" s="306" t="s">
        <v>191</v>
      </c>
      <c r="C112" s="307" t="s">
        <v>195</v>
      </c>
      <c r="E112" s="183">
        <f>19.59*1.1</f>
        <v>21.549000000000003</v>
      </c>
      <c r="G112" s="184">
        <f>+E112*(C12+E12*2+3)</f>
        <v>81.886200000000002</v>
      </c>
      <c r="H112" s="184">
        <f>+E112*(C12+E12*2)*(D12+E12+F12)</f>
        <v>12.929400000000003</v>
      </c>
      <c r="I112" s="185">
        <f>+(C12+E12*2)*E112*F12</f>
        <v>0.86196000000000028</v>
      </c>
      <c r="J112" s="185">
        <f>+E112*((C12+E12*2)*E12+(D12*E12*2))</f>
        <v>4.309800000000001</v>
      </c>
      <c r="K112" s="185">
        <f>+(D12+$K$104*(D12+E12))*E112*2</f>
        <v>56.0274</v>
      </c>
      <c r="L112" s="186">
        <f>+(E112)/H12+ IF(E112&gt;0,1,0)</f>
        <v>108.745</v>
      </c>
      <c r="M112" s="187">
        <f>+ROUNDUP(L112,0)</f>
        <v>109</v>
      </c>
      <c r="N112" s="188">
        <f>+(D12+E12-0.08)*2+(C12+E12*2-0.08)</f>
        <v>1.96</v>
      </c>
      <c r="O112" s="186">
        <f>+N112/J12+1</f>
        <v>8.84</v>
      </c>
      <c r="P112" s="187">
        <f>+ROUNDUP(O112,0)</f>
        <v>9</v>
      </c>
      <c r="Q112" s="187">
        <f>+E112+E112/6*50*(G12/1000)</f>
        <v>23.344750000000005</v>
      </c>
      <c r="R112" s="189">
        <f>+N112*M112+P112*Q112</f>
        <v>423.74275</v>
      </c>
      <c r="S112" s="185">
        <f>((I12*I12)/162)*R112</f>
        <v>261.56959876543209</v>
      </c>
      <c r="T112" s="153" t="s">
        <v>193</v>
      </c>
    </row>
    <row r="113" spans="2:21">
      <c r="C113" s="153" t="s">
        <v>138</v>
      </c>
      <c r="D113" s="190">
        <f>ROUNDUP(+E112/K12,0)</f>
        <v>8</v>
      </c>
      <c r="E113" s="183"/>
      <c r="G113" s="191"/>
      <c r="H113" s="191">
        <f>E112*0.6*0.6</f>
        <v>7.7576400000000003</v>
      </c>
      <c r="I113" s="190"/>
      <c r="J113" s="190">
        <f>0.5*(0.075+0.05)*0.075*C12*D113</f>
        <v>2.2499999999999999E-2</v>
      </c>
      <c r="K113" s="190">
        <f>+(0.075+0.08)*C12*D113</f>
        <v>0.74399999999999999</v>
      </c>
      <c r="L113" s="192">
        <f>+D113</f>
        <v>8</v>
      </c>
      <c r="M113" s="187">
        <f>+ROUNDUP(L113,0)</f>
        <v>8</v>
      </c>
      <c r="N113" s="193">
        <f>+(C12-0.08)+((0.075+0.05-0.04)*2)</f>
        <v>0.69</v>
      </c>
      <c r="O113" s="192"/>
      <c r="P113" s="194"/>
      <c r="Q113" s="194"/>
      <c r="R113" s="189">
        <f>+N113*M113+P113*Q113</f>
        <v>5.52</v>
      </c>
      <c r="S113" s="185">
        <f>((I12*I12)/162)*R113</f>
        <v>3.407407407407407</v>
      </c>
      <c r="T113" s="153" t="s">
        <v>193</v>
      </c>
      <c r="U113" s="190">
        <f>S112+S113</f>
        <v>264.97700617283948</v>
      </c>
    </row>
    <row r="114" spans="2:21">
      <c r="E114" s="183"/>
    </row>
    <row r="115" spans="2:21" hidden="1">
      <c r="B115" s="153" t="s">
        <v>191</v>
      </c>
      <c r="C115" s="177" t="s">
        <v>196</v>
      </c>
      <c r="E115" s="183"/>
      <c r="G115" s="184">
        <f>+E115*(C15+E15*2+1.5)</f>
        <v>0</v>
      </c>
      <c r="H115" s="184">
        <f>+E115*(C15+E15*2)*(D15+E15+F15)</f>
        <v>0</v>
      </c>
      <c r="I115" s="185">
        <f>+(C15+E15*2)*E115*F15</f>
        <v>0</v>
      </c>
      <c r="J115" s="185">
        <f>+E115*((C15+E15*2)*E15+(D15*E15*2))</f>
        <v>0</v>
      </c>
      <c r="K115" s="185">
        <f>+(D15+$K$104*(D15+E15))*E115*2</f>
        <v>0</v>
      </c>
      <c r="L115" s="186">
        <f>+(E115)/H15+ IF(E115&gt;0,1,0)</f>
        <v>0</v>
      </c>
      <c r="M115" s="187">
        <f>+ROUNDUP(L115,0)</f>
        <v>0</v>
      </c>
      <c r="N115" s="188">
        <f>+(D15+E15-0.08)*2+(C15+E15*2-0.08)</f>
        <v>2.5100000000000002</v>
      </c>
      <c r="O115" s="186">
        <f>+N115/J15+1</f>
        <v>11.040000000000001</v>
      </c>
      <c r="P115" s="187">
        <f>+ROUNDUP(O115,0)</f>
        <v>12</v>
      </c>
      <c r="Q115" s="187">
        <f>+E115+E115/6*50*(G15/1000)</f>
        <v>0</v>
      </c>
      <c r="R115" s="189">
        <f>+N115*M115+P115*Q115</f>
        <v>0</v>
      </c>
      <c r="S115" s="185">
        <f>((I15*I15)/162)*R115</f>
        <v>0</v>
      </c>
      <c r="T115" s="153" t="s">
        <v>193</v>
      </c>
    </row>
    <row r="116" spans="2:21" hidden="1">
      <c r="C116" s="153" t="s">
        <v>138</v>
      </c>
      <c r="D116" s="190">
        <f>ROUNDUP(+E115/K15,0)</f>
        <v>0</v>
      </c>
      <c r="E116" s="183"/>
      <c r="G116" s="191"/>
      <c r="H116" s="191"/>
      <c r="I116" s="190"/>
      <c r="J116" s="190">
        <f>0.5*(0.075+0.05)*0.075*C15*D116</f>
        <v>0</v>
      </c>
      <c r="K116" s="190">
        <f>+(0.075+0.08)*C15*D116</f>
        <v>0</v>
      </c>
      <c r="L116" s="192">
        <f>+D116</f>
        <v>0</v>
      </c>
      <c r="M116" s="187">
        <f>+ROUNDUP(L116,0)</f>
        <v>0</v>
      </c>
      <c r="N116" s="193">
        <f>+(C15-0.08)+((0.075+0.05-0.04)*2)</f>
        <v>0.84000000000000008</v>
      </c>
      <c r="O116" s="192"/>
      <c r="P116" s="194"/>
      <c r="Q116" s="194"/>
      <c r="R116" s="189">
        <f>+N116*M116+P116*Q116</f>
        <v>0</v>
      </c>
      <c r="S116" s="185">
        <f>((I15*I15)/162)*R116</f>
        <v>0</v>
      </c>
      <c r="T116" s="153" t="s">
        <v>193</v>
      </c>
      <c r="U116" s="190">
        <f>S115+S116</f>
        <v>0</v>
      </c>
    </row>
    <row r="117" spans="2:21">
      <c r="B117" s="306" t="s">
        <v>191</v>
      </c>
      <c r="C117" s="307" t="s">
        <v>197</v>
      </c>
      <c r="E117" s="183">
        <f>7.35*1.1</f>
        <v>8.0850000000000009</v>
      </c>
      <c r="G117" s="195">
        <f>+E117*(C15+E15*2+1.5)</f>
        <v>20.212500000000002</v>
      </c>
      <c r="H117" s="195">
        <f>+E117*(C15+E15*2)*(D15+E15+F15)</f>
        <v>7.478625000000001</v>
      </c>
      <c r="I117" s="196">
        <f>+(C15+E15*2)*E117*F15</f>
        <v>0.40425000000000005</v>
      </c>
      <c r="J117" s="196">
        <f>+E117*((C15+E15*2)*E15+(D15*E15*2))</f>
        <v>2.5265625000000003</v>
      </c>
      <c r="K117" s="196">
        <f>+(D15+$K$104*(D15+E15))*E117*2</f>
        <v>26.276250000000005</v>
      </c>
      <c r="L117" s="186">
        <f>+(E117)/H15+ IF(E117&gt;0,1,0)</f>
        <v>41.425000000000004</v>
      </c>
      <c r="M117" s="197">
        <f>+ROUNDUP(L117,0)</f>
        <v>42</v>
      </c>
      <c r="N117" s="188">
        <f>+(D15+E15-0.08)*2+(C15+E15*2-0.08)</f>
        <v>2.5100000000000002</v>
      </c>
      <c r="O117" s="186">
        <f>+N117/J15+1</f>
        <v>11.040000000000001</v>
      </c>
      <c r="P117" s="197">
        <f>+ROUNDUP(O117,0)</f>
        <v>12</v>
      </c>
      <c r="Q117" s="187">
        <f>+E117+E117/6*50*(G15/1000)</f>
        <v>8.7587500000000009</v>
      </c>
      <c r="R117" s="189">
        <f>+N117*M117+P117*Q117</f>
        <v>210.52500000000003</v>
      </c>
      <c r="S117" s="196">
        <f>((I15*I15)/162)*R117</f>
        <v>129.95370370370372</v>
      </c>
      <c r="T117" s="153" t="s">
        <v>193</v>
      </c>
    </row>
    <row r="118" spans="2:21">
      <c r="C118" s="153" t="s">
        <v>138</v>
      </c>
      <c r="D118" s="190">
        <f>ROUNDUP(+E117/K15,0)</f>
        <v>3</v>
      </c>
      <c r="E118" s="183"/>
      <c r="G118" s="198"/>
      <c r="H118" s="198"/>
      <c r="I118" s="199"/>
      <c r="J118" s="199">
        <f>0.5*(0.075+0.05)*0.075*C15*D118</f>
        <v>1.0546874999999999E-2</v>
      </c>
      <c r="K118" s="199">
        <f>+(0.075+0.08)*C15*D118</f>
        <v>0.34875</v>
      </c>
      <c r="L118" s="192">
        <f>+D118</f>
        <v>3</v>
      </c>
      <c r="M118" s="197">
        <f>+ROUNDUP(L118,0)</f>
        <v>3</v>
      </c>
      <c r="N118" s="193">
        <f>+(C15-0.08)+((0.075+0.05-0.04)*2)</f>
        <v>0.84000000000000008</v>
      </c>
      <c r="O118" s="192"/>
      <c r="P118" s="200"/>
      <c r="Q118" s="194"/>
      <c r="R118" s="189">
        <f>+N118*M118+P118*Q118</f>
        <v>2.5200000000000005</v>
      </c>
      <c r="S118" s="196">
        <f>((I15*I15)/162)*R118</f>
        <v>1.5555555555555558</v>
      </c>
      <c r="T118" s="153" t="s">
        <v>193</v>
      </c>
      <c r="U118" s="190">
        <f>S117+S118</f>
        <v>131.50925925925927</v>
      </c>
    </row>
    <row r="119" spans="2:21" hidden="1">
      <c r="B119" s="201" t="s">
        <v>198</v>
      </c>
      <c r="D119" s="190"/>
      <c r="E119" s="183"/>
      <c r="G119" s="295"/>
      <c r="H119" s="295"/>
      <c r="I119" s="190"/>
      <c r="J119" s="190"/>
      <c r="K119" s="190"/>
      <c r="L119" s="296"/>
      <c r="M119" s="194"/>
      <c r="N119" s="193"/>
      <c r="O119" s="296"/>
      <c r="P119" s="194"/>
      <c r="Q119" s="194"/>
      <c r="R119" s="558"/>
      <c r="S119" s="190"/>
    </row>
    <row r="120" spans="2:21" hidden="1">
      <c r="C120" s="201" t="s">
        <v>199</v>
      </c>
      <c r="D120" s="190"/>
      <c r="E120" s="183"/>
      <c r="G120" s="295"/>
      <c r="H120" s="295"/>
      <c r="I120" s="190"/>
      <c r="J120" s="190"/>
      <c r="K120" s="190"/>
      <c r="L120" s="296"/>
      <c r="M120" s="194"/>
      <c r="N120" s="193"/>
      <c r="O120" s="296"/>
      <c r="P120" s="194"/>
      <c r="Q120" s="194"/>
      <c r="R120" s="558"/>
      <c r="S120" s="190"/>
    </row>
    <row r="121" spans="2:21" hidden="1">
      <c r="C121" s="201" t="s">
        <v>200</v>
      </c>
      <c r="D121" s="190"/>
      <c r="E121" s="183"/>
      <c r="G121" s="295"/>
      <c r="H121" s="295"/>
      <c r="I121" s="190"/>
      <c r="J121" s="190"/>
      <c r="K121" s="190"/>
      <c r="L121" s="296"/>
      <c r="M121" s="194"/>
      <c r="N121" s="193"/>
      <c r="O121" s="296"/>
      <c r="P121" s="194"/>
      <c r="Q121" s="194"/>
      <c r="R121" s="558"/>
      <c r="S121" s="190"/>
    </row>
    <row r="123" spans="2:21" hidden="1">
      <c r="B123" s="153" t="s">
        <v>191</v>
      </c>
      <c r="C123" s="177" t="s">
        <v>201</v>
      </c>
      <c r="E123" s="183"/>
      <c r="G123" s="195">
        <f>+E123*(C18+E18*2+1.5)</f>
        <v>0</v>
      </c>
      <c r="H123" s="195">
        <f>+E123*(C18+E18*2)*(D18+E18+F18)</f>
        <v>0</v>
      </c>
      <c r="I123" s="196">
        <f>+(C18+E18*2)*E123*F18</f>
        <v>0</v>
      </c>
      <c r="J123" s="196">
        <f>+E123*((C18+E18*2)*E18+(D18*E18*2))</f>
        <v>0</v>
      </c>
      <c r="K123" s="196">
        <f>+(D18+$K$104*(D18+E18))*E123*2</f>
        <v>0</v>
      </c>
      <c r="L123" s="186">
        <f>+(E123)/H18+ IF(E123&gt;0,1,0)</f>
        <v>0</v>
      </c>
      <c r="M123" s="197">
        <f>+ROUNDUP(L123,0)</f>
        <v>0</v>
      </c>
      <c r="N123" s="188">
        <f>+(D18+E18-0.08)*2+(C18+E18*2-0.08)</f>
        <v>3.06</v>
      </c>
      <c r="O123" s="186">
        <f>+N123/J18+1</f>
        <v>13.24</v>
      </c>
      <c r="P123" s="197">
        <f>+ROUNDUP(O123,0)</f>
        <v>14</v>
      </c>
      <c r="Q123" s="187">
        <f>+E123+E123/6*50*(G18/1000)</f>
        <v>0</v>
      </c>
      <c r="R123" s="189">
        <f>+N123*M123+P123*Q123</f>
        <v>0</v>
      </c>
      <c r="S123" s="196">
        <f>((I18*I18)/162)*R123</f>
        <v>0</v>
      </c>
      <c r="T123" s="153" t="s">
        <v>193</v>
      </c>
    </row>
    <row r="124" spans="2:21" hidden="1">
      <c r="C124" s="153" t="s">
        <v>138</v>
      </c>
      <c r="D124" s="190">
        <f>ROUNDUP(+E123/K18,0)</f>
        <v>0</v>
      </c>
      <c r="E124" s="183"/>
      <c r="G124" s="198"/>
      <c r="H124" s="198"/>
      <c r="I124" s="199"/>
      <c r="J124" s="199">
        <f>0.5*(0.075+0.05)*0.075*C18*D124</f>
        <v>0</v>
      </c>
      <c r="K124" s="199">
        <f>+(0.075+0.08)*C18*D124</f>
        <v>0</v>
      </c>
      <c r="L124" s="192">
        <f>+D124</f>
        <v>0</v>
      </c>
      <c r="M124" s="197">
        <f>+ROUNDUP(L124,0)</f>
        <v>0</v>
      </c>
      <c r="N124" s="193">
        <f>+(C18-0.08)+((0.075+0.05-0.04)*2)</f>
        <v>0.99</v>
      </c>
      <c r="O124" s="192"/>
      <c r="P124" s="200"/>
      <c r="Q124" s="194"/>
      <c r="R124" s="189">
        <f>+N124*M124+P124*Q124</f>
        <v>0</v>
      </c>
      <c r="S124" s="196">
        <f>((I18*I18)/162)*R124</f>
        <v>0</v>
      </c>
      <c r="T124" s="153" t="s">
        <v>193</v>
      </c>
    </row>
    <row r="125" spans="2:21" hidden="1"/>
    <row r="126" spans="2:21" hidden="1">
      <c r="B126" s="153" t="s">
        <v>191</v>
      </c>
      <c r="C126" s="177" t="s">
        <v>202</v>
      </c>
      <c r="E126" s="183"/>
      <c r="G126" s="184">
        <f>+E126*(C21+E21*2+3)</f>
        <v>0</v>
      </c>
      <c r="H126" s="184">
        <f>+E126*(C21+E21*2)*(D21+E21+F21)</f>
        <v>0</v>
      </c>
      <c r="I126" s="185">
        <f>+(C21+E21*2)*E126*F21</f>
        <v>0</v>
      </c>
      <c r="J126" s="185">
        <f>+E126*((C21+E21*2)*E21+(D21*E21*2))</f>
        <v>0</v>
      </c>
      <c r="K126" s="185">
        <f>+(D21+$K$104*(D21+E21))*E126*2</f>
        <v>0</v>
      </c>
      <c r="L126" s="186">
        <f>+(E126)/H21+ IF(E126&gt;0,1,0)</f>
        <v>0</v>
      </c>
      <c r="M126" s="187">
        <f>+ROUNDUP(L126,0)</f>
        <v>0</v>
      </c>
      <c r="N126" s="188">
        <f>+(D21+E21-0.08)*2+(C21+E21*2-0.08)</f>
        <v>3.3599999999999994</v>
      </c>
      <c r="O126" s="186">
        <f>+N126/J21+1</f>
        <v>14.439999999999998</v>
      </c>
      <c r="P126" s="187">
        <f>+ROUNDUP(O126,0)</f>
        <v>15</v>
      </c>
      <c r="Q126" s="187">
        <f>+E126+E126/6*50*(G21/1000)</f>
        <v>0</v>
      </c>
      <c r="R126" s="189">
        <f>+N126*M126+P126*Q126</f>
        <v>0</v>
      </c>
      <c r="S126" s="185">
        <f>((I21*I21)/162)*R126</f>
        <v>0</v>
      </c>
      <c r="T126" s="153" t="s">
        <v>193</v>
      </c>
    </row>
    <row r="127" spans="2:21" hidden="1">
      <c r="C127" s="153" t="s">
        <v>138</v>
      </c>
      <c r="D127" s="190">
        <f>ROUNDUP(+E126/K21,0)</f>
        <v>0</v>
      </c>
      <c r="E127" s="183"/>
      <c r="G127" s="191"/>
      <c r="H127" s="191"/>
      <c r="I127" s="190"/>
      <c r="J127" s="190">
        <f>0.5*(0.075+0.05)*0.075*C21*D127</f>
        <v>0</v>
      </c>
      <c r="K127" s="190">
        <f>+(0.075+0.08)*C21*D127</f>
        <v>0</v>
      </c>
      <c r="L127" s="192">
        <f>+D127</f>
        <v>0</v>
      </c>
      <c r="M127" s="187">
        <f>+ROUNDUP(L127,0)</f>
        <v>0</v>
      </c>
      <c r="N127" s="193">
        <f>+(C21-0.08)+((0.075+0.05-0.04)*2)</f>
        <v>1.0900000000000001</v>
      </c>
      <c r="O127" s="192"/>
      <c r="P127" s="194"/>
      <c r="Q127" s="194"/>
      <c r="R127" s="189">
        <f>+N127*M127+P127*Q127</f>
        <v>0</v>
      </c>
      <c r="S127" s="185">
        <f>((I21*I21)/162)*R127</f>
        <v>0</v>
      </c>
      <c r="T127" s="153" t="s">
        <v>193</v>
      </c>
    </row>
    <row r="128" spans="2:21" hidden="1"/>
    <row r="129" spans="2:20" hidden="1">
      <c r="B129" s="153" t="s">
        <v>191</v>
      </c>
      <c r="C129" s="177" t="s">
        <v>203</v>
      </c>
      <c r="E129" s="183"/>
      <c r="G129" s="195">
        <f>+E129*(C24+E24*2+1.5)</f>
        <v>0</v>
      </c>
      <c r="H129" s="195">
        <f>+E129*(C24+E24*2)*(((D24+E24+F24)*2+0.1)/2)</f>
        <v>0</v>
      </c>
      <c r="I129" s="196">
        <f>+(C24+E24*2)*E129*F24</f>
        <v>0</v>
      </c>
      <c r="J129" s="196">
        <f>+E129*((C24+E24*2)*E24+(D24*E24)+((D24+0.1)*E24))</f>
        <v>0</v>
      </c>
      <c r="K129" s="196">
        <f>+((D24*2)+$K$104*((D24+E24)+(D24+E24+0.1)))*E129</f>
        <v>0</v>
      </c>
      <c r="L129" s="186">
        <f>+(E129)/H24+ IF(E129&gt;0,1,0)</f>
        <v>0</v>
      </c>
      <c r="M129" s="197">
        <f>+ROUNDUP(L129,0)</f>
        <v>0</v>
      </c>
      <c r="N129" s="188">
        <f>+(D24+E24-0.08)+(D24+E24+0.1-0.08)+(C24+E24*2-0.08)</f>
        <v>1.1599999999999999</v>
      </c>
      <c r="O129" s="186">
        <f>+N129/J24+1</f>
        <v>5.64</v>
      </c>
      <c r="P129" s="197">
        <f>+ROUNDUP(O129,0)</f>
        <v>6</v>
      </c>
      <c r="Q129" s="187">
        <f>+E129+E129/6*50*(G24/1000)</f>
        <v>0</v>
      </c>
      <c r="R129" s="189">
        <f>+N129*M129+P129*Q129</f>
        <v>0</v>
      </c>
      <c r="S129" s="196">
        <f>((I24*I24)/162)*R129</f>
        <v>0</v>
      </c>
      <c r="T129" s="153" t="s">
        <v>193</v>
      </c>
    </row>
    <row r="130" spans="2:20" hidden="1">
      <c r="C130" s="153" t="s">
        <v>138</v>
      </c>
      <c r="D130" s="190">
        <f>ROUNDUP(+E129/K24,0)</f>
        <v>0</v>
      </c>
      <c r="E130" s="183"/>
      <c r="G130" s="198"/>
      <c r="H130" s="198"/>
      <c r="I130" s="199"/>
      <c r="J130" s="199">
        <f>0.5*(0.075+0.05)*0.075*C24*D130</f>
        <v>0</v>
      </c>
      <c r="K130" s="199">
        <f>+(0.075+0.08)*C24*D130</f>
        <v>0</v>
      </c>
      <c r="L130" s="192">
        <f>+D130</f>
        <v>0</v>
      </c>
      <c r="M130" s="197">
        <f>+ROUNDUP(L130,0)</f>
        <v>0</v>
      </c>
      <c r="N130" s="193">
        <f>+(C24-0.08)+((0.075+0.05-0.04)*2)</f>
        <v>0.38999999999999996</v>
      </c>
      <c r="O130" s="192"/>
      <c r="P130" s="200"/>
      <c r="Q130" s="194"/>
      <c r="R130" s="189">
        <f>+N130*M130+P130*Q130</f>
        <v>0</v>
      </c>
      <c r="S130" s="196">
        <f>((I24*I24)/162)*R130</f>
        <v>0</v>
      </c>
      <c r="T130" s="153" t="s">
        <v>193</v>
      </c>
    </row>
    <row r="131" spans="2:20" hidden="1"/>
    <row r="132" spans="2:20" hidden="1">
      <c r="B132" s="153" t="s">
        <v>191</v>
      </c>
      <c r="C132" s="177" t="s">
        <v>204</v>
      </c>
      <c r="E132" s="183"/>
      <c r="G132" s="184">
        <f>+E132*(C27+E27*2+1.5)</f>
        <v>0</v>
      </c>
      <c r="H132" s="184">
        <f>+E132*(C27+E27*2)*(((D27+E27+F27)*2+0.1)/2)</f>
        <v>0</v>
      </c>
      <c r="I132" s="185">
        <f>+(C27+E27*2)*E132*F27</f>
        <v>0</v>
      </c>
      <c r="J132" s="185">
        <f>+E132*((C27+E27*2)*E27+(D27*E27)+((D27+0.1)*E27))</f>
        <v>0</v>
      </c>
      <c r="K132" s="185">
        <f>+((D27*2)+$K$104*((D27+E27)+(D27+E27+0.1)))*E132</f>
        <v>0</v>
      </c>
      <c r="L132" s="186">
        <f>+(E132)/H27+ IF(E132&gt;0,1,0)</f>
        <v>0</v>
      </c>
      <c r="M132" s="187">
        <f>+ROUNDUP(L132,0)</f>
        <v>0</v>
      </c>
      <c r="N132" s="188">
        <f>+(D27+E27-0.08)+(D27+E27+0.1-0.08)+(C27+E27*2-0.08)</f>
        <v>2.06</v>
      </c>
      <c r="O132" s="186">
        <f>+N132/J27+1</f>
        <v>9.24</v>
      </c>
      <c r="P132" s="187">
        <f>+ROUNDUP(O132,0)</f>
        <v>10</v>
      </c>
      <c r="Q132" s="187">
        <f>+E132+E132/6*50*(G27/1000)</f>
        <v>0</v>
      </c>
      <c r="R132" s="189">
        <f>+N132*M132+P132*Q132</f>
        <v>0</v>
      </c>
      <c r="S132" s="185">
        <f>((I27*I27)/162)*R132</f>
        <v>0</v>
      </c>
      <c r="T132" s="153" t="s">
        <v>193</v>
      </c>
    </row>
    <row r="133" spans="2:20" hidden="1">
      <c r="C133" s="153" t="s">
        <v>138</v>
      </c>
      <c r="D133" s="190">
        <f>ROUNDUP(+E132/K27,0)</f>
        <v>0</v>
      </c>
      <c r="E133" s="183"/>
      <c r="G133" s="191"/>
      <c r="H133" s="191"/>
      <c r="I133" s="190"/>
      <c r="J133" s="190">
        <f>0.5*(0.075+0.05)*0.075*C27*D133</f>
        <v>0</v>
      </c>
      <c r="K133" s="190">
        <f>+(0.075+0.08)*C27*D133</f>
        <v>0</v>
      </c>
      <c r="L133" s="192">
        <f>+D133</f>
        <v>0</v>
      </c>
      <c r="M133" s="187">
        <f>+ROUNDUP(L133,0)</f>
        <v>0</v>
      </c>
      <c r="N133" s="193">
        <f>+(C27-0.08)+((0.075+0.05-0.04)*2)</f>
        <v>0.69</v>
      </c>
      <c r="O133" s="192"/>
      <c r="P133" s="194"/>
      <c r="Q133" s="194"/>
      <c r="R133" s="189">
        <f>+N133*M133+P133*Q133</f>
        <v>0</v>
      </c>
      <c r="S133" s="185">
        <f>((I27*I27)/162)*R133</f>
        <v>0</v>
      </c>
      <c r="T133" s="153" t="s">
        <v>193</v>
      </c>
    </row>
    <row r="134" spans="2:20" hidden="1"/>
    <row r="135" spans="2:20" hidden="1">
      <c r="B135" s="306" t="s">
        <v>191</v>
      </c>
      <c r="C135" s="307" t="s">
        <v>205</v>
      </c>
      <c r="E135" s="183"/>
      <c r="G135" s="184">
        <f>+E135*(C30+E30*2+0.5)</f>
        <v>0</v>
      </c>
      <c r="H135" s="184">
        <f>+E135*(C30+E30*2)*(((D30+E30+F30)*2+0.1)/2)</f>
        <v>0</v>
      </c>
      <c r="I135" s="185">
        <f>+(C30+E30*2)*E135*F30</f>
        <v>0</v>
      </c>
      <c r="J135" s="185">
        <f>+E135*((C30+E30*2)*E30+(D30*E30)+((D30+0.1)*E30))</f>
        <v>0</v>
      </c>
      <c r="K135" s="185">
        <f>+((D30*2)+$K$104*((D30+E30)+(D30+E30+0.1)))*E135</f>
        <v>0</v>
      </c>
      <c r="L135" s="186">
        <f>+(E135)/H30+ IF(E135&gt;0,1,0)</f>
        <v>0</v>
      </c>
      <c r="M135" s="187">
        <f>+ROUNDUP(L135,0)</f>
        <v>0</v>
      </c>
      <c r="N135" s="188">
        <f>+(D30+E30-0.08)+(D30+E30+0.1-0.08)+(C30+E30*2-0.08)</f>
        <v>1.1599999999999999</v>
      </c>
      <c r="O135" s="186">
        <f>+N135/J30+1</f>
        <v>5.64</v>
      </c>
      <c r="P135" s="187">
        <f>+ROUNDUP(O135,0)</f>
        <v>6</v>
      </c>
      <c r="Q135" s="187">
        <f>+E135+E135/6*50*(G30/1000)</f>
        <v>0</v>
      </c>
      <c r="R135" s="189">
        <f>+N135*M135+P135*Q135</f>
        <v>0</v>
      </c>
      <c r="S135" s="185">
        <f>((I30*I30)/162)*R135</f>
        <v>0</v>
      </c>
      <c r="T135" s="153" t="s">
        <v>193</v>
      </c>
    </row>
    <row r="136" spans="2:20" hidden="1">
      <c r="C136" s="153" t="s">
        <v>158</v>
      </c>
      <c r="D136" s="190"/>
      <c r="E136" s="183"/>
      <c r="G136" s="184">
        <f>+E136*(C31+0.5)</f>
        <v>0</v>
      </c>
      <c r="H136" s="191">
        <f>+E136*C31*E31</f>
        <v>0</v>
      </c>
      <c r="I136" s="190"/>
      <c r="J136" s="190">
        <f>+E136*C31*E31</f>
        <v>0</v>
      </c>
      <c r="K136" s="190">
        <f>+E136*E31</f>
        <v>0</v>
      </c>
      <c r="L136" s="186">
        <f>+(E136)/H31+ IF(E136&gt;0,1,0)</f>
        <v>0</v>
      </c>
      <c r="M136" s="187">
        <f>+ROUNDUP(L136,0)</f>
        <v>0</v>
      </c>
      <c r="N136" s="188">
        <f>+C31-0.04</f>
        <v>1.46</v>
      </c>
      <c r="O136" s="186">
        <f>+N136/J31+1</f>
        <v>10.733333333333334</v>
      </c>
      <c r="P136" s="187">
        <f>+ROUNDUP(O136,0)</f>
        <v>11</v>
      </c>
      <c r="Q136" s="187">
        <f>+E136+E136/6*50*(G31/1000)</f>
        <v>0</v>
      </c>
      <c r="R136" s="189">
        <f>+N136*M136+P136*Q136</f>
        <v>0</v>
      </c>
      <c r="S136" s="185">
        <f>((I31*I31)/162)*R136</f>
        <v>0</v>
      </c>
      <c r="T136" s="153" t="s">
        <v>193</v>
      </c>
    </row>
    <row r="137" spans="2:20" hidden="1">
      <c r="N137" s="188"/>
    </row>
    <row r="138" spans="2:20" hidden="1">
      <c r="B138" s="153" t="s">
        <v>191</v>
      </c>
      <c r="C138" s="177" t="s">
        <v>206</v>
      </c>
      <c r="E138" s="183"/>
      <c r="G138" s="195">
        <f>+E138*(C33+E33*2+0.5)</f>
        <v>0</v>
      </c>
      <c r="H138" s="195">
        <f>+E138*(C33+E33*2)*(((D33+E33+F33)*2+0.1)/2)</f>
        <v>0</v>
      </c>
      <c r="I138" s="196">
        <f>+(C33+E33*2)*E138*F33</f>
        <v>0</v>
      </c>
      <c r="J138" s="196">
        <f>+E138*((C33+E33*2)*E33+(D33*E33)+((D33+0.1)*E33))</f>
        <v>0</v>
      </c>
      <c r="K138" s="196">
        <f>+((D33*2)+$K$104*((D33+E33)+(D33+E33+0.1)))*E138</f>
        <v>0</v>
      </c>
      <c r="L138" s="186">
        <f>+(E138)/H33+ IF(E138&gt;0,1,0)</f>
        <v>0</v>
      </c>
      <c r="M138" s="197">
        <f>+ROUNDUP(L138,0)</f>
        <v>0</v>
      </c>
      <c r="N138" s="188">
        <f>+(D33+E33-0.08)+(D33+E33+0.1-0.08)+(C33+E33*2-0.08)</f>
        <v>1.61</v>
      </c>
      <c r="O138" s="186">
        <f>+N138/J33+1</f>
        <v>7.44</v>
      </c>
      <c r="P138" s="197">
        <f>+ROUNDUP(O138,0)</f>
        <v>8</v>
      </c>
      <c r="Q138" s="187">
        <f>+E138+E138/6*50*(G33/1000)</f>
        <v>0</v>
      </c>
      <c r="R138" s="189">
        <f>+N138*M138+P138*Q138</f>
        <v>0</v>
      </c>
      <c r="S138" s="196">
        <f>((I33*I33)/162)*R138</f>
        <v>0</v>
      </c>
      <c r="T138" s="153" t="s">
        <v>193</v>
      </c>
    </row>
    <row r="139" spans="2:20" hidden="1">
      <c r="C139" s="153" t="s">
        <v>158</v>
      </c>
      <c r="D139" s="190"/>
      <c r="E139" s="183"/>
      <c r="G139" s="195">
        <f>+E139*(C34+0.5)</f>
        <v>0</v>
      </c>
      <c r="H139" s="198">
        <f>+E139*C34*E34</f>
        <v>0</v>
      </c>
      <c r="I139" s="199"/>
      <c r="J139" s="199">
        <f>+E139*C34*E34</f>
        <v>0</v>
      </c>
      <c r="K139" s="199">
        <f>+E139*E34</f>
        <v>0</v>
      </c>
      <c r="L139" s="186">
        <f>+(E139)/H34+ IF(E139&gt;0,1,0)</f>
        <v>0</v>
      </c>
      <c r="M139" s="197">
        <f>+ROUNDUP(L139,0)</f>
        <v>0</v>
      </c>
      <c r="N139" s="188">
        <f>+C34-0.04</f>
        <v>1.46</v>
      </c>
      <c r="O139" s="186">
        <f>+N139/J34+1</f>
        <v>10.733333333333334</v>
      </c>
      <c r="P139" s="197">
        <f>+ROUNDUP(O139,0)</f>
        <v>11</v>
      </c>
      <c r="Q139" s="187">
        <f>+E139+E139/6*50*(G34/1000)</f>
        <v>0</v>
      </c>
      <c r="R139" s="189">
        <f>+N139*M139+P139*Q139</f>
        <v>0</v>
      </c>
      <c r="S139" s="196">
        <f>((I34*I34)/162)*R139</f>
        <v>0</v>
      </c>
      <c r="T139" s="153" t="s">
        <v>193</v>
      </c>
    </row>
    <row r="140" spans="2:20" hidden="1">
      <c r="N140" s="188"/>
    </row>
    <row r="141" spans="2:20" hidden="1">
      <c r="B141" s="153" t="s">
        <v>191</v>
      </c>
      <c r="C141" s="177" t="s">
        <v>207</v>
      </c>
      <c r="E141" s="183"/>
      <c r="G141" s="195">
        <f>+E141*(C36+E36*2+0.5)</f>
        <v>0</v>
      </c>
      <c r="H141" s="195">
        <f>+E141*(C36+E36*2)*(((D36+E36+F36)*2+0.1)/2)</f>
        <v>0</v>
      </c>
      <c r="I141" s="196">
        <f>+(C36+E36*2)*E141*F36</f>
        <v>0</v>
      </c>
      <c r="J141" s="196">
        <f>+E141*((C36+E36*2)*E36+(D36*E36)+((D36+0.1)*E36))</f>
        <v>0</v>
      </c>
      <c r="K141" s="196">
        <f>+((D36*2)+$K$104*((D36+E36)+(D36+E36+0.1)))*E141</f>
        <v>0</v>
      </c>
      <c r="L141" s="186">
        <f>+(E141)/H36+ IF(E141&gt;0,1,0)</f>
        <v>0</v>
      </c>
      <c r="M141" s="197">
        <f>+ROUNDUP(L141,0)</f>
        <v>0</v>
      </c>
      <c r="N141" s="188">
        <f>+(D36+E36-0.08)+(D36+E36+0.1-0.08)+(C36+E36*2-0.08)</f>
        <v>1.5599999999999998</v>
      </c>
      <c r="O141" s="186">
        <f>+N141/J36+1</f>
        <v>7.2399999999999993</v>
      </c>
      <c r="P141" s="197">
        <f>+ROUNDUP(O141,0)</f>
        <v>8</v>
      </c>
      <c r="Q141" s="187">
        <f>+E141+E141/6*50*(G36/1000)</f>
        <v>0</v>
      </c>
      <c r="R141" s="189">
        <f>+N141*M141+P141*Q141</f>
        <v>0</v>
      </c>
      <c r="S141" s="196">
        <f>((I36*I36)/162)*R141</f>
        <v>0</v>
      </c>
      <c r="T141" s="153" t="s">
        <v>193</v>
      </c>
    </row>
    <row r="142" spans="2:20" hidden="1">
      <c r="C142" s="153" t="s">
        <v>158</v>
      </c>
      <c r="D142" s="190"/>
      <c r="E142" s="183"/>
      <c r="G142" s="195">
        <f>+E142*(C37+0.5)</f>
        <v>0</v>
      </c>
      <c r="H142" s="198">
        <f>+E142*C37*E37</f>
        <v>0</v>
      </c>
      <c r="I142" s="199"/>
      <c r="J142" s="199">
        <f>+E142*C37*E37</f>
        <v>0</v>
      </c>
      <c r="K142" s="199">
        <f>+E142*E37</f>
        <v>0</v>
      </c>
      <c r="L142" s="186">
        <f>+(E142)/H37+ IF(E142&gt;0,1,0)</f>
        <v>0</v>
      </c>
      <c r="M142" s="197">
        <f>+ROUNDUP(L142,0)</f>
        <v>0</v>
      </c>
      <c r="N142" s="188">
        <f>+C37-0.04</f>
        <v>1.46</v>
      </c>
      <c r="O142" s="186">
        <f>+N142/J37+1</f>
        <v>10.733333333333334</v>
      </c>
      <c r="P142" s="197">
        <f>+ROUNDUP(O142,0)</f>
        <v>11</v>
      </c>
      <c r="Q142" s="187">
        <f>+E142+E142/6*50*(G37/1000)</f>
        <v>0</v>
      </c>
      <c r="R142" s="189">
        <f>+N142*M142+P142*Q142</f>
        <v>0</v>
      </c>
      <c r="S142" s="196">
        <f>((I37*I37)/162)*R142</f>
        <v>0</v>
      </c>
      <c r="T142" s="153" t="s">
        <v>193</v>
      </c>
    </row>
    <row r="143" spans="2:20" hidden="1">
      <c r="N143" s="188"/>
    </row>
    <row r="144" spans="2:20" hidden="1">
      <c r="B144" s="298" t="s">
        <v>191</v>
      </c>
      <c r="C144" s="299" t="s">
        <v>208</v>
      </c>
      <c r="E144" s="183"/>
      <c r="G144" s="184">
        <f>+E144*(C39+E39)</f>
        <v>0</v>
      </c>
      <c r="H144" s="184">
        <f>+E144*(C39+E39)*E39</f>
        <v>0</v>
      </c>
      <c r="I144" s="185">
        <f>+E144*(C39+E39)*F39</f>
        <v>0</v>
      </c>
      <c r="J144" s="185">
        <f>+E144*((C39+E39)*E39+(E39*D39))</f>
        <v>0</v>
      </c>
      <c r="K144" s="185">
        <f>+E144*(E39*2+D39*2)</f>
        <v>0</v>
      </c>
      <c r="L144" s="186">
        <f>+(E144)/H39+ IF(E144&gt;0,1,0)</f>
        <v>0</v>
      </c>
      <c r="M144" s="187">
        <f>+ROUNDUP(L144,0)</f>
        <v>0</v>
      </c>
      <c r="N144" s="188">
        <f>+(C39+E39-0.08)+(D39+E39-0.08)</f>
        <v>1.24</v>
      </c>
      <c r="O144" s="186">
        <f>+N144/J39+1</f>
        <v>5.96</v>
      </c>
      <c r="P144" s="187">
        <f>+ROUNDUP(O144,0)</f>
        <v>6</v>
      </c>
      <c r="Q144" s="187">
        <f>+E144+E144/6*50*(G39/1000)</f>
        <v>0</v>
      </c>
      <c r="R144" s="189">
        <f>+N144*M144+P144*Q144</f>
        <v>0</v>
      </c>
      <c r="S144" s="185">
        <f>((I39*I39)/162)*R144</f>
        <v>0</v>
      </c>
      <c r="T144" s="153" t="s">
        <v>193</v>
      </c>
    </row>
    <row r="145" spans="2:20" hidden="1">
      <c r="N145" s="188"/>
    </row>
    <row r="146" spans="2:20" hidden="1">
      <c r="B146" s="153" t="s">
        <v>191</v>
      </c>
      <c r="C146" s="177" t="s">
        <v>209</v>
      </c>
      <c r="E146" s="183"/>
      <c r="G146" s="195">
        <f>+E146*(C41+E41)</f>
        <v>0</v>
      </c>
      <c r="H146" s="195">
        <f>+E146*(C41+E41)*E41</f>
        <v>0</v>
      </c>
      <c r="I146" s="196">
        <f>+E146*(C41+E41)*F41</f>
        <v>0</v>
      </c>
      <c r="J146" s="196">
        <f>+E146*((C41+E41)*E41+(E41*D41))</f>
        <v>0</v>
      </c>
      <c r="K146" s="196">
        <f>+E146*(E41*2+D41*2)</f>
        <v>0</v>
      </c>
      <c r="L146" s="186">
        <f>+(E146)/H41+ IF(E146&gt;0,1,0)</f>
        <v>0</v>
      </c>
      <c r="M146" s="197">
        <f>+ROUNDUP(L146,0)</f>
        <v>0</v>
      </c>
      <c r="N146" s="188">
        <f>+(C41+E41-0.08)+(D41+E41-0.08)</f>
        <v>1.34</v>
      </c>
      <c r="O146" s="186">
        <f>+N146/J41+1</f>
        <v>6.36</v>
      </c>
      <c r="P146" s="197">
        <f>+ROUNDUP(O146,0)</f>
        <v>7</v>
      </c>
      <c r="Q146" s="187">
        <f>+E146+E146/6*50*(G41/1000)</f>
        <v>0</v>
      </c>
      <c r="R146" s="189">
        <f>+N146*M146+P146*Q146</f>
        <v>0</v>
      </c>
      <c r="S146" s="196">
        <f>((I41*I41)/162)*R146</f>
        <v>0</v>
      </c>
      <c r="T146" s="153" t="s">
        <v>193</v>
      </c>
    </row>
    <row r="147" spans="2:20" hidden="1">
      <c r="N147" s="188"/>
    </row>
    <row r="148" spans="2:20" hidden="1">
      <c r="B148" s="153" t="s">
        <v>191</v>
      </c>
      <c r="C148" s="177" t="s">
        <v>210</v>
      </c>
      <c r="E148" s="183"/>
      <c r="G148" s="195">
        <f>+E148*(C43+E43*2+1.5)</f>
        <v>0</v>
      </c>
      <c r="H148" s="195">
        <f>+E148*(C43+E43*2)*(((D43+E43+F43)*2+0.6)/2)</f>
        <v>0</v>
      </c>
      <c r="I148" s="196">
        <f>+(C43+E43*2)*E148*F43</f>
        <v>0</v>
      </c>
      <c r="J148" s="196">
        <f>+E148*((C43+E43*2)*E43+(D43*E43)+((D43+0.6)*E43))</f>
        <v>0</v>
      </c>
      <c r="K148" s="196">
        <f>+((D43*2)+$K$104*((D43+E43)+(D43+E43+0.6)))*E148</f>
        <v>0</v>
      </c>
      <c r="L148" s="186">
        <f>+(E148)/H43+ IF(E148&gt;0,1,0)</f>
        <v>0</v>
      </c>
      <c r="M148" s="197">
        <f>+ROUNDUP(L148,0)</f>
        <v>0</v>
      </c>
      <c r="N148" s="188">
        <f>+(E43+D43+E43+C43+2*E43+E43+D43+0.6+E43-9*0.04)+(E43+D43+2*E43-5*0.04)+(E43+0.6+D43+2*E43-5*0.04)+(C43+4*E43-6*0.04)</f>
        <v>6.2</v>
      </c>
      <c r="O148" s="186">
        <f>2*(D43/J43+1)+2*((D43+0.6)/J43+1)+((C43+2*E43)/J43+1)</f>
        <v>23</v>
      </c>
      <c r="P148" s="197">
        <f>+ROUNDUP(O148,0)</f>
        <v>23</v>
      </c>
      <c r="Q148" s="187">
        <f>+E148+E148/6*50*(G43/1000)</f>
        <v>0</v>
      </c>
      <c r="R148" s="189">
        <f>+N148*M148+P148*Q148</f>
        <v>0</v>
      </c>
      <c r="S148" s="196">
        <f>((I43*I43)/162)*R148</f>
        <v>0</v>
      </c>
      <c r="T148" s="153" t="s">
        <v>193</v>
      </c>
    </row>
    <row r="149" spans="2:20" hidden="1"/>
    <row r="150" spans="2:20" hidden="1">
      <c r="B150" s="153" t="s">
        <v>191</v>
      </c>
      <c r="C150" s="177" t="s">
        <v>211</v>
      </c>
      <c r="E150" s="183"/>
      <c r="G150" s="195">
        <f>+E150*(C45+E45*2+1.5)</f>
        <v>0</v>
      </c>
      <c r="H150" s="195">
        <f>+E150*(C45+E45*2)*(((D45+E45+F45)*2+0.6)/2)</f>
        <v>0</v>
      </c>
      <c r="I150" s="196">
        <f>+(C45+E45*2)*E150*F45</f>
        <v>0</v>
      </c>
      <c r="J150" s="196">
        <f>+E150*((C45+E45*2)*E45+(D45*E45)+((D45+0.6)*E45))</f>
        <v>0</v>
      </c>
      <c r="K150" s="196">
        <f>+((D45*2)+$K$104*((D45+E45)+(D45+E45+0.6)))*E150</f>
        <v>0</v>
      </c>
      <c r="L150" s="186">
        <f>+(E150)/H45+ IF(E150&gt;0,1,0)</f>
        <v>0</v>
      </c>
      <c r="M150" s="197">
        <f>+ROUNDUP(L150,0)</f>
        <v>0</v>
      </c>
      <c r="N150" s="188">
        <f>+(E45+D45+E45+C45+2*E45+E45+D45+0.6+E45-9*0.04)+(E45+D45+2*E45-5*0.04)+(E45+0.6+D45+2*E45-5*0.04)+(C45+4*E45-6*0.04)</f>
        <v>7.4000000000000012</v>
      </c>
      <c r="O150" s="186">
        <f>2*(D45/J45+1)+2*((D45+0.6)/J45+1)+((C45+2*E45)/J45+1)</f>
        <v>27</v>
      </c>
      <c r="P150" s="197">
        <f>+ROUNDUP(O150,0)</f>
        <v>27</v>
      </c>
      <c r="Q150" s="187">
        <f>+E150+E150/6*50*(G45/1000)</f>
        <v>0</v>
      </c>
      <c r="R150" s="189">
        <f>+N150*M150+P150*Q150</f>
        <v>0</v>
      </c>
      <c r="S150" s="196">
        <f>((I45*I45)/162)*R150</f>
        <v>0</v>
      </c>
      <c r="T150" s="153" t="s">
        <v>193</v>
      </c>
    </row>
    <row r="151" spans="2:20" hidden="1"/>
    <row r="152" spans="2:20" hidden="1">
      <c r="B152" s="153" t="s">
        <v>191</v>
      </c>
      <c r="C152" s="177" t="s">
        <v>212</v>
      </c>
      <c r="E152" s="183"/>
      <c r="G152" s="195">
        <f>+E152*(C47+E47*2+1.5)</f>
        <v>0</v>
      </c>
      <c r="H152" s="195">
        <f>+E152*(C47+E47*2)*(D47+F47+F47)</f>
        <v>0</v>
      </c>
      <c r="I152" s="196">
        <f>+(C47+E47*2)*E152*F47</f>
        <v>0</v>
      </c>
      <c r="J152" s="196">
        <f>+E152*((C47+E47*2)*E47+(D47*E47*2))</f>
        <v>0</v>
      </c>
      <c r="K152" s="196">
        <f>+(D47+$K$104*(D47+E47))*E152*2</f>
        <v>0</v>
      </c>
      <c r="L152" s="186">
        <f>+(E152)/H47+ IF(E152&gt;0,1,0)</f>
        <v>0</v>
      </c>
      <c r="M152" s="197">
        <f>+ROUNDUP(L152,0)</f>
        <v>0</v>
      </c>
      <c r="N152" s="188">
        <f>+(D47+E47-0.08)*2+(C47+E47*2-0.08)</f>
        <v>2.36</v>
      </c>
      <c r="O152" s="186">
        <f>+N152/J47+1</f>
        <v>10.44</v>
      </c>
      <c r="P152" s="197">
        <f>+ROUNDUP(O152,0)</f>
        <v>11</v>
      </c>
      <c r="Q152" s="187">
        <f>+E152+E152/6*50*(G47/1000)</f>
        <v>0</v>
      </c>
      <c r="R152" s="189">
        <f>+N152*M152+P152*Q152</f>
        <v>0</v>
      </c>
      <c r="S152" s="196">
        <f>((I47*I47)/162)*R152</f>
        <v>0</v>
      </c>
      <c r="T152" s="153" t="s">
        <v>193</v>
      </c>
    </row>
    <row r="153" spans="2:20" hidden="1">
      <c r="C153" s="153" t="s">
        <v>138</v>
      </c>
      <c r="D153" s="190">
        <f>ROUNDUP(+E152/K47,0)</f>
        <v>0</v>
      </c>
      <c r="E153" s="183"/>
      <c r="G153" s="198"/>
      <c r="H153" s="198"/>
      <c r="I153" s="199"/>
      <c r="J153" s="199">
        <f>0.5*(0.075+0.05)*0.075*C47*D153</f>
        <v>0</v>
      </c>
      <c r="K153" s="199">
        <f>+(0.075+0.08)*C47*D153</f>
        <v>0</v>
      </c>
      <c r="L153" s="192">
        <f>+D153</f>
        <v>0</v>
      </c>
      <c r="M153" s="197">
        <f>+ROUNDUP(L153,0)</f>
        <v>0</v>
      </c>
      <c r="N153" s="193">
        <f>+(C47-0.08)+((0.075+0.05-2*0.04)*2)</f>
        <v>1.01</v>
      </c>
      <c r="O153" s="192"/>
      <c r="P153" s="200"/>
      <c r="Q153" s="194"/>
      <c r="R153" s="189">
        <f>+N153*M153+P153*Q153</f>
        <v>0</v>
      </c>
      <c r="S153" s="196">
        <f>((I47*I47)/162)*R153</f>
        <v>0</v>
      </c>
      <c r="T153" s="153" t="s">
        <v>193</v>
      </c>
    </row>
    <row r="154" spans="2:20" hidden="1">
      <c r="E154" s="183"/>
      <c r="M154" s="203"/>
    </row>
    <row r="155" spans="2:20" hidden="1">
      <c r="B155" s="306" t="s">
        <v>191</v>
      </c>
      <c r="C155" s="307" t="s">
        <v>213</v>
      </c>
      <c r="E155" s="183"/>
      <c r="G155" s="195">
        <f>+E155*(C50+E50*2+1.5)</f>
        <v>0</v>
      </c>
      <c r="H155" s="195">
        <f>+E155*(C50+E50*2)*(D50+F50+F50)</f>
        <v>0</v>
      </c>
      <c r="I155" s="196">
        <f>+(C50+E50*2)*E155*F50</f>
        <v>0</v>
      </c>
      <c r="J155" s="196">
        <f>+E155*((C50+E50*2)*E50+(D50*E50*2))</f>
        <v>0</v>
      </c>
      <c r="K155" s="196">
        <f>+(D50+$K$104*(D50+E50))*E155*2</f>
        <v>0</v>
      </c>
      <c r="L155" s="186">
        <f>+(E155)/H50+ IF(E155&gt;0,1,0)</f>
        <v>0</v>
      </c>
      <c r="M155" s="197">
        <f>+ROUNDUP(L155,0)</f>
        <v>0</v>
      </c>
      <c r="N155" s="188">
        <f>+(D50+E50-0.08)*2+(C50+E50*2-0.08)</f>
        <v>2.8600000000000003</v>
      </c>
      <c r="O155" s="186">
        <f>+N155/J50+1</f>
        <v>12.440000000000001</v>
      </c>
      <c r="P155" s="197">
        <f>+ROUNDUP(O155,0)</f>
        <v>13</v>
      </c>
      <c r="Q155" s="187">
        <f>+E155+E155/6*50*(G50/1000)</f>
        <v>0</v>
      </c>
      <c r="R155" s="189">
        <f>+N155*M155+P155*Q155</f>
        <v>0</v>
      </c>
      <c r="S155" s="196">
        <f>((I50*I50)/162)*R155</f>
        <v>0</v>
      </c>
      <c r="T155" s="153" t="s">
        <v>193</v>
      </c>
    </row>
    <row r="156" spans="2:20" hidden="1">
      <c r="C156" s="153" t="s">
        <v>138</v>
      </c>
      <c r="D156" s="190">
        <f>ROUNDUP(+E155/K50,0)</f>
        <v>0</v>
      </c>
      <c r="E156" s="183"/>
      <c r="G156" s="198"/>
      <c r="H156" s="198"/>
      <c r="I156" s="199"/>
      <c r="J156" s="199">
        <f>0.5*(0.075+0.05)*0.075*C50*D156</f>
        <v>0</v>
      </c>
      <c r="K156" s="199">
        <f>+(0.075+0.08)*C50*D156</f>
        <v>0</v>
      </c>
      <c r="L156" s="192">
        <f>+D156</f>
        <v>0</v>
      </c>
      <c r="M156" s="197">
        <f>+ROUNDUP(L156,0)</f>
        <v>0</v>
      </c>
      <c r="N156" s="193">
        <f>+(C50-0.08)+((0.075+0.05-2*0.04)*2)</f>
        <v>1.01</v>
      </c>
      <c r="O156" s="192"/>
      <c r="P156" s="200"/>
      <c r="Q156" s="194"/>
      <c r="R156" s="189">
        <f>+N156*M156+P156*Q156</f>
        <v>0</v>
      </c>
      <c r="S156" s="196">
        <f>((I50*I50)/162)*R156</f>
        <v>0</v>
      </c>
      <c r="T156" s="153" t="s">
        <v>193</v>
      </c>
    </row>
    <row r="157" spans="2:20" hidden="1"/>
    <row r="158" spans="2:20" hidden="1">
      <c r="B158" s="153" t="s">
        <v>191</v>
      </c>
      <c r="C158" s="177" t="s">
        <v>214</v>
      </c>
      <c r="E158" s="183"/>
      <c r="G158" s="195">
        <f>+E158*(C53+E53*2+1.5)</f>
        <v>0</v>
      </c>
      <c r="H158" s="195">
        <f>+E158*(C53+E53*2)*(D53+F53+F53)</f>
        <v>0</v>
      </c>
      <c r="I158" s="196">
        <f>+(C53+E53*2)*E158*F53</f>
        <v>0</v>
      </c>
      <c r="J158" s="196">
        <f>+E158*((C53+E53*2)*E53+(D53*E53*2))</f>
        <v>0</v>
      </c>
      <c r="K158" s="196">
        <f>+(D53+$K$104*(D53+E53))*E158*2</f>
        <v>0</v>
      </c>
      <c r="L158" s="186">
        <f>+(E158)/H53+ IF(E158&gt;0,1,0)</f>
        <v>0</v>
      </c>
      <c r="M158" s="197">
        <f>+ROUNDUP(L158,0)</f>
        <v>0</v>
      </c>
      <c r="N158" s="188">
        <f>+(E53+D53+E53+C53+2*E53+D53+2*E53-0.04*10)+(E53+D53+2*E53-5*0.04)*2+(C53+4*E53-6*0.04)</f>
        <v>6.96</v>
      </c>
      <c r="O158" s="186">
        <f>(2*(D53+E53)+(C53+2*E53)-6*0.04)/J53*2</f>
        <v>26.08</v>
      </c>
      <c r="P158" s="197">
        <f>+ROUNDUP(O158,0)</f>
        <v>27</v>
      </c>
      <c r="Q158" s="187">
        <f>+E158+E158/6*50*(G53/1000)</f>
        <v>0</v>
      </c>
      <c r="R158" s="189">
        <f>+N158*M158+P158*Q158</f>
        <v>0</v>
      </c>
      <c r="S158" s="196">
        <f>((I53*I53)/162)*R158</f>
        <v>0</v>
      </c>
      <c r="T158" s="153" t="s">
        <v>193</v>
      </c>
    </row>
    <row r="159" spans="2:20" hidden="1">
      <c r="C159" s="153" t="s">
        <v>138</v>
      </c>
      <c r="D159" s="190">
        <f>ROUNDUP(+E158/K53,0)</f>
        <v>0</v>
      </c>
      <c r="E159" s="183"/>
      <c r="G159" s="198"/>
      <c r="H159" s="198"/>
      <c r="I159" s="199"/>
      <c r="J159" s="199">
        <f>0.5*(0.075+0.05)*0.075*C53*D159</f>
        <v>0</v>
      </c>
      <c r="K159" s="199">
        <f>+(0.075+0.08)*C53*D159</f>
        <v>0</v>
      </c>
      <c r="L159" s="192">
        <f>+D159</f>
        <v>0</v>
      </c>
      <c r="M159" s="197">
        <f>+ROUNDUP(L159,0)</f>
        <v>0</v>
      </c>
      <c r="N159" s="193">
        <f>+(C53-0.08)+((0.075+0.05-2*0.04)*2)</f>
        <v>1.01</v>
      </c>
      <c r="O159" s="192"/>
      <c r="P159" s="200"/>
      <c r="Q159" s="194"/>
      <c r="R159" s="189">
        <f>+N159*M159+P159*Q159</f>
        <v>0</v>
      </c>
      <c r="S159" s="196">
        <f>((I53*I53)/162)*R159</f>
        <v>0</v>
      </c>
      <c r="T159" s="153" t="s">
        <v>193</v>
      </c>
    </row>
    <row r="160" spans="2:20" hidden="1"/>
    <row r="161" spans="2:21" hidden="1">
      <c r="B161" s="153" t="s">
        <v>191</v>
      </c>
      <c r="C161" s="177" t="s">
        <v>215</v>
      </c>
      <c r="E161" s="183"/>
      <c r="G161" s="195">
        <f>+E161*(C56+E56*2+1.5)</f>
        <v>0</v>
      </c>
      <c r="H161" s="195">
        <f>+E161*(C56+E56*2)*(D56+F56+F56)</f>
        <v>0</v>
      </c>
      <c r="I161" s="196">
        <f>+(C56+E56*2)*E161*F56</f>
        <v>0</v>
      </c>
      <c r="J161" s="196">
        <f>+E161*((C56+E56*2)*E56+(D56*E56*2))</f>
        <v>0</v>
      </c>
      <c r="K161" s="196">
        <f>+(D56+$K$104*(D56+E56))*E161*2</f>
        <v>0</v>
      </c>
      <c r="L161" s="186">
        <f>+(E161)/H56+ IF(E161&gt;0,1,0)</f>
        <v>0</v>
      </c>
      <c r="M161" s="197">
        <f>+ROUNDUP(L161,0)</f>
        <v>0</v>
      </c>
      <c r="N161" s="188">
        <f>+(E56+D56+E56+C56+2*E56+D56+2*E56-0.04*10)+(E56+D56+2*E56-5*0.04)*2+(C56+4*E56-6*0.04)</f>
        <v>6.96</v>
      </c>
      <c r="O161" s="186">
        <f>(2*(D56+E56)+(C56+2*E56)-6*0.04)/J56*2</f>
        <v>26.08</v>
      </c>
      <c r="P161" s="197">
        <f>+ROUNDUP(O161,0)</f>
        <v>27</v>
      </c>
      <c r="Q161" s="187">
        <f>+E161+E161/6*50*(G56/1000)</f>
        <v>0</v>
      </c>
      <c r="R161" s="189">
        <f>+N161*M161+P161*Q161</f>
        <v>0</v>
      </c>
      <c r="S161" s="196">
        <f>((I56*I56)/162)*R161</f>
        <v>0</v>
      </c>
      <c r="T161" s="153" t="s">
        <v>193</v>
      </c>
    </row>
    <row r="162" spans="2:21" hidden="1">
      <c r="C162" s="153" t="s">
        <v>138</v>
      </c>
      <c r="D162" s="190">
        <f>ROUNDUP(+E161/K56,0)</f>
        <v>0</v>
      </c>
      <c r="E162" s="183"/>
      <c r="G162" s="198"/>
      <c r="H162" s="198"/>
      <c r="I162" s="199"/>
      <c r="J162" s="199">
        <f>0.5*(0.075+0.05)*0.075*C56*D162</f>
        <v>0</v>
      </c>
      <c r="K162" s="199">
        <f>+(0.075+0.08)*C56*D162</f>
        <v>0</v>
      </c>
      <c r="L162" s="192">
        <f>+D162</f>
        <v>0</v>
      </c>
      <c r="M162" s="197">
        <f>+ROUNDUP(L162,0)</f>
        <v>0</v>
      </c>
      <c r="N162" s="193">
        <f>+(C56-0.08)+((0.075+0.05-2*0.04)*2)</f>
        <v>1.01</v>
      </c>
      <c r="O162" s="192"/>
      <c r="P162" s="200"/>
      <c r="Q162" s="194"/>
      <c r="R162" s="189">
        <f>+N162*M162+P162*Q162</f>
        <v>0</v>
      </c>
      <c r="S162" s="196">
        <f>((I56*I56)/162)*R162</f>
        <v>0</v>
      </c>
      <c r="T162" s="153" t="s">
        <v>193</v>
      </c>
    </row>
    <row r="163" spans="2:21" hidden="1"/>
    <row r="164" spans="2:21" hidden="1">
      <c r="B164" s="204" t="s">
        <v>216</v>
      </c>
      <c r="C164" s="177" t="s">
        <v>217</v>
      </c>
      <c r="E164" s="183"/>
      <c r="G164" s="195">
        <f>+E164*(C59+E59*2+1)</f>
        <v>0</v>
      </c>
      <c r="H164" s="195">
        <f>(+E164*(C59+E59*2)*(D59+F59+F59))*50%</f>
        <v>0</v>
      </c>
      <c r="I164" s="196">
        <f>+(C59+E59*2)*E164*F59</f>
        <v>0</v>
      </c>
      <c r="J164" s="196">
        <f>+E164*((C59+E59*2+0.06)*E59+(D59*E59*2))</f>
        <v>0</v>
      </c>
      <c r="K164" s="196">
        <f>+(D59+(D59+E59))*E164*2</f>
        <v>0</v>
      </c>
      <c r="L164" s="186">
        <f>+(E164)/H59+ IF(E164&gt;0,1,0)</f>
        <v>0</v>
      </c>
      <c r="M164" s="197">
        <f>+ROUNDUP(L164,0)</f>
        <v>0</v>
      </c>
      <c r="N164" s="188">
        <f>+(D59+E59-0.08)*2+(C59+E59*2-0.08)</f>
        <v>1.5100000000000002</v>
      </c>
      <c r="O164" s="186">
        <f>+N164/J59+1</f>
        <v>7.0400000000000009</v>
      </c>
      <c r="P164" s="197">
        <f>+ROUNDUP(O164,0)</f>
        <v>8</v>
      </c>
      <c r="Q164" s="187">
        <f>+E164+E164/6*50*(G59/1000)</f>
        <v>0</v>
      </c>
      <c r="R164" s="189">
        <f>+N164*M164+P164*Q164</f>
        <v>0</v>
      </c>
      <c r="S164" s="196">
        <f>((I59*I59)/162)*R164</f>
        <v>0</v>
      </c>
      <c r="T164" s="153" t="s">
        <v>193</v>
      </c>
    </row>
    <row r="165" spans="2:21" hidden="1">
      <c r="C165" s="153" t="s">
        <v>218</v>
      </c>
      <c r="D165" s="190">
        <f>ROUNDUP(+(E164/SQRT(L59^2+M59^2)),0)</f>
        <v>0</v>
      </c>
      <c r="E165" s="183"/>
      <c r="G165" s="198"/>
      <c r="H165" s="198"/>
      <c r="I165" s="199"/>
      <c r="J165" s="199">
        <f>0.5*(0.075+0.05)*0.075*C59*D165</f>
        <v>0</v>
      </c>
      <c r="K165" s="199">
        <f>+M59*C59*D165</f>
        <v>0</v>
      </c>
      <c r="L165" s="192"/>
      <c r="M165" s="197">
        <f>+ROUNDUP(L165,0)</f>
        <v>0</v>
      </c>
      <c r="N165" s="193"/>
      <c r="O165" s="192"/>
      <c r="P165" s="200"/>
      <c r="Q165" s="194"/>
      <c r="R165" s="189">
        <f>+N165*M165+P165*Q165</f>
        <v>0</v>
      </c>
      <c r="S165" s="196">
        <f>((I59*I59)/162)*R165</f>
        <v>0</v>
      </c>
    </row>
    <row r="166" spans="2:21" hidden="1">
      <c r="C166" s="153" t="s">
        <v>219</v>
      </c>
      <c r="D166" s="153">
        <f>ROUNDUP(+E164/1,0)</f>
        <v>0</v>
      </c>
    </row>
    <row r="167" spans="2:21" hidden="1"/>
    <row r="168" spans="2:21" hidden="1">
      <c r="B168" s="204" t="s">
        <v>216</v>
      </c>
      <c r="C168" s="177" t="s">
        <v>220</v>
      </c>
      <c r="E168" s="183"/>
      <c r="G168" s="184">
        <f>+E168*(C63+E63*2+1)</f>
        <v>0</v>
      </c>
      <c r="H168" s="184">
        <f>(+E168*(C63+E63*2)*(D63+F63+F63))*50%</f>
        <v>0</v>
      </c>
      <c r="I168" s="185">
        <f>+(C63+E63*2)*E168*F63</f>
        <v>0</v>
      </c>
      <c r="J168" s="185">
        <f>+E168*((C63+E63*2+0.06)*E63+(D63*E63*2))</f>
        <v>0</v>
      </c>
      <c r="K168" s="185">
        <f>+(D63+(D63+E63))*E168*2</f>
        <v>0</v>
      </c>
      <c r="L168" s="186">
        <f>+(E168)/H63+ IF(E168&gt;0,1,0)</f>
        <v>0</v>
      </c>
      <c r="M168" s="187">
        <f>+ROUNDUP(L168,0)</f>
        <v>0</v>
      </c>
      <c r="N168" s="188">
        <f>+(D63+E63-0.08)*2+(C63+E63*2-0.08)</f>
        <v>1.81</v>
      </c>
      <c r="O168" s="186">
        <f>+N168/J63+1</f>
        <v>8.24</v>
      </c>
      <c r="P168" s="187">
        <f>+ROUNDUP(O168,0)</f>
        <v>9</v>
      </c>
      <c r="Q168" s="187">
        <f>+E168+E168/6*50*(G63/1000)</f>
        <v>0</v>
      </c>
      <c r="R168" s="189">
        <f>+N168*M168+P168*Q168</f>
        <v>0</v>
      </c>
      <c r="S168" s="185">
        <f>((I63*I63)/162)*R168</f>
        <v>0</v>
      </c>
      <c r="T168" s="153" t="s">
        <v>193</v>
      </c>
    </row>
    <row r="169" spans="2:21" hidden="1">
      <c r="C169" s="153" t="s">
        <v>218</v>
      </c>
      <c r="D169" s="190">
        <f>ROUNDUP(+(E168/SQRT(L63^2+M63^2)),0)</f>
        <v>0</v>
      </c>
      <c r="E169" s="183"/>
      <c r="G169" s="191"/>
      <c r="H169" s="191"/>
      <c r="I169" s="190"/>
      <c r="J169" s="190">
        <f>0.5*(0.075+0.05)*0.075*C63*D169</f>
        <v>0</v>
      </c>
      <c r="K169" s="190">
        <f>+M63*C63*D169</f>
        <v>0</v>
      </c>
      <c r="L169" s="192"/>
      <c r="M169" s="187">
        <f>+ROUNDUP(L169,0)</f>
        <v>0</v>
      </c>
      <c r="N169" s="193"/>
      <c r="O169" s="192"/>
      <c r="P169" s="194"/>
      <c r="Q169" s="194"/>
      <c r="R169" s="189">
        <f>+N169*M169+P169*Q169</f>
        <v>0</v>
      </c>
      <c r="S169" s="185">
        <f>((I63*I63)/162)*R169</f>
        <v>0</v>
      </c>
    </row>
    <row r="170" spans="2:21" hidden="1">
      <c r="C170" s="153" t="s">
        <v>219</v>
      </c>
      <c r="D170" s="153">
        <f>ROUNDUP(+E168/1,0)</f>
        <v>0</v>
      </c>
    </row>
    <row r="171" spans="2:21" hidden="1">
      <c r="K171" s="185"/>
    </row>
    <row r="172" spans="2:21">
      <c r="B172" s="308" t="s">
        <v>216</v>
      </c>
      <c r="C172" s="307" t="s">
        <v>221</v>
      </c>
      <c r="E172" s="183">
        <f>23.56*1.1*1.252</f>
        <v>32.446832000000001</v>
      </c>
      <c r="G172" s="184">
        <f>+E172*(C67+E67*2+1)</f>
        <v>58.4042976</v>
      </c>
      <c r="H172" s="184">
        <f>(+E172*(C67+E67*2)*(D67+F67+F67))*50%</f>
        <v>9.0851129600000018</v>
      </c>
      <c r="I172" s="185">
        <f>+(C67+E67*2)*E172*F67</f>
        <v>1.2978732800000001</v>
      </c>
      <c r="J172" s="185">
        <f>+E172*((C67+E67*2+0.06)*E67+(D67*E67*2))</f>
        <v>6.684047392000001</v>
      </c>
      <c r="K172" s="185">
        <f>+(D67+(D67+E67))*E172*2</f>
        <v>84.361763199999984</v>
      </c>
      <c r="L172" s="186">
        <f>+(E172)/H67+ IF(E172&gt;0,1,0)</f>
        <v>130.787328</v>
      </c>
      <c r="M172" s="187">
        <f>+ROUNDUP(L172,0)</f>
        <v>131</v>
      </c>
      <c r="N172" s="188">
        <f>+(D67+E67-0.08)*2+(C67+E67*2-0.08)</f>
        <v>1.96</v>
      </c>
      <c r="O172" s="186">
        <f>+N172/J67+1</f>
        <v>8.84</v>
      </c>
      <c r="P172" s="187">
        <f>+ROUNDUP(O172,0)</f>
        <v>9</v>
      </c>
      <c r="Q172" s="187">
        <f>+E172+E172/6*50*(G67/1000)</f>
        <v>35.150734666666665</v>
      </c>
      <c r="R172" s="189">
        <f>+N172*M172+P172*Q172</f>
        <v>573.11661200000003</v>
      </c>
      <c r="S172" s="185">
        <f>((I67*I67)/162)*R172</f>
        <v>353.77568641975307</v>
      </c>
      <c r="T172" s="153" t="s">
        <v>193</v>
      </c>
    </row>
    <row r="173" spans="2:21">
      <c r="C173" s="153" t="s">
        <v>218</v>
      </c>
      <c r="D173" s="190">
        <f>ROUNDUP(+(E172/SQRT(L67^2+M67^2)),0)</f>
        <v>84</v>
      </c>
      <c r="E173" s="183"/>
      <c r="G173" s="191"/>
      <c r="H173" s="191"/>
      <c r="I173" s="190"/>
      <c r="J173" s="190">
        <f>0.5*(0.075+0.05)*0.075*C67*D173</f>
        <v>0.23624999999999999</v>
      </c>
      <c r="K173" s="190">
        <f>+M67*C67*D173</f>
        <v>13.860000000000001</v>
      </c>
      <c r="L173" s="192"/>
      <c r="M173" s="187">
        <f>+ROUNDUP(L173,0)</f>
        <v>0</v>
      </c>
      <c r="N173" s="193"/>
      <c r="O173" s="192"/>
      <c r="P173" s="194"/>
      <c r="Q173" s="194"/>
      <c r="R173" s="189">
        <f>+N173*M173+P173*Q173</f>
        <v>0</v>
      </c>
      <c r="S173" s="185">
        <f>((I67*I67)/162)*R173</f>
        <v>0</v>
      </c>
      <c r="U173" s="190">
        <f>S172+S173</f>
        <v>353.77568641975307</v>
      </c>
    </row>
    <row r="174" spans="2:21">
      <c r="C174" s="153" t="s">
        <v>219</v>
      </c>
      <c r="D174" s="153">
        <f>ROUNDUP(+E172/1,0)</f>
        <v>33</v>
      </c>
    </row>
    <row r="176" spans="2:21">
      <c r="B176" s="308" t="s">
        <v>216</v>
      </c>
      <c r="C176" s="307" t="s">
        <v>222</v>
      </c>
      <c r="E176" s="183">
        <f>9.83*1.1*1.252</f>
        <v>13.537876000000001</v>
      </c>
      <c r="G176" s="195">
        <f>+E176*(C71+E71*2+1)</f>
        <v>27.075752000000001</v>
      </c>
      <c r="H176" s="195">
        <f>(+E176*(C71+E71*2)*(D71+F71+F71))*50%</f>
        <v>6.092044200000001</v>
      </c>
      <c r="I176" s="196">
        <f>+(C71+E71*2)*E176*F71</f>
        <v>0.6768938000000001</v>
      </c>
      <c r="J176" s="196">
        <f>+E176*((C71+E71*2+0.06)*E71+(D71*E71*2))</f>
        <v>3.6010750160000002</v>
      </c>
      <c r="K176" s="196">
        <f>+(D71+(D71+E71))*E176*2</f>
        <v>46.028778400000007</v>
      </c>
      <c r="L176" s="186">
        <f>+(E176)/H71+ IF(E176&gt;0,1,0)</f>
        <v>55.151504000000003</v>
      </c>
      <c r="M176" s="197">
        <f>+ROUNDUP(L176,0)</f>
        <v>56</v>
      </c>
      <c r="N176" s="188">
        <f>+(D71+E71-0.08)*2+(C71+E71*2-0.08)</f>
        <v>2.56</v>
      </c>
      <c r="O176" s="186">
        <f>+N176/J71+1</f>
        <v>11.24</v>
      </c>
      <c r="P176" s="197">
        <f>+ROUNDUP(O176,0)</f>
        <v>12</v>
      </c>
      <c r="Q176" s="187">
        <f>+E176+E176/6*50*(G71/1000)</f>
        <v>14.666032333333334</v>
      </c>
      <c r="R176" s="189">
        <f>+N176*M176+P176*Q176</f>
        <v>319.35238800000002</v>
      </c>
      <c r="S176" s="196">
        <f>((I71*I71)/162)*R176</f>
        <v>197.1311037037037</v>
      </c>
      <c r="T176" s="153" t="s">
        <v>193</v>
      </c>
    </row>
    <row r="177" spans="2:21">
      <c r="C177" s="153" t="s">
        <v>218</v>
      </c>
      <c r="D177" s="190">
        <f>ROUNDUP(+(E176/SQRT(L71^2+M71^2)),0)</f>
        <v>35</v>
      </c>
      <c r="E177" s="183"/>
      <c r="G177" s="198"/>
      <c r="H177" s="198"/>
      <c r="I177" s="199"/>
      <c r="J177" s="199">
        <f>0.5*(0.075+0.05)*0.075*C71*D177</f>
        <v>0.13125000000000001</v>
      </c>
      <c r="K177" s="199">
        <f>+M71*C71*D177</f>
        <v>7.7000000000000011</v>
      </c>
      <c r="L177" s="192"/>
      <c r="M177" s="197">
        <f>+ROUNDUP(L177,0)</f>
        <v>0</v>
      </c>
      <c r="N177" s="193"/>
      <c r="O177" s="192"/>
      <c r="P177" s="200"/>
      <c r="Q177" s="194"/>
      <c r="R177" s="189">
        <f>+N177*M177+P177*Q177</f>
        <v>0</v>
      </c>
      <c r="S177" s="196">
        <f>((I71*I71)/162)*R177</f>
        <v>0</v>
      </c>
      <c r="U177" s="190">
        <f>S176+S177</f>
        <v>197.1311037037037</v>
      </c>
    </row>
    <row r="178" spans="2:21">
      <c r="C178" s="153" t="s">
        <v>219</v>
      </c>
      <c r="D178" s="153">
        <f>ROUNDUP(+E176/1,0)</f>
        <v>14</v>
      </c>
      <c r="H178" s="190"/>
    </row>
    <row r="180" spans="2:21" hidden="1">
      <c r="B180" s="559" t="s">
        <v>216</v>
      </c>
      <c r="C180" s="307" t="s">
        <v>223</v>
      </c>
      <c r="E180" s="183">
        <v>13.83</v>
      </c>
      <c r="G180" s="195">
        <f>+E180*(C75+E75*2+1)</f>
        <v>31.1175</v>
      </c>
      <c r="H180" s="195">
        <f>(+E180*(C75+E75*2)*(D75+F75+F75))*50%</f>
        <v>9.5081250000000015</v>
      </c>
      <c r="I180" s="196">
        <f>+(C75+E75*2)*E180*F75</f>
        <v>0.86437500000000012</v>
      </c>
      <c r="J180" s="196">
        <f>+E180*((C75+E75*2+0.06)*E75+(D75*E75*2))</f>
        <v>5.7221625000000005</v>
      </c>
      <c r="K180" s="196">
        <f>+(D75+(D75+E75))*E180*2</f>
        <v>58.777500000000003</v>
      </c>
      <c r="L180" s="186">
        <f>+(E180)/H75+ IF(E180&gt;0,1,0)</f>
        <v>56.32</v>
      </c>
      <c r="M180" s="197">
        <f>+ROUNDUP(L180,0)</f>
        <v>57</v>
      </c>
      <c r="N180" s="188">
        <f>+(D75+E75-0.08)*2+(C75+E75*2-0.08)</f>
        <v>3.26</v>
      </c>
      <c r="O180" s="186">
        <f>+N180/J75+1</f>
        <v>14.04</v>
      </c>
      <c r="P180" s="197">
        <f>+ROUNDUP(O180,0)</f>
        <v>15</v>
      </c>
      <c r="Q180" s="187">
        <f>+E180+E180/6*50*(G75/1000)</f>
        <v>14.9825</v>
      </c>
      <c r="R180" s="189">
        <f>+N180*M180+P180*Q180</f>
        <v>410.5575</v>
      </c>
      <c r="S180" s="196">
        <f>((I75*I75)/162)*R180</f>
        <v>253.43055555555554</v>
      </c>
      <c r="T180" s="153" t="s">
        <v>193</v>
      </c>
    </row>
    <row r="181" spans="2:21" hidden="1">
      <c r="C181" s="153" t="s">
        <v>218</v>
      </c>
      <c r="D181" s="190">
        <f>ROUNDUP(+(E180/SQRT(L75^2+M75^2)),0)</f>
        <v>36</v>
      </c>
      <c r="E181" s="183"/>
      <c r="G181" s="198"/>
      <c r="H181" s="198"/>
      <c r="I181" s="199"/>
      <c r="J181" s="199">
        <f>0.5*(0.075+0.05)*0.075*C75*D181</f>
        <v>0.16874999999999998</v>
      </c>
      <c r="K181" s="199">
        <f>+M75*C75*D181</f>
        <v>9.9</v>
      </c>
      <c r="L181" s="192"/>
      <c r="M181" s="197">
        <f>+ROUNDUP(L181,0)</f>
        <v>0</v>
      </c>
      <c r="N181" s="193"/>
      <c r="O181" s="192"/>
      <c r="P181" s="200"/>
      <c r="Q181" s="194"/>
      <c r="R181" s="189">
        <f>+N181*M181+P181*Q181</f>
        <v>0</v>
      </c>
      <c r="S181" s="196">
        <f>((I75*I75)/162)*R181</f>
        <v>0</v>
      </c>
    </row>
    <row r="182" spans="2:21" hidden="1">
      <c r="C182" s="153" t="s">
        <v>219</v>
      </c>
      <c r="D182" s="153">
        <f>ROUNDUP(+E180/1,0)</f>
        <v>14</v>
      </c>
    </row>
    <row r="183" spans="2:21" hidden="1"/>
    <row r="184" spans="2:21" hidden="1">
      <c r="B184" s="204" t="s">
        <v>224</v>
      </c>
      <c r="C184" s="177" t="s">
        <v>217</v>
      </c>
      <c r="E184" s="183">
        <v>100</v>
      </c>
      <c r="G184" s="195">
        <f>+E184*(C79+E79*2+1)</f>
        <v>165</v>
      </c>
      <c r="H184" s="195">
        <f>0.5*L79*M79*D185</f>
        <v>20.25</v>
      </c>
      <c r="I184" s="196">
        <f>+(L79*(C79+2*E79)*D185*E79)</f>
        <v>5.8500000000000014</v>
      </c>
      <c r="J184" s="196">
        <f>+D185*(L79+M79)*E79*(C79+2*E79)+D185*((L79+M79)*E79*D79)*2</f>
        <v>20.925000000000001</v>
      </c>
      <c r="K184" s="196">
        <f>+(D79+(D79+E79))*E184*2</f>
        <v>200</v>
      </c>
      <c r="L184" s="186">
        <f>+(D185*(L79+M79))/H79+ IF(E184&gt;0,1,0)</f>
        <v>541</v>
      </c>
      <c r="M184" s="197">
        <f>+ROUNDUP(L184,0)</f>
        <v>541</v>
      </c>
      <c r="N184" s="188">
        <f>+(D79+E79-0.08)*2+(C79+E79*2-0.08)</f>
        <v>1.5100000000000002</v>
      </c>
      <c r="O184" s="186">
        <f>+N184/J79+1</f>
        <v>7.0400000000000009</v>
      </c>
      <c r="P184" s="197">
        <f>+ROUNDUP(O184,0)</f>
        <v>8</v>
      </c>
      <c r="Q184" s="187">
        <f>+(L79+M79-2*0.04)*D185+(((L79+M79-2*0.04)*D185)/6*50*(I79/1000))</f>
        <v>137.58333333333334</v>
      </c>
      <c r="R184" s="189">
        <f>+N184*M184+P184*Q184</f>
        <v>1917.5766666666668</v>
      </c>
      <c r="S184" s="196">
        <f>((I79*I79)/162)*R184</f>
        <v>1183.6893004115227</v>
      </c>
      <c r="T184" s="153" t="s">
        <v>193</v>
      </c>
    </row>
    <row r="185" spans="2:21" hidden="1">
      <c r="C185" s="153" t="s">
        <v>218</v>
      </c>
      <c r="D185" s="190">
        <f>ROUNDUP(+(E184/SQRT(L79^2+M79^2)),0)</f>
        <v>100</v>
      </c>
      <c r="E185" s="183"/>
      <c r="G185" s="198"/>
      <c r="H185" s="198"/>
      <c r="I185" s="199"/>
      <c r="J185" s="199"/>
      <c r="K185" s="199"/>
      <c r="L185" s="192"/>
      <c r="M185" s="197"/>
      <c r="N185" s="193"/>
      <c r="O185" s="192"/>
      <c r="P185" s="200"/>
      <c r="Q185" s="194"/>
      <c r="R185" s="189"/>
      <c r="S185" s="196"/>
    </row>
    <row r="186" spans="2:21" hidden="1">
      <c r="C186" s="153" t="s">
        <v>219</v>
      </c>
      <c r="D186" s="153">
        <f>ROUNDUP(+E184/1,0)</f>
        <v>100</v>
      </c>
    </row>
    <row r="187" spans="2:21" hidden="1"/>
    <row r="188" spans="2:21" hidden="1">
      <c r="B188" s="204" t="s">
        <v>224</v>
      </c>
      <c r="C188" s="177" t="s">
        <v>220</v>
      </c>
      <c r="E188" s="183">
        <v>28.19</v>
      </c>
      <c r="G188" s="195">
        <f>+E188*(C83+E83*2+1)</f>
        <v>46.513500000000001</v>
      </c>
      <c r="H188" s="195">
        <f>0.5*L83*M83*D189</f>
        <v>5.8725000000000005</v>
      </c>
      <c r="I188" s="196">
        <f>+(L83*(C83+2*E83)*D189*E83)</f>
        <v>1.6965000000000003</v>
      </c>
      <c r="J188" s="196">
        <f>+D189*(L83+M83)*E83*(C83+2*E83)+D189*((L83+M83)*E83*D83)*2</f>
        <v>7.2427500000000009</v>
      </c>
      <c r="K188" s="196">
        <f>+(D83+(D83+E83))*E188*2</f>
        <v>73.293999999999997</v>
      </c>
      <c r="L188" s="186">
        <f>+(D189*(L83+M83))/H83+ IF(E188&gt;0,1,0)</f>
        <v>157.60000000000002</v>
      </c>
      <c r="M188" s="197">
        <f>+ROUNDUP(L188,0)</f>
        <v>158</v>
      </c>
      <c r="N188" s="188">
        <f>+(D83+E83-0.08)*2+(C83+E83*2-0.08)</f>
        <v>1.81</v>
      </c>
      <c r="O188" s="186">
        <f>+N188/J83+1</f>
        <v>8.24</v>
      </c>
      <c r="P188" s="197">
        <f>+ROUNDUP(O188,0)</f>
        <v>9</v>
      </c>
      <c r="Q188" s="187">
        <f>+(L83+M83-2*0.04)*D189+(((L83+M83-2*0.04)*D189)/6*50*(I83/1000))</f>
        <v>39.899166666666666</v>
      </c>
      <c r="R188" s="189">
        <f>+N188*M188+P188*Q188</f>
        <v>645.07249999999999</v>
      </c>
      <c r="S188" s="196">
        <f>((I83*I83)/162)*R188</f>
        <v>398.1929012345679</v>
      </c>
      <c r="T188" s="153" t="s">
        <v>193</v>
      </c>
    </row>
    <row r="189" spans="2:21" hidden="1">
      <c r="C189" s="153" t="s">
        <v>218</v>
      </c>
      <c r="D189" s="190">
        <f>ROUNDUP(+(E188/SQRT(L83^2+M83^2)),0)</f>
        <v>29</v>
      </c>
      <c r="E189" s="183"/>
      <c r="G189" s="198"/>
      <c r="H189" s="198"/>
      <c r="I189" s="199"/>
      <c r="J189" s="199"/>
      <c r="K189" s="199"/>
      <c r="L189" s="192"/>
      <c r="M189" s="197"/>
      <c r="N189" s="193"/>
      <c r="O189" s="192"/>
      <c r="P189" s="200"/>
      <c r="Q189" s="194"/>
      <c r="R189" s="189"/>
      <c r="S189" s="196"/>
    </row>
    <row r="190" spans="2:21" hidden="1">
      <c r="C190" s="153" t="s">
        <v>219</v>
      </c>
      <c r="D190" s="153">
        <f>ROUNDUP(+E188/1,0)</f>
        <v>29</v>
      </c>
    </row>
    <row r="191" spans="2:21" hidden="1"/>
    <row r="192" spans="2:21" hidden="1">
      <c r="B192" s="204" t="s">
        <v>224</v>
      </c>
      <c r="C192" s="177" t="s">
        <v>221</v>
      </c>
      <c r="E192" s="183">
        <v>100</v>
      </c>
      <c r="G192" s="195">
        <f>+E192*(C87+E87*2+1)</f>
        <v>180</v>
      </c>
      <c r="H192" s="195">
        <f>0.5*L87*M87*D193</f>
        <v>20.25</v>
      </c>
      <c r="I192" s="196">
        <f>+(L87*(C87+2*E87)*D193*E87)</f>
        <v>7.200000000000002</v>
      </c>
      <c r="J192" s="196">
        <f>+D193*(L87+M87)*E87*(C87+2*E87)+D193*((L87+M87)*E87*D87)*2</f>
        <v>27</v>
      </c>
      <c r="K192" s="196">
        <f>+(D87+(D87+E87))*E192*2</f>
        <v>259.99999999999994</v>
      </c>
      <c r="L192" s="186">
        <f>+(D193*(L87+M87))/H87+ IF(E192&gt;0,1,0)</f>
        <v>541</v>
      </c>
      <c r="M192" s="197">
        <f>+ROUNDUP(L192,0)</f>
        <v>541</v>
      </c>
      <c r="N192" s="188">
        <f>+(D87+E87-0.08)*2+(C87+E87*2-0.08)</f>
        <v>1.96</v>
      </c>
      <c r="O192" s="186">
        <f>+N192/J87+1</f>
        <v>8.84</v>
      </c>
      <c r="P192" s="197">
        <f>+ROUNDUP(O192,0)</f>
        <v>9</v>
      </c>
      <c r="Q192" s="187">
        <f>+(L87+M87-2*0.04)*D193+(((L87+M87-2*0.04)*D193)/6*50*(I87/1000))</f>
        <v>137.58333333333334</v>
      </c>
      <c r="R192" s="189">
        <f>+N192*M192+P192*Q192</f>
        <v>2298.6099999999997</v>
      </c>
      <c r="S192" s="196">
        <f>((I87*I87)/162)*R192</f>
        <v>1418.8950617283947</v>
      </c>
      <c r="T192" s="153" t="s">
        <v>193</v>
      </c>
    </row>
    <row r="193" spans="2:20" hidden="1">
      <c r="C193" s="153" t="s">
        <v>218</v>
      </c>
      <c r="D193" s="190">
        <f>ROUNDUP(+(E192/SQRT(L87^2+M87^2)),0)</f>
        <v>100</v>
      </c>
      <c r="E193" s="183"/>
      <c r="G193" s="198"/>
      <c r="H193" s="198"/>
      <c r="I193" s="199"/>
      <c r="J193" s="199"/>
      <c r="K193" s="199"/>
      <c r="L193" s="192"/>
      <c r="M193" s="197"/>
      <c r="N193" s="193"/>
      <c r="O193" s="192"/>
      <c r="P193" s="200"/>
      <c r="Q193" s="194"/>
      <c r="R193" s="189"/>
      <c r="S193" s="196"/>
    </row>
    <row r="194" spans="2:20" hidden="1">
      <c r="C194" s="153" t="s">
        <v>219</v>
      </c>
      <c r="D194" s="153">
        <f>ROUNDUP(+E192/1,0)</f>
        <v>100</v>
      </c>
    </row>
    <row r="195" spans="2:20" hidden="1"/>
    <row r="196" spans="2:20" hidden="1">
      <c r="B196" s="204" t="s">
        <v>224</v>
      </c>
      <c r="C196" s="177" t="s">
        <v>222</v>
      </c>
      <c r="E196" s="183">
        <v>100</v>
      </c>
      <c r="G196" s="195">
        <f>+E196*(C91+E91*2+1)</f>
        <v>200</v>
      </c>
      <c r="H196" s="195">
        <f>0.5*L91*M91*D197</f>
        <v>20.25</v>
      </c>
      <c r="I196" s="196">
        <f>+(L91*(C91+2*E91)*D197*E91)</f>
        <v>9</v>
      </c>
      <c r="J196" s="196">
        <f>+D197*(L91+M91)*E91*(C91+2*E91)+D197*((L91+M91)*E91*D91)*2</f>
        <v>35.1</v>
      </c>
      <c r="K196" s="196">
        <f>+(D91+(D91+E91))*E196*2</f>
        <v>340.00000000000006</v>
      </c>
      <c r="L196" s="186">
        <f>+(D197*(L91+M91))/H91+ IF(E196&gt;0,1,0)</f>
        <v>541</v>
      </c>
      <c r="M196" s="197">
        <f>+ROUNDUP(L196,0)</f>
        <v>541</v>
      </c>
      <c r="N196" s="188">
        <f>+(D91+E91-0.08)*2+(C91+E91*2-0.08)</f>
        <v>2.56</v>
      </c>
      <c r="O196" s="186">
        <f>+N196/J91+1</f>
        <v>11.24</v>
      </c>
      <c r="P196" s="197">
        <f>+ROUNDUP(O196,0)</f>
        <v>12</v>
      </c>
      <c r="Q196" s="187">
        <f>+(L91+M91-2*0.04)*D197+(((L91+M91-2*0.04)*D197)/6*50*(I91/1000))</f>
        <v>137.58333333333334</v>
      </c>
      <c r="R196" s="189">
        <f>+N196*M196+P196*Q196</f>
        <v>3035.96</v>
      </c>
      <c r="S196" s="196">
        <f>((I91*I91)/162)*R196</f>
        <v>1874.0493827160492</v>
      </c>
      <c r="T196" s="153" t="s">
        <v>193</v>
      </c>
    </row>
    <row r="197" spans="2:20" hidden="1">
      <c r="C197" s="153" t="s">
        <v>218</v>
      </c>
      <c r="D197" s="190">
        <f>ROUNDUP(+(E196/SQRT(L91^2+M91^2)),0)</f>
        <v>100</v>
      </c>
      <c r="E197" s="183"/>
      <c r="G197" s="198"/>
      <c r="H197" s="198"/>
      <c r="I197" s="199"/>
      <c r="J197" s="199"/>
      <c r="K197" s="199"/>
      <c r="L197" s="192"/>
      <c r="M197" s="197"/>
      <c r="N197" s="193"/>
      <c r="O197" s="192"/>
      <c r="P197" s="200"/>
      <c r="Q197" s="194"/>
      <c r="R197" s="189"/>
      <c r="S197" s="196"/>
    </row>
    <row r="198" spans="2:20" hidden="1">
      <c r="C198" s="153" t="s">
        <v>219</v>
      </c>
      <c r="D198" s="153">
        <f>ROUNDUP(+E196/1,0)</f>
        <v>100</v>
      </c>
    </row>
    <row r="199" spans="2:20" hidden="1"/>
    <row r="200" spans="2:20" hidden="1">
      <c r="B200" s="204" t="s">
        <v>224</v>
      </c>
      <c r="C200" s="177" t="s">
        <v>225</v>
      </c>
      <c r="E200" s="183">
        <f>(22.38+21.09+22.47+16.84)*1.06418</f>
        <v>88.092820399999994</v>
      </c>
      <c r="G200" s="195">
        <f>+E200*(C95+E95*2+1)</f>
        <v>198.20884589999997</v>
      </c>
      <c r="H200" s="195">
        <f>0.5*L95*M95*D201</f>
        <v>17.82</v>
      </c>
      <c r="I200" s="196">
        <f>+(L95*(C95+2*E95)*D201*E95)</f>
        <v>12.375</v>
      </c>
      <c r="J200" s="196">
        <f>+D201*(L95+M95)*E95*(C95+2*E95)+D201*((L95+M95)*E95*D95)*2</f>
        <v>40.837500000000006</v>
      </c>
      <c r="K200" s="196">
        <f>+(D95+(D95+E95))*E200*2</f>
        <v>286.30166629999997</v>
      </c>
      <c r="L200" s="186">
        <f>+(D201*(L95+M95))/H95+ IF(E200&gt;0,1,0)</f>
        <v>476.20000000000005</v>
      </c>
      <c r="M200" s="197">
        <f>+ROUNDUP(L200,0)</f>
        <v>477</v>
      </c>
      <c r="N200" s="188">
        <f>+(D95+E95-0.08)*2+(C95+E95*2-0.08)</f>
        <v>2.76</v>
      </c>
      <c r="O200" s="186">
        <f>+N200/J95+1</f>
        <v>12.04</v>
      </c>
      <c r="P200" s="197">
        <f>+ROUNDUP(O200,0)</f>
        <v>13</v>
      </c>
      <c r="Q200" s="187">
        <f>+(L95+M95-2*0.04)*D201+(((L95+M95-2*0.04)*D201)/6*50*(I95/1000))</f>
        <v>121.07333333333334</v>
      </c>
      <c r="R200" s="189">
        <f>+N200*M200+P200*Q200</f>
        <v>2890.4733333333334</v>
      </c>
      <c r="S200" s="196">
        <f>((I95*I95)/162)*R200</f>
        <v>1784.2427983539094</v>
      </c>
      <c r="T200" s="153" t="s">
        <v>193</v>
      </c>
    </row>
    <row r="201" spans="2:20" hidden="1">
      <c r="C201" s="153" t="s">
        <v>218</v>
      </c>
      <c r="D201" s="190">
        <f>ROUNDUP(+(E200/SQRT(L95^2+M95^2)),0)</f>
        <v>88</v>
      </c>
      <c r="E201" s="183"/>
      <c r="G201" s="198"/>
      <c r="H201" s="198"/>
      <c r="I201" s="199"/>
      <c r="J201" s="199">
        <f>0.5*(0.075+0.05)*0.075*C95*D201</f>
        <v>0.41249999999999998</v>
      </c>
      <c r="K201" s="199">
        <f>D201*C95*M95</f>
        <v>39.6</v>
      </c>
      <c r="L201" s="192"/>
      <c r="M201" s="197"/>
      <c r="N201" s="193"/>
      <c r="O201" s="192"/>
      <c r="P201" s="200"/>
      <c r="Q201" s="194"/>
      <c r="R201" s="189"/>
      <c r="S201" s="196"/>
    </row>
    <row r="202" spans="2:20" hidden="1">
      <c r="C202" s="153" t="s">
        <v>219</v>
      </c>
      <c r="D202" s="153">
        <f>ROUNDUP(+E200/1,0)</f>
        <v>89</v>
      </c>
    </row>
    <row r="203" spans="2:20" hidden="1">
      <c r="G203" s="205" t="s">
        <v>226</v>
      </c>
      <c r="H203" s="205" t="s">
        <v>227</v>
      </c>
      <c r="I203" s="205" t="s">
        <v>89</v>
      </c>
    </row>
    <row r="205" spans="2:20">
      <c r="B205" s="201"/>
      <c r="E205" s="201"/>
    </row>
    <row r="206" spans="2:20">
      <c r="D206"/>
      <c r="E206"/>
    </row>
    <row r="207" spans="2:20">
      <c r="D207"/>
      <c r="E207"/>
    </row>
    <row r="208" spans="2:20">
      <c r="D208"/>
      <c r="E208"/>
    </row>
    <row r="209" spans="4:5">
      <c r="D209"/>
      <c r="E209"/>
    </row>
    <row r="210" spans="4:5">
      <c r="D210"/>
      <c r="E210"/>
    </row>
    <row r="211" spans="4:5">
      <c r="E211" s="201"/>
    </row>
    <row r="226" spans="2:7">
      <c r="B226" s="201" t="s">
        <v>195</v>
      </c>
    </row>
    <row r="227" spans="2:7" ht="28.8">
      <c r="B227" s="206" t="s">
        <v>228</v>
      </c>
      <c r="C227" s="207"/>
    </row>
    <row r="229" spans="2:7">
      <c r="B229" s="153" t="s">
        <v>229</v>
      </c>
      <c r="C229" s="190"/>
    </row>
    <row r="230" spans="2:7">
      <c r="B230" s="153" t="s">
        <v>230</v>
      </c>
      <c r="C230" s="153">
        <v>0.5</v>
      </c>
    </row>
    <row r="231" spans="2:7">
      <c r="C231" s="190"/>
    </row>
    <row r="232" spans="2:7">
      <c r="B232" s="153" t="s">
        <v>231</v>
      </c>
      <c r="C232" s="153">
        <f>ROUNDUP(C227/C230,0)</f>
        <v>0</v>
      </c>
    </row>
    <row r="235" spans="2:7">
      <c r="B235" s="153" t="s">
        <v>232</v>
      </c>
      <c r="C235" s="153">
        <f>C232*0.16*0.5</f>
        <v>0</v>
      </c>
      <c r="E235" s="201" t="s">
        <v>233</v>
      </c>
    </row>
    <row r="236" spans="2:7">
      <c r="B236" s="153" t="s">
        <v>119</v>
      </c>
      <c r="C236" s="153">
        <f>((0.16*2)+(0.15*0.5*2))*C232</f>
        <v>0</v>
      </c>
    </row>
    <row r="238" spans="2:7">
      <c r="B238" s="153" t="s">
        <v>234</v>
      </c>
      <c r="C238" s="192">
        <v>2.12</v>
      </c>
      <c r="D238" s="208">
        <f>ROUNDUP(0.5/0.125,0)+1</f>
        <v>5</v>
      </c>
      <c r="E238" s="153">
        <f>C232</f>
        <v>0</v>
      </c>
      <c r="F238" s="153">
        <v>1.1000000000000001</v>
      </c>
      <c r="G238" s="153">
        <f>PRODUCT(C238:F238)</f>
        <v>0</v>
      </c>
    </row>
    <row r="239" spans="2:7">
      <c r="C239" s="153">
        <v>0.5</v>
      </c>
      <c r="D239" s="208">
        <f>ROUNDUP(C238/0.2+1,0)</f>
        <v>12</v>
      </c>
      <c r="E239" s="153">
        <f>C232</f>
        <v>0</v>
      </c>
      <c r="F239" s="153">
        <v>1.1000000000000001</v>
      </c>
      <c r="G239" s="153">
        <f>PRODUCT(C239:F239)</f>
        <v>0</v>
      </c>
    </row>
    <row r="241" spans="2:10">
      <c r="G241" s="153">
        <f>SUM(G238:G240)</f>
        <v>0</v>
      </c>
      <c r="H241" s="153">
        <f>ROUND(100/162,3)</f>
        <v>0.61699999999999999</v>
      </c>
      <c r="J241" s="192">
        <f>ROUNDUP(PRODUCT(G241:H241),0)</f>
        <v>0</v>
      </c>
    </row>
    <row r="248" spans="2:10">
      <c r="B248" s="201" t="s">
        <v>235</v>
      </c>
    </row>
    <row r="249" spans="2:10">
      <c r="C249" s="201" t="s">
        <v>226</v>
      </c>
      <c r="D249" s="201" t="s">
        <v>392</v>
      </c>
      <c r="F249" s="201" t="s">
        <v>393</v>
      </c>
    </row>
    <row r="250" spans="2:10">
      <c r="B250" s="201" t="s">
        <v>394</v>
      </c>
      <c r="C250" s="190">
        <f>E106</f>
        <v>90.31</v>
      </c>
      <c r="D250" s="190">
        <f>(C6+E6+E6)</f>
        <v>0.5</v>
      </c>
      <c r="F250" s="153">
        <f>C250*D250</f>
        <v>45.155000000000001</v>
      </c>
      <c r="G250" s="153">
        <v>1.1000000000000001</v>
      </c>
      <c r="H250" s="153">
        <f>F250*G250</f>
        <v>49.670500000000004</v>
      </c>
    </row>
  </sheetData>
  <mergeCells count="10">
    <mergeCell ref="L105:M105"/>
    <mergeCell ref="O105:P105"/>
    <mergeCell ref="H3:J3"/>
    <mergeCell ref="T6:U6"/>
    <mergeCell ref="W7:W17"/>
    <mergeCell ref="W18:W20"/>
    <mergeCell ref="L103:S103"/>
    <mergeCell ref="L104:N104"/>
    <mergeCell ref="O104:Q104"/>
    <mergeCell ref="R104:S104"/>
  </mergeCells>
  <pageMargins left="0.7" right="0.7" top="0.75" bottom="0.75" header="0.3" footer="0.3"/>
  <pageSetup paperSize="9" orientation="portrait" r:id="rId1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FF2D6-D3C5-47C0-89E8-34170221F91B}">
  <dimension ref="A1:L12"/>
  <sheetViews>
    <sheetView workbookViewId="0">
      <selection activeCell="D11" sqref="D11"/>
    </sheetView>
  </sheetViews>
  <sheetFormatPr defaultRowHeight="14.4"/>
  <cols>
    <col min="1" max="1" width="11.44140625" bestFit="1" customWidth="1"/>
    <col min="5" max="5" width="10" bestFit="1" customWidth="1"/>
    <col min="8" max="10" width="12" customWidth="1"/>
    <col min="11" max="11" width="10.44140625" bestFit="1" customWidth="1"/>
  </cols>
  <sheetData>
    <row r="1" spans="1:12">
      <c r="A1" s="563" t="s">
        <v>918</v>
      </c>
    </row>
    <row r="2" spans="1:12">
      <c r="E2" t="s">
        <v>884</v>
      </c>
      <c r="G2" s="538" t="s">
        <v>1</v>
      </c>
      <c r="H2" s="564" t="s">
        <v>405</v>
      </c>
      <c r="I2" s="564" t="s">
        <v>404</v>
      </c>
      <c r="J2" s="564" t="s">
        <v>125</v>
      </c>
      <c r="K2" s="564" t="s">
        <v>409</v>
      </c>
      <c r="L2" s="564" t="s">
        <v>919</v>
      </c>
    </row>
    <row r="3" spans="1:12">
      <c r="A3" t="s">
        <v>248</v>
      </c>
      <c r="B3">
        <f>(40.17+34.39)*1.1</f>
        <v>82.016000000000005</v>
      </c>
    </row>
    <row r="4" spans="1:12">
      <c r="A4" t="s">
        <v>4</v>
      </c>
      <c r="B4">
        <f>(5.87+11.94)*1.1</f>
        <v>19.591000000000001</v>
      </c>
      <c r="E4" t="s">
        <v>577</v>
      </c>
      <c r="G4">
        <v>6.63</v>
      </c>
      <c r="H4">
        <v>10.75</v>
      </c>
      <c r="I4">
        <v>2.15</v>
      </c>
      <c r="J4">
        <v>6.68</v>
      </c>
      <c r="K4">
        <v>6.2</v>
      </c>
      <c r="L4">
        <v>1.55</v>
      </c>
    </row>
    <row r="5" spans="1:12">
      <c r="A5" t="s">
        <v>920</v>
      </c>
      <c r="B5">
        <f>6.68*1.1</f>
        <v>7.3479999999999999</v>
      </c>
      <c r="E5" t="s">
        <v>907</v>
      </c>
      <c r="G5">
        <v>17.100000000000001</v>
      </c>
      <c r="H5">
        <f>(H4+H6)/2</f>
        <v>8.1750000000000007</v>
      </c>
      <c r="I5">
        <f>I4/2</f>
        <v>1.075</v>
      </c>
      <c r="J5">
        <f>(J4+J6)/2</f>
        <v>5.39</v>
      </c>
      <c r="K5">
        <f>(K4+K6)/2</f>
        <v>5.65</v>
      </c>
      <c r="L5">
        <f>(L4+L6)/2</f>
        <v>1.5100000000000002</v>
      </c>
    </row>
    <row r="6" spans="1:12">
      <c r="A6" t="s">
        <v>886</v>
      </c>
      <c r="B6">
        <f>(8.5+8.36+4.28)*1.1</f>
        <v>23.254000000000001</v>
      </c>
      <c r="E6" t="s">
        <v>510</v>
      </c>
      <c r="G6">
        <v>15.38</v>
      </c>
      <c r="H6">
        <v>5.6</v>
      </c>
      <c r="I6">
        <f>I5/2</f>
        <v>0.53749999999999998</v>
      </c>
      <c r="J6">
        <v>4.0999999999999996</v>
      </c>
      <c r="K6">
        <v>5.0999999999999996</v>
      </c>
      <c r="L6">
        <f>0.67+0.8</f>
        <v>1.4700000000000002</v>
      </c>
    </row>
    <row r="7" spans="1:12">
      <c r="A7" t="s">
        <v>921</v>
      </c>
      <c r="B7">
        <f>8.93*1.1</f>
        <v>9.8230000000000004</v>
      </c>
    </row>
    <row r="8" spans="1:12">
      <c r="E8" t="s">
        <v>884</v>
      </c>
      <c r="G8" s="538" t="s">
        <v>1</v>
      </c>
      <c r="H8" s="564" t="s">
        <v>405</v>
      </c>
      <c r="I8" s="564" t="s">
        <v>404</v>
      </c>
      <c r="J8" s="564" t="s">
        <v>125</v>
      </c>
      <c r="K8" s="564" t="s">
        <v>409</v>
      </c>
      <c r="L8" s="564" t="s">
        <v>919</v>
      </c>
    </row>
    <row r="10" spans="1:12">
      <c r="A10" t="s">
        <v>922</v>
      </c>
      <c r="B10">
        <f>37.76+37.92</f>
        <v>75.680000000000007</v>
      </c>
      <c r="E10" t="s">
        <v>908</v>
      </c>
      <c r="G10">
        <v>14</v>
      </c>
      <c r="H10">
        <v>8.43</v>
      </c>
      <c r="I10">
        <v>2</v>
      </c>
      <c r="J10">
        <v>2.2749999999999999</v>
      </c>
      <c r="K10">
        <v>3.95</v>
      </c>
      <c r="L10">
        <v>2.42</v>
      </c>
    </row>
    <row r="11" spans="1:12">
      <c r="E11" t="s">
        <v>909</v>
      </c>
      <c r="G11">
        <v>10.75</v>
      </c>
      <c r="H11">
        <f>(H10+H12)/2</f>
        <v>8.52</v>
      </c>
      <c r="I11">
        <f>(I10+I12)/2</f>
        <v>1.625</v>
      </c>
      <c r="J11">
        <f>(J10+J12)/2</f>
        <v>2.6375000000000002</v>
      </c>
      <c r="K11">
        <f>(K10+K12)/2</f>
        <v>4.91</v>
      </c>
      <c r="L11">
        <f>(L10+L12)/2</f>
        <v>2.06</v>
      </c>
    </row>
    <row r="12" spans="1:12">
      <c r="A12" t="s">
        <v>923</v>
      </c>
      <c r="B12">
        <f>29.1+30.97</f>
        <v>60.07</v>
      </c>
      <c r="E12" t="s">
        <v>506</v>
      </c>
      <c r="G12">
        <v>8.8000000000000007</v>
      </c>
      <c r="H12">
        <v>8.61</v>
      </c>
      <c r="I12">
        <v>1.25</v>
      </c>
      <c r="J12">
        <v>3</v>
      </c>
      <c r="K12">
        <v>5.87</v>
      </c>
      <c r="L12">
        <v>1.7</v>
      </c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A8D20-8A93-4E8B-8929-437EF31D2AF3}">
  <sheetPr>
    <tabColor rgb="FFFFC000"/>
    <pageSetUpPr fitToPage="1"/>
  </sheetPr>
  <dimension ref="A1:J48"/>
  <sheetViews>
    <sheetView tabSelected="1" view="pageBreakPreview" zoomScaleNormal="100" zoomScaleSheetLayoutView="100" workbookViewId="0">
      <selection activeCell="H25" sqref="H1:L1048576"/>
    </sheetView>
  </sheetViews>
  <sheetFormatPr defaultColWidth="9.109375" defaultRowHeight="14.4"/>
  <cols>
    <col min="1" max="1" width="7.6640625" style="455" customWidth="1"/>
    <col min="2" max="2" width="51.6640625" style="426" customWidth="1"/>
    <col min="3" max="4" width="12" style="426" customWidth="1"/>
    <col min="5" max="5" width="16.44140625" style="191" customWidth="1"/>
    <col min="6" max="6" width="22.21875" style="191" customWidth="1"/>
    <col min="7" max="7" width="9.33203125" style="426" bestFit="1" customWidth="1"/>
    <col min="8" max="12" width="0" style="426" hidden="1" customWidth="1"/>
    <col min="13" max="16384" width="9.109375" style="426"/>
  </cols>
  <sheetData>
    <row r="1" spans="1:6" s="424" customFormat="1" ht="25.8" customHeight="1">
      <c r="A1" s="664" t="s">
        <v>1110</v>
      </c>
      <c r="B1" s="665"/>
      <c r="C1" s="835"/>
      <c r="D1" s="835"/>
      <c r="E1" s="835"/>
      <c r="F1" s="836"/>
    </row>
    <row r="2" spans="1:6" ht="13.2">
      <c r="A2" s="666" t="s">
        <v>705</v>
      </c>
      <c r="B2" s="425" t="s">
        <v>8</v>
      </c>
      <c r="C2" s="425" t="s">
        <v>15</v>
      </c>
      <c r="D2" s="425" t="s">
        <v>706</v>
      </c>
      <c r="E2" s="337" t="s">
        <v>17</v>
      </c>
      <c r="F2" s="585" t="s">
        <v>707</v>
      </c>
    </row>
    <row r="3" spans="1:6" ht="20.399999999999999" customHeight="1">
      <c r="A3" s="667">
        <v>7.1</v>
      </c>
      <c r="B3" s="427" t="s">
        <v>708</v>
      </c>
      <c r="C3" s="428"/>
      <c r="D3" s="428"/>
      <c r="E3" s="429"/>
      <c r="F3" s="668"/>
    </row>
    <row r="4" spans="1:6" ht="20.399999999999999" customHeight="1">
      <c r="A4" s="669" t="s">
        <v>1111</v>
      </c>
      <c r="B4" s="431" t="s">
        <v>709</v>
      </c>
      <c r="C4" s="430" t="s">
        <v>710</v>
      </c>
      <c r="D4" s="432">
        <v>150</v>
      </c>
      <c r="E4" s="433"/>
      <c r="F4" s="670"/>
    </row>
    <row r="5" spans="1:6" ht="20.399999999999999" customHeight="1">
      <c r="A5" s="669" t="s">
        <v>1112</v>
      </c>
      <c r="B5" s="434" t="s">
        <v>711</v>
      </c>
      <c r="C5" s="435" t="s">
        <v>710</v>
      </c>
      <c r="D5" s="436">
        <v>300</v>
      </c>
      <c r="E5" s="437"/>
      <c r="F5" s="671"/>
    </row>
    <row r="6" spans="1:6" ht="20.399999999999999" customHeight="1">
      <c r="A6" s="669" t="s">
        <v>1113</v>
      </c>
      <c r="B6" s="434" t="s">
        <v>712</v>
      </c>
      <c r="C6" s="435" t="s">
        <v>710</v>
      </c>
      <c r="D6" s="436">
        <v>100</v>
      </c>
      <c r="E6" s="437"/>
      <c r="F6" s="671"/>
    </row>
    <row r="7" spans="1:6" ht="20.399999999999999" customHeight="1">
      <c r="A7" s="669" t="s">
        <v>1114</v>
      </c>
      <c r="B7" s="434" t="s">
        <v>713</v>
      </c>
      <c r="C7" s="435" t="s">
        <v>710</v>
      </c>
      <c r="D7" s="436">
        <v>100</v>
      </c>
      <c r="E7" s="437"/>
      <c r="F7" s="671"/>
    </row>
    <row r="8" spans="1:6" ht="20.399999999999999" customHeight="1">
      <c r="A8" s="669" t="s">
        <v>1115</v>
      </c>
      <c r="B8" s="434" t="s">
        <v>714</v>
      </c>
      <c r="C8" s="435" t="s">
        <v>710</v>
      </c>
      <c r="D8" s="436">
        <v>100</v>
      </c>
      <c r="E8" s="437"/>
      <c r="F8" s="671"/>
    </row>
    <row r="9" spans="1:6" ht="20.399999999999999" customHeight="1">
      <c r="A9" s="669" t="s">
        <v>1116</v>
      </c>
      <c r="B9" s="434" t="s">
        <v>715</v>
      </c>
      <c r="C9" s="435" t="s">
        <v>710</v>
      </c>
      <c r="D9" s="436">
        <v>100</v>
      </c>
      <c r="E9" s="437"/>
      <c r="F9" s="671"/>
    </row>
    <row r="10" spans="1:6" ht="20.399999999999999" customHeight="1">
      <c r="A10" s="669" t="s">
        <v>1117</v>
      </c>
      <c r="B10" s="434" t="s">
        <v>716</v>
      </c>
      <c r="C10" s="435" t="s">
        <v>710</v>
      </c>
      <c r="D10" s="436">
        <v>100</v>
      </c>
      <c r="E10" s="437"/>
      <c r="F10" s="671"/>
    </row>
    <row r="11" spans="1:6" ht="20.399999999999999" customHeight="1">
      <c r="A11" s="669" t="s">
        <v>1118</v>
      </c>
      <c r="B11" s="434" t="s">
        <v>717</v>
      </c>
      <c r="C11" s="435" t="s">
        <v>710</v>
      </c>
      <c r="D11" s="436">
        <v>100</v>
      </c>
      <c r="E11" s="437"/>
      <c r="F11" s="671"/>
    </row>
    <row r="12" spans="1:6" ht="20.399999999999999" customHeight="1">
      <c r="A12" s="669" t="s">
        <v>1119</v>
      </c>
      <c r="B12" s="438" t="s">
        <v>718</v>
      </c>
      <c r="C12" s="439" t="s">
        <v>710</v>
      </c>
      <c r="D12" s="436">
        <v>100</v>
      </c>
      <c r="E12" s="440"/>
      <c r="F12" s="671"/>
    </row>
    <row r="13" spans="1:6" ht="20.399999999999999" customHeight="1">
      <c r="A13" s="667">
        <v>7.2</v>
      </c>
      <c r="B13" s="427" t="s">
        <v>719</v>
      </c>
      <c r="C13" s="428"/>
      <c r="D13" s="428"/>
      <c r="E13" s="441"/>
      <c r="F13" s="672"/>
    </row>
    <row r="14" spans="1:6" ht="20.399999999999999" customHeight="1">
      <c r="A14" s="669" t="s">
        <v>1120</v>
      </c>
      <c r="B14" s="442" t="s">
        <v>720</v>
      </c>
      <c r="C14" s="443" t="s">
        <v>721</v>
      </c>
      <c r="D14" s="444">
        <v>30</v>
      </c>
      <c r="E14" s="437"/>
      <c r="F14" s="671"/>
    </row>
    <row r="15" spans="1:6" ht="20.399999999999999" customHeight="1">
      <c r="A15" s="669" t="s">
        <v>1121</v>
      </c>
      <c r="B15" s="445" t="s">
        <v>722</v>
      </c>
      <c r="C15" s="446" t="s">
        <v>37</v>
      </c>
      <c r="D15" s="446">
        <v>20</v>
      </c>
      <c r="E15" s="437"/>
      <c r="F15" s="671"/>
    </row>
    <row r="16" spans="1:6" ht="20.399999999999999" customHeight="1">
      <c r="A16" s="669" t="s">
        <v>1122</v>
      </c>
      <c r="B16" s="445" t="s">
        <v>723</v>
      </c>
      <c r="C16" s="446" t="s">
        <v>37</v>
      </c>
      <c r="D16" s="446">
        <v>20</v>
      </c>
      <c r="E16" s="437"/>
      <c r="F16" s="671"/>
    </row>
    <row r="17" spans="1:6" ht="20.399999999999999" customHeight="1">
      <c r="A17" s="669" t="s">
        <v>1123</v>
      </c>
      <c r="B17" s="445" t="s">
        <v>724</v>
      </c>
      <c r="C17" s="446" t="s">
        <v>37</v>
      </c>
      <c r="D17" s="446">
        <v>20</v>
      </c>
      <c r="E17" s="437"/>
      <c r="F17" s="671"/>
    </row>
    <row r="18" spans="1:6" ht="20.399999999999999" customHeight="1">
      <c r="A18" s="669" t="s">
        <v>1124</v>
      </c>
      <c r="B18" s="445" t="s">
        <v>725</v>
      </c>
      <c r="C18" s="446" t="s">
        <v>63</v>
      </c>
      <c r="D18" s="446">
        <v>400</v>
      </c>
      <c r="E18" s="437"/>
      <c r="F18" s="671"/>
    </row>
    <row r="19" spans="1:6" ht="20.399999999999999" customHeight="1">
      <c r="A19" s="669" t="s">
        <v>1125</v>
      </c>
      <c r="B19" s="445" t="s">
        <v>726</v>
      </c>
      <c r="C19" s="446" t="s">
        <v>63</v>
      </c>
      <c r="D19" s="446">
        <v>400</v>
      </c>
      <c r="E19" s="437"/>
      <c r="F19" s="671"/>
    </row>
    <row r="20" spans="1:6" ht="20.399999999999999" customHeight="1">
      <c r="A20" s="669" t="s">
        <v>1126</v>
      </c>
      <c r="B20" s="445" t="s">
        <v>727</v>
      </c>
      <c r="C20" s="446" t="s">
        <v>5</v>
      </c>
      <c r="D20" s="446">
        <v>20</v>
      </c>
      <c r="E20" s="437"/>
      <c r="F20" s="671"/>
    </row>
    <row r="21" spans="1:6" ht="20.399999999999999" customHeight="1">
      <c r="A21" s="669" t="s">
        <v>1127</v>
      </c>
      <c r="B21" s="445" t="s">
        <v>728</v>
      </c>
      <c r="C21" s="446" t="s">
        <v>5</v>
      </c>
      <c r="D21" s="446">
        <v>20</v>
      </c>
      <c r="E21" s="437"/>
      <c r="F21" s="671"/>
    </row>
    <row r="22" spans="1:6" ht="20.399999999999999" customHeight="1">
      <c r="A22" s="669" t="s">
        <v>1128</v>
      </c>
      <c r="B22" s="445" t="s">
        <v>729</v>
      </c>
      <c r="C22" s="446" t="s">
        <v>37</v>
      </c>
      <c r="D22" s="446">
        <v>10</v>
      </c>
      <c r="E22" s="437"/>
      <c r="F22" s="671"/>
    </row>
    <row r="23" spans="1:6" ht="20.399999999999999" customHeight="1">
      <c r="A23" s="669" t="s">
        <v>1129</v>
      </c>
      <c r="B23" s="445" t="s">
        <v>730</v>
      </c>
      <c r="C23" s="446" t="s">
        <v>37</v>
      </c>
      <c r="D23" s="446">
        <v>10</v>
      </c>
      <c r="E23" s="437"/>
      <c r="F23" s="671"/>
    </row>
    <row r="24" spans="1:6" ht="20.399999999999999" customHeight="1">
      <c r="A24" s="669" t="s">
        <v>1130</v>
      </c>
      <c r="B24" s="445" t="s">
        <v>731</v>
      </c>
      <c r="C24" s="446" t="s">
        <v>372</v>
      </c>
      <c r="D24" s="446">
        <v>10</v>
      </c>
      <c r="E24" s="437"/>
      <c r="F24" s="671"/>
    </row>
    <row r="25" spans="1:6" ht="20.399999999999999" customHeight="1">
      <c r="A25" s="669" t="s">
        <v>1131</v>
      </c>
      <c r="B25" s="445" t="s">
        <v>732</v>
      </c>
      <c r="C25" s="446" t="s">
        <v>733</v>
      </c>
      <c r="D25" s="446">
        <v>10</v>
      </c>
      <c r="E25" s="437"/>
      <c r="F25" s="671"/>
    </row>
    <row r="26" spans="1:6" ht="20.399999999999999" customHeight="1">
      <c r="A26" s="669" t="s">
        <v>1132</v>
      </c>
      <c r="B26" s="445" t="s">
        <v>734</v>
      </c>
      <c r="C26" s="446" t="s">
        <v>733</v>
      </c>
      <c r="D26" s="446">
        <v>10</v>
      </c>
      <c r="E26" s="437"/>
      <c r="F26" s="671"/>
    </row>
    <row r="27" spans="1:6" ht="20.399999999999999" customHeight="1">
      <c r="A27" s="669" t="s">
        <v>1133</v>
      </c>
      <c r="B27" s="445" t="s">
        <v>735</v>
      </c>
      <c r="C27" s="446" t="s">
        <v>736</v>
      </c>
      <c r="D27" s="446">
        <v>500</v>
      </c>
      <c r="E27" s="437"/>
      <c r="F27" s="671"/>
    </row>
    <row r="28" spans="1:6" ht="20.399999999999999" customHeight="1">
      <c r="A28" s="669" t="s">
        <v>1134</v>
      </c>
      <c r="B28" s="445" t="s">
        <v>737</v>
      </c>
      <c r="C28" s="446" t="s">
        <v>736</v>
      </c>
      <c r="D28" s="446">
        <v>500</v>
      </c>
      <c r="E28" s="437"/>
      <c r="F28" s="671"/>
    </row>
    <row r="29" spans="1:6" ht="20.399999999999999" customHeight="1">
      <c r="A29" s="669" t="s">
        <v>1135</v>
      </c>
      <c r="B29" s="445" t="s">
        <v>738</v>
      </c>
      <c r="C29" s="446" t="s">
        <v>736</v>
      </c>
      <c r="D29" s="446">
        <v>500</v>
      </c>
      <c r="E29" s="437"/>
      <c r="F29" s="671"/>
    </row>
    <row r="30" spans="1:6" ht="20.399999999999999" customHeight="1">
      <c r="A30" s="669" t="s">
        <v>1136</v>
      </c>
      <c r="B30" s="445" t="s">
        <v>739</v>
      </c>
      <c r="C30" s="446" t="s">
        <v>37</v>
      </c>
      <c r="D30" s="446">
        <v>200</v>
      </c>
      <c r="E30" s="437"/>
      <c r="F30" s="671"/>
    </row>
    <row r="31" spans="1:6" ht="20.399999999999999" customHeight="1">
      <c r="A31" s="676" t="s">
        <v>1137</v>
      </c>
      <c r="B31" s="677" t="s">
        <v>740</v>
      </c>
      <c r="C31" s="678" t="s">
        <v>37</v>
      </c>
      <c r="D31" s="679">
        <v>20</v>
      </c>
      <c r="E31" s="680"/>
      <c r="F31" s="681"/>
    </row>
    <row r="32" spans="1:6" ht="20.399999999999999" customHeight="1">
      <c r="A32" s="667">
        <v>7.3</v>
      </c>
      <c r="B32" s="427" t="s">
        <v>741</v>
      </c>
      <c r="C32" s="428"/>
      <c r="D32" s="428"/>
      <c r="E32" s="441"/>
      <c r="F32" s="672"/>
    </row>
    <row r="33" spans="1:10" ht="20.399999999999999" customHeight="1">
      <c r="A33" s="669" t="s">
        <v>1138</v>
      </c>
      <c r="B33" s="442" t="s">
        <v>742</v>
      </c>
      <c r="C33" s="430" t="s">
        <v>710</v>
      </c>
      <c r="D33" s="447">
        <v>30</v>
      </c>
      <c r="E33" s="437"/>
      <c r="F33" s="671"/>
    </row>
    <row r="34" spans="1:10" ht="20.399999999999999" customHeight="1">
      <c r="A34" s="669" t="s">
        <v>1139</v>
      </c>
      <c r="B34" s="445" t="s">
        <v>743</v>
      </c>
      <c r="C34" s="435" t="s">
        <v>744</v>
      </c>
      <c r="D34" s="447">
        <v>50</v>
      </c>
      <c r="E34" s="437"/>
      <c r="F34" s="671"/>
      <c r="J34" s="448" t="s">
        <v>745</v>
      </c>
    </row>
    <row r="35" spans="1:10" ht="20.399999999999999" customHeight="1">
      <c r="A35" s="669" t="s">
        <v>1140</v>
      </c>
      <c r="B35" s="445" t="s">
        <v>746</v>
      </c>
      <c r="C35" s="435" t="s">
        <v>710</v>
      </c>
      <c r="D35" s="447">
        <v>50</v>
      </c>
      <c r="E35" s="437"/>
      <c r="F35" s="671"/>
    </row>
    <row r="36" spans="1:10" ht="20.399999999999999" customHeight="1">
      <c r="A36" s="669" t="s">
        <v>1141</v>
      </c>
      <c r="B36" s="445" t="s">
        <v>747</v>
      </c>
      <c r="C36" s="435" t="s">
        <v>710</v>
      </c>
      <c r="D36" s="447">
        <v>30</v>
      </c>
      <c r="E36" s="437"/>
      <c r="F36" s="671"/>
      <c r="H36" s="426">
        <v>1250</v>
      </c>
      <c r="I36" s="426">
        <v>1.25</v>
      </c>
      <c r="J36" s="426">
        <f>+H36*1.25</f>
        <v>1562.5</v>
      </c>
    </row>
    <row r="37" spans="1:10" ht="20.399999999999999" customHeight="1">
      <c r="A37" s="669" t="s">
        <v>1142</v>
      </c>
      <c r="B37" s="449" t="s">
        <v>748</v>
      </c>
      <c r="C37" s="450" t="s">
        <v>710</v>
      </c>
      <c r="D37" s="447">
        <v>30</v>
      </c>
      <c r="E37" s="451"/>
      <c r="F37" s="671"/>
      <c r="H37" s="426">
        <v>5000</v>
      </c>
      <c r="J37" s="426">
        <f t="shared" ref="J37:J38" si="0">+H37*1.25</f>
        <v>6250</v>
      </c>
    </row>
    <row r="38" spans="1:10" ht="20.399999999999999" customHeight="1">
      <c r="A38" s="669" t="s">
        <v>1143</v>
      </c>
      <c r="B38" s="449" t="s">
        <v>749</v>
      </c>
      <c r="C38" s="450" t="s">
        <v>710</v>
      </c>
      <c r="D38" s="447">
        <v>30</v>
      </c>
      <c r="E38" s="451"/>
      <c r="F38" s="671"/>
      <c r="H38" s="426">
        <v>1850</v>
      </c>
      <c r="J38" s="426">
        <f t="shared" si="0"/>
        <v>2312.5</v>
      </c>
    </row>
    <row r="39" spans="1:10" ht="20.399999999999999" customHeight="1">
      <c r="A39" s="669" t="s">
        <v>1144</v>
      </c>
      <c r="B39" s="449" t="s">
        <v>750</v>
      </c>
      <c r="C39" s="450" t="s">
        <v>710</v>
      </c>
      <c r="D39" s="447">
        <v>30</v>
      </c>
      <c r="E39" s="451"/>
      <c r="F39" s="671"/>
    </row>
    <row r="40" spans="1:10" ht="20.399999999999999" customHeight="1">
      <c r="A40" s="669" t="s">
        <v>1145</v>
      </c>
      <c r="B40" s="452" t="s">
        <v>751</v>
      </c>
      <c r="C40" s="453" t="s">
        <v>710</v>
      </c>
      <c r="D40" s="447">
        <v>30</v>
      </c>
      <c r="E40" s="454"/>
      <c r="F40" s="671"/>
    </row>
    <row r="41" spans="1:10" ht="20.399999999999999" customHeight="1">
      <c r="A41" s="669" t="s">
        <v>1146</v>
      </c>
      <c r="B41" s="452" t="s">
        <v>752</v>
      </c>
      <c r="C41" s="453" t="s">
        <v>710</v>
      </c>
      <c r="D41" s="447">
        <v>15</v>
      </c>
      <c r="E41" s="454"/>
      <c r="F41" s="671"/>
    </row>
    <row r="42" spans="1:10" ht="20.399999999999999" customHeight="1">
      <c r="A42" s="669" t="s">
        <v>1147</v>
      </c>
      <c r="B42" s="452" t="s">
        <v>753</v>
      </c>
      <c r="C42" s="453" t="s">
        <v>710</v>
      </c>
      <c r="D42" s="447">
        <v>60</v>
      </c>
      <c r="E42" s="454"/>
      <c r="F42" s="671"/>
    </row>
    <row r="43" spans="1:10" ht="20.399999999999999" customHeight="1">
      <c r="A43" s="669" t="s">
        <v>1148</v>
      </c>
      <c r="B43" s="452" t="s">
        <v>754</v>
      </c>
      <c r="C43" s="453" t="s">
        <v>755</v>
      </c>
      <c r="D43" s="447">
        <v>10</v>
      </c>
      <c r="E43" s="454"/>
      <c r="F43" s="671"/>
    </row>
    <row r="44" spans="1:10" ht="20.399999999999999" customHeight="1">
      <c r="A44" s="669" t="s">
        <v>1149</v>
      </c>
      <c r="B44" s="452" t="s">
        <v>756</v>
      </c>
      <c r="C44" s="453" t="s">
        <v>755</v>
      </c>
      <c r="D44" s="447">
        <v>10</v>
      </c>
      <c r="E44" s="454"/>
      <c r="F44" s="671"/>
    </row>
    <row r="45" spans="1:10" ht="20.399999999999999" customHeight="1">
      <c r="A45" s="669" t="s">
        <v>1150</v>
      </c>
      <c r="B45" s="452" t="s">
        <v>757</v>
      </c>
      <c r="C45" s="453" t="s">
        <v>710</v>
      </c>
      <c r="D45" s="447">
        <v>40</v>
      </c>
      <c r="E45" s="454"/>
      <c r="F45" s="671"/>
    </row>
    <row r="46" spans="1:10" ht="20.399999999999999" customHeight="1">
      <c r="A46" s="669" t="s">
        <v>1151</v>
      </c>
      <c r="B46" s="452" t="s">
        <v>758</v>
      </c>
      <c r="C46" s="453" t="s">
        <v>710</v>
      </c>
      <c r="D46" s="447">
        <v>40</v>
      </c>
      <c r="E46" s="454"/>
      <c r="F46" s="671"/>
    </row>
    <row r="47" spans="1:10" ht="20.399999999999999" customHeight="1">
      <c r="A47" s="669" t="s">
        <v>1152</v>
      </c>
      <c r="B47" s="452" t="s">
        <v>759</v>
      </c>
      <c r="C47" s="453" t="s">
        <v>755</v>
      </c>
      <c r="D47" s="447">
        <v>40</v>
      </c>
      <c r="E47" s="454"/>
      <c r="F47" s="671"/>
    </row>
    <row r="48" spans="1:10" ht="18.600000000000001" customHeight="1" thickBot="1">
      <c r="A48" s="673"/>
      <c r="B48" s="837" t="s">
        <v>1153</v>
      </c>
      <c r="C48" s="838"/>
      <c r="D48" s="838"/>
      <c r="E48" s="838"/>
      <c r="F48" s="674"/>
    </row>
  </sheetData>
  <mergeCells count="2">
    <mergeCell ref="C1:F1"/>
    <mergeCell ref="B48:E48"/>
  </mergeCells>
  <phoneticPr fontId="32" type="noConversion"/>
  <printOptions horizontalCentered="1"/>
  <pageMargins left="0.75" right="0.4" top="0.75" bottom="0.5" header="0" footer="0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EC4FB-A326-4B6F-B13F-8D6333E15C09}">
  <dimension ref="A1:O11"/>
  <sheetViews>
    <sheetView workbookViewId="0">
      <selection activeCell="I8" sqref="I8"/>
    </sheetView>
  </sheetViews>
  <sheetFormatPr defaultColWidth="9.109375" defaultRowHeight="14.4"/>
  <cols>
    <col min="1" max="1" width="17" style="1" bestFit="1" customWidth="1"/>
    <col min="2" max="2" width="9.109375" style="1"/>
    <col min="3" max="3" width="9.5546875" style="1" bestFit="1" customWidth="1"/>
    <col min="4" max="5" width="9.109375" style="1"/>
    <col min="6" max="6" width="13.44140625" style="1" bestFit="1" customWidth="1"/>
    <col min="7" max="8" width="9.109375" style="1"/>
    <col min="9" max="9" width="11.6640625" style="1" bestFit="1" customWidth="1"/>
    <col min="10" max="10" width="15.5546875" style="1" bestFit="1" customWidth="1"/>
    <col min="11" max="11" width="17.88671875" style="1" bestFit="1" customWidth="1"/>
    <col min="12" max="12" width="11.5546875" style="1" bestFit="1" customWidth="1"/>
    <col min="13" max="14" width="9.109375" style="1"/>
    <col min="15" max="15" width="11.5546875" style="1" bestFit="1" customWidth="1"/>
    <col min="16" max="16384" width="9.109375" style="1"/>
  </cols>
  <sheetData>
    <row r="1" spans="1:15">
      <c r="A1" s="1" t="s">
        <v>247</v>
      </c>
    </row>
    <row r="3" spans="1:15">
      <c r="A3" s="2" t="s">
        <v>0</v>
      </c>
      <c r="B3" s="2"/>
      <c r="C3" s="2" t="s">
        <v>1</v>
      </c>
      <c r="D3" s="2"/>
      <c r="E3" s="2"/>
      <c r="F3" s="2"/>
      <c r="G3" s="2"/>
      <c r="H3" s="2"/>
      <c r="I3" s="3"/>
      <c r="M3" s="2"/>
      <c r="N3" s="2"/>
      <c r="O3" s="2"/>
    </row>
    <row r="5" spans="1:15">
      <c r="A5" s="1" t="s">
        <v>248</v>
      </c>
      <c r="C5" s="1">
        <v>106</v>
      </c>
    </row>
    <row r="6" spans="1:15">
      <c r="A6" s="1" t="s">
        <v>3</v>
      </c>
      <c r="C6" s="1">
        <v>71.66</v>
      </c>
    </row>
    <row r="7" spans="1:15">
      <c r="A7" s="1" t="s">
        <v>4</v>
      </c>
      <c r="C7" s="1">
        <v>84.71</v>
      </c>
    </row>
    <row r="8" spans="1:15">
      <c r="A8" s="1" t="s">
        <v>2</v>
      </c>
      <c r="C8" s="1">
        <v>210.47</v>
      </c>
    </row>
    <row r="10" spans="1:15">
      <c r="F10" s="2"/>
      <c r="G10" s="2"/>
      <c r="H10" s="2"/>
      <c r="J10" s="4"/>
      <c r="K10" s="5"/>
    </row>
    <row r="11" spans="1:15">
      <c r="A11" s="1" t="s">
        <v>249</v>
      </c>
      <c r="C11" s="1">
        <f>51.91+31.12</f>
        <v>83.03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05CAC-05BC-4FA4-B97F-E011F5E906DA}">
  <sheetPr>
    <tabColor rgb="FF002060"/>
    <pageSetUpPr fitToPage="1"/>
  </sheetPr>
  <dimension ref="A1:M36"/>
  <sheetViews>
    <sheetView showGridLines="0" view="pageBreakPreview" zoomScaleNormal="100" zoomScaleSheetLayoutView="100" workbookViewId="0">
      <selection activeCell="F32" sqref="F32"/>
    </sheetView>
  </sheetViews>
  <sheetFormatPr defaultColWidth="9.109375" defaultRowHeight="13.2"/>
  <cols>
    <col min="1" max="1" width="5.6640625" style="21" customWidth="1"/>
    <col min="2" max="2" width="40.6640625" style="22" customWidth="1"/>
    <col min="3" max="3" width="6.6640625" style="21" customWidth="1"/>
    <col min="4" max="4" width="8.6640625" style="23" customWidth="1"/>
    <col min="5" max="5" width="13.33203125" style="24" customWidth="1"/>
    <col min="6" max="6" width="33" style="24" customWidth="1"/>
    <col min="7" max="7" width="1.6640625" style="22" customWidth="1"/>
    <col min="8" max="8" width="17.5546875" style="25" customWidth="1"/>
    <col min="9" max="9" width="13.44140625" style="26" bestFit="1" customWidth="1"/>
    <col min="10" max="10" width="11.6640625" style="25" bestFit="1" customWidth="1"/>
    <col min="11" max="11" width="12.44140625" style="22" bestFit="1" customWidth="1"/>
    <col min="12" max="12" width="13.5546875" style="22" customWidth="1"/>
    <col min="13" max="13" width="14.109375" style="22" customWidth="1"/>
    <col min="14" max="16384" width="9.109375" style="22"/>
  </cols>
  <sheetData>
    <row r="1" spans="1:13" customFormat="1" ht="15.6">
      <c r="A1" s="772" t="s">
        <v>932</v>
      </c>
      <c r="B1" s="773"/>
      <c r="C1" s="773"/>
      <c r="D1" s="773"/>
      <c r="E1" s="773"/>
      <c r="F1" s="774"/>
    </row>
    <row r="2" spans="1:13" customFormat="1" ht="61.8" customHeight="1" thickBot="1">
      <c r="A2" s="718" t="s">
        <v>1154</v>
      </c>
      <c r="B2" s="775"/>
      <c r="C2" s="775"/>
      <c r="D2" s="775"/>
      <c r="E2" s="775"/>
      <c r="F2" s="720"/>
    </row>
    <row r="3" spans="1:13" customFormat="1" ht="15" thickBot="1">
      <c r="A3" s="636"/>
      <c r="B3" s="6" t="s">
        <v>8</v>
      </c>
      <c r="C3" s="6"/>
      <c r="D3" s="7"/>
      <c r="E3" s="8"/>
      <c r="F3" s="637" t="s">
        <v>9</v>
      </c>
    </row>
    <row r="4" spans="1:13" s="11" customFormat="1" ht="24.9" customHeight="1">
      <c r="A4" s="9"/>
      <c r="B4" s="721" t="s">
        <v>269</v>
      </c>
      <c r="C4" s="721"/>
      <c r="D4" s="721"/>
      <c r="E4" s="722"/>
      <c r="F4" s="10"/>
      <c r="H4" s="12"/>
      <c r="I4" s="13"/>
      <c r="J4" s="12"/>
      <c r="L4" s="14"/>
    </row>
    <row r="5" spans="1:13" s="11" customFormat="1" ht="17.399999999999999" customHeight="1">
      <c r="A5" s="9"/>
      <c r="B5" s="776" t="s">
        <v>939</v>
      </c>
      <c r="C5" s="776"/>
      <c r="D5" s="776"/>
      <c r="E5" s="777"/>
      <c r="F5" s="10"/>
      <c r="H5" s="12"/>
      <c r="I5" s="13"/>
      <c r="J5" s="12"/>
      <c r="L5" s="14"/>
    </row>
    <row r="6" spans="1:13" s="11" customFormat="1" ht="24.9" customHeight="1">
      <c r="A6" s="9"/>
      <c r="B6" s="776" t="s">
        <v>292</v>
      </c>
      <c r="C6" s="776"/>
      <c r="D6" s="776"/>
      <c r="E6" s="777"/>
      <c r="F6" s="10"/>
      <c r="H6" s="12"/>
      <c r="I6" s="13"/>
      <c r="J6" s="12"/>
      <c r="L6" s="14"/>
    </row>
    <row r="7" spans="1:13" s="11" customFormat="1" ht="20.399999999999999" customHeight="1" thickBot="1">
      <c r="A7" s="9"/>
      <c r="B7" s="593" t="str">
        <f>'Bill 2.4'!A1</f>
        <v>BILL No. 2.4 - SOIL NAILING, HORIZONTAL DRAINS AND VEGETATION</v>
      </c>
      <c r="C7" s="593"/>
      <c r="D7" s="593"/>
      <c r="E7" s="593"/>
      <c r="F7" s="10"/>
      <c r="H7" s="12"/>
      <c r="I7" s="13"/>
      <c r="J7" s="12"/>
      <c r="L7" s="14"/>
    </row>
    <row r="8" spans="1:13" s="11" customFormat="1" ht="24.9" customHeight="1" thickBot="1">
      <c r="A8" s="15"/>
      <c r="B8" s="723" t="s">
        <v>12</v>
      </c>
      <c r="C8" s="723"/>
      <c r="D8" s="723"/>
      <c r="E8" s="724"/>
      <c r="F8" s="16"/>
      <c r="H8" s="12"/>
      <c r="I8" s="17"/>
      <c r="J8" s="12"/>
      <c r="K8" s="14"/>
      <c r="M8" s="12"/>
    </row>
    <row r="9" spans="1:13" s="11" customFormat="1">
      <c r="A9" s="18"/>
      <c r="C9" s="18"/>
      <c r="D9" s="19"/>
      <c r="E9" s="20"/>
      <c r="F9" s="20"/>
      <c r="H9" s="12"/>
      <c r="I9" s="13"/>
      <c r="J9" s="12"/>
    </row>
    <row r="10" spans="1:13" s="11" customFormat="1">
      <c r="A10" s="18"/>
      <c r="C10" s="18"/>
      <c r="D10" s="19"/>
      <c r="E10" s="20"/>
      <c r="F10" s="20"/>
      <c r="H10" s="12"/>
      <c r="I10" s="13"/>
      <c r="J10" s="12"/>
    </row>
    <row r="11" spans="1:13" s="11" customFormat="1" ht="38.4" customHeight="1">
      <c r="A11" s="18"/>
      <c r="C11" s="18"/>
      <c r="D11" s="19"/>
      <c r="E11" s="20"/>
      <c r="F11" s="20"/>
      <c r="H11" s="12"/>
      <c r="I11" s="13"/>
      <c r="J11" s="12"/>
    </row>
    <row r="12" spans="1:13" s="11" customFormat="1" ht="38.4" customHeight="1">
      <c r="A12" s="18"/>
      <c r="C12" s="18"/>
      <c r="D12" s="19"/>
      <c r="E12" s="20"/>
      <c r="F12" s="20"/>
      <c r="H12" s="12"/>
      <c r="I12" s="13"/>
      <c r="J12" s="12"/>
    </row>
    <row r="13" spans="1:13" s="11" customFormat="1" ht="38.4" customHeight="1">
      <c r="A13" s="18"/>
      <c r="C13" s="18"/>
      <c r="D13" s="19"/>
      <c r="E13" s="20"/>
      <c r="F13" s="20"/>
      <c r="H13" s="12"/>
      <c r="I13" s="13"/>
      <c r="J13" s="12"/>
    </row>
    <row r="14" spans="1:13" s="11" customFormat="1" ht="38.4" customHeight="1">
      <c r="A14" s="18"/>
      <c r="C14" s="18"/>
      <c r="D14" s="19"/>
      <c r="E14" s="20"/>
      <c r="F14" s="20"/>
      <c r="H14" s="12"/>
      <c r="I14" s="13"/>
      <c r="J14" s="12"/>
    </row>
    <row r="15" spans="1:13" s="11" customFormat="1" ht="38.4" customHeight="1">
      <c r="A15" s="18"/>
      <c r="C15" s="18"/>
      <c r="D15" s="19"/>
      <c r="E15" s="20"/>
      <c r="F15" s="20"/>
      <c r="H15" s="12"/>
      <c r="I15" s="13"/>
      <c r="J15" s="12"/>
    </row>
    <row r="16" spans="1:13" s="11" customFormat="1" ht="38.4" customHeight="1">
      <c r="A16" s="18"/>
      <c r="C16" s="18"/>
      <c r="D16" s="19"/>
      <c r="E16" s="20"/>
      <c r="F16" s="20"/>
      <c r="H16" s="12"/>
      <c r="I16" s="13"/>
      <c r="J16" s="12"/>
    </row>
    <row r="17" spans="1:10" s="11" customFormat="1" ht="38.4" customHeight="1">
      <c r="A17" s="18"/>
      <c r="C17" s="18"/>
      <c r="D17" s="19"/>
      <c r="E17" s="20"/>
      <c r="F17" s="20"/>
      <c r="H17" s="12"/>
      <c r="I17" s="13"/>
      <c r="J17" s="12"/>
    </row>
    <row r="18" spans="1:10" s="11" customFormat="1" ht="38.4" customHeight="1">
      <c r="A18" s="18"/>
      <c r="C18" s="18"/>
      <c r="D18" s="19"/>
      <c r="E18" s="20"/>
      <c r="F18" s="20"/>
      <c r="H18" s="12"/>
      <c r="I18" s="13"/>
      <c r="J18" s="12"/>
    </row>
    <row r="19" spans="1:10" s="11" customFormat="1" ht="38.4" customHeight="1">
      <c r="A19" s="18"/>
      <c r="C19" s="18"/>
      <c r="D19" s="19"/>
      <c r="E19" s="20"/>
      <c r="F19" s="20"/>
      <c r="H19" s="12"/>
      <c r="I19" s="13"/>
      <c r="J19" s="12"/>
    </row>
    <row r="20" spans="1:10" s="11" customFormat="1" ht="38.4" customHeight="1">
      <c r="A20" s="18"/>
      <c r="C20" s="18"/>
      <c r="D20" s="19"/>
      <c r="E20" s="20"/>
      <c r="F20" s="20"/>
      <c r="H20" s="12"/>
      <c r="I20" s="13"/>
      <c r="J20" s="12"/>
    </row>
    <row r="21" spans="1:10" s="11" customFormat="1" ht="34.799999999999997" customHeight="1">
      <c r="A21" s="18"/>
      <c r="C21" s="18"/>
      <c r="D21" s="19"/>
      <c r="E21" s="20"/>
      <c r="F21" s="20"/>
      <c r="H21" s="12"/>
      <c r="I21" s="13"/>
      <c r="J21" s="12"/>
    </row>
    <row r="22" spans="1:10" s="11" customFormat="1" ht="34.799999999999997" customHeight="1">
      <c r="A22" s="18"/>
      <c r="C22" s="18"/>
      <c r="D22" s="19"/>
      <c r="E22" s="20"/>
      <c r="F22" s="20"/>
      <c r="H22" s="12"/>
      <c r="I22" s="13"/>
      <c r="J22" s="12"/>
    </row>
    <row r="23" spans="1:10" s="11" customFormat="1" ht="34.799999999999997" customHeight="1">
      <c r="A23" s="18"/>
      <c r="C23" s="18"/>
      <c r="D23" s="19"/>
      <c r="E23" s="20"/>
      <c r="F23" s="20"/>
      <c r="H23" s="12"/>
      <c r="I23" s="13"/>
      <c r="J23" s="12"/>
    </row>
    <row r="24" spans="1:10" s="11" customFormat="1" ht="34.799999999999997" customHeight="1">
      <c r="A24" s="18"/>
      <c r="C24" s="18"/>
      <c r="D24" s="19"/>
      <c r="E24" s="20"/>
      <c r="F24" s="20"/>
      <c r="H24" s="12"/>
      <c r="I24" s="13"/>
      <c r="J24" s="12"/>
    </row>
    <row r="25" spans="1:10" s="11" customFormat="1" ht="34.799999999999997" customHeight="1">
      <c r="A25" s="18"/>
      <c r="C25" s="18"/>
      <c r="D25" s="19"/>
      <c r="E25" s="20"/>
      <c r="F25" s="20"/>
      <c r="H25" s="12"/>
      <c r="I25" s="13"/>
      <c r="J25" s="12"/>
    </row>
    <row r="26" spans="1:10" s="11" customFormat="1" ht="34.799999999999997" customHeight="1">
      <c r="A26" s="18"/>
      <c r="C26" s="18"/>
      <c r="D26" s="19"/>
      <c r="E26" s="20"/>
      <c r="F26" s="20"/>
      <c r="H26" s="12"/>
      <c r="I26" s="13"/>
      <c r="J26" s="12"/>
    </row>
    <row r="27" spans="1:10" s="11" customFormat="1">
      <c r="A27" s="18"/>
      <c r="C27" s="18"/>
      <c r="D27" s="19"/>
      <c r="E27" s="20"/>
      <c r="F27" s="20"/>
      <c r="H27" s="12"/>
      <c r="I27" s="13"/>
      <c r="J27" s="12"/>
    </row>
    <row r="28" spans="1:10" s="11" customFormat="1">
      <c r="A28" s="18"/>
      <c r="C28" s="18"/>
      <c r="D28" s="19"/>
      <c r="E28" s="20"/>
      <c r="F28" s="20"/>
      <c r="H28" s="12"/>
      <c r="I28" s="13"/>
      <c r="J28" s="12"/>
    </row>
    <row r="29" spans="1:10" s="11" customFormat="1">
      <c r="A29" s="18"/>
      <c r="C29" s="18"/>
      <c r="D29" s="19"/>
      <c r="E29" s="20"/>
      <c r="F29" s="20"/>
      <c r="H29" s="12"/>
      <c r="I29" s="13"/>
      <c r="J29" s="12"/>
    </row>
    <row r="30" spans="1:10" s="11" customFormat="1">
      <c r="A30" s="18"/>
      <c r="C30" s="18"/>
      <c r="D30" s="19"/>
      <c r="E30" s="20"/>
      <c r="F30" s="20"/>
      <c r="H30" s="12"/>
      <c r="I30" s="13"/>
      <c r="J30" s="12"/>
    </row>
    <row r="31" spans="1:10" s="11" customFormat="1">
      <c r="A31" s="18"/>
      <c r="C31" s="18"/>
      <c r="D31" s="19"/>
      <c r="E31" s="20"/>
      <c r="F31" s="20"/>
      <c r="H31" s="12"/>
      <c r="I31" s="13"/>
      <c r="J31" s="12"/>
    </row>
    <row r="32" spans="1:10" s="11" customFormat="1">
      <c r="A32" s="18"/>
      <c r="C32" s="18"/>
      <c r="D32" s="19"/>
      <c r="E32" s="20"/>
      <c r="F32" s="20"/>
      <c r="H32" s="12"/>
      <c r="I32" s="13"/>
      <c r="J32" s="12"/>
    </row>
    <row r="33" spans="1:10" s="11" customFormat="1">
      <c r="A33" s="18"/>
      <c r="C33" s="18"/>
      <c r="D33" s="19"/>
      <c r="E33" s="20"/>
      <c r="F33" s="20"/>
      <c r="H33" s="12"/>
      <c r="I33" s="13"/>
      <c r="J33" s="12"/>
    </row>
    <row r="34" spans="1:10" s="11" customFormat="1">
      <c r="A34" s="18"/>
      <c r="C34" s="18"/>
      <c r="D34" s="19"/>
      <c r="E34" s="20"/>
      <c r="F34" s="20"/>
      <c r="H34" s="12"/>
      <c r="I34" s="13"/>
      <c r="J34" s="12"/>
    </row>
    <row r="35" spans="1:10" s="11" customFormat="1">
      <c r="A35" s="18"/>
      <c r="C35" s="18"/>
      <c r="D35" s="19"/>
      <c r="E35" s="20"/>
      <c r="F35" s="20"/>
      <c r="H35" s="12"/>
      <c r="I35" s="13"/>
      <c r="J35" s="12"/>
    </row>
    <row r="36" spans="1:10" s="11" customFormat="1">
      <c r="A36" s="18"/>
      <c r="C36" s="18"/>
      <c r="D36" s="19"/>
      <c r="E36" s="20"/>
      <c r="F36" s="20"/>
      <c r="H36" s="12"/>
      <c r="I36" s="13"/>
      <c r="J36" s="12"/>
    </row>
  </sheetData>
  <mergeCells count="6">
    <mergeCell ref="B8:E8"/>
    <mergeCell ref="A1:F1"/>
    <mergeCell ref="A2:F2"/>
    <mergeCell ref="B4:E4"/>
    <mergeCell ref="B5:E5"/>
    <mergeCell ref="B6:E6"/>
  </mergeCells>
  <printOptions horizontalCentered="1"/>
  <pageMargins left="0.75" right="0.4" top="0.75" bottom="0.5" header="0" footer="0"/>
  <pageSetup paperSize="9" scale="8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237C7-742E-4325-989D-06F95350220B}">
  <sheetPr>
    <tabColor rgb="FFFF9933"/>
    <pageSetUpPr fitToPage="1"/>
  </sheetPr>
  <dimension ref="A1:O26"/>
  <sheetViews>
    <sheetView view="pageBreakPreview" topLeftCell="A16" zoomScaleNormal="100" zoomScaleSheetLayoutView="100" workbookViewId="0">
      <selection activeCell="I1" sqref="I1:M1048576"/>
    </sheetView>
  </sheetViews>
  <sheetFormatPr defaultColWidth="9.109375" defaultRowHeight="13.2"/>
  <cols>
    <col min="1" max="1" width="7.6640625" style="31" customWidth="1"/>
    <col min="2" max="2" width="9.6640625" style="31" customWidth="1"/>
    <col min="3" max="3" width="50.6640625" style="31" customWidth="1"/>
    <col min="4" max="4" width="7.6640625" style="31" customWidth="1"/>
    <col min="5" max="5" width="8.6640625" style="567" customWidth="1"/>
    <col min="6" max="6" width="10.6640625" style="31" customWidth="1"/>
    <col min="7" max="7" width="17.6640625" style="31" customWidth="1"/>
    <col min="8" max="8" width="9.109375" style="31"/>
    <col min="9" max="13" width="0" style="31" hidden="1" customWidth="1"/>
    <col min="14" max="16384" width="9.109375" style="31"/>
  </cols>
  <sheetData>
    <row r="1" spans="1:15" s="27" customFormat="1" ht="74.400000000000006" customHeight="1" thickBot="1">
      <c r="A1" s="778" t="s">
        <v>269</v>
      </c>
      <c r="B1" s="779"/>
      <c r="C1" s="779"/>
      <c r="D1" s="780" t="str">
        <f>'Bill No. 2'!A2</f>
        <v xml:space="preserve">BILL NO. 02 -
 REDUCTION OF LANDSLIDE VULNERABILITY  BY MITIGATION MEASURES
BETWEEN 18/3 ~ 18/4 CULVERT ON PELAWATTA NELUWA ROAD (B363)(SITE NO. 80)
</v>
      </c>
      <c r="E1" s="780"/>
      <c r="F1" s="780"/>
      <c r="G1" s="781"/>
    </row>
    <row r="2" spans="1:15" ht="25.5" customHeight="1">
      <c r="A2" s="620" t="s">
        <v>13</v>
      </c>
      <c r="B2" s="28" t="s">
        <v>14</v>
      </c>
      <c r="C2" s="29" t="s">
        <v>8</v>
      </c>
      <c r="D2" s="28" t="s">
        <v>15</v>
      </c>
      <c r="E2" s="565" t="s">
        <v>16</v>
      </c>
      <c r="F2" s="30" t="s">
        <v>17</v>
      </c>
      <c r="G2" s="621" t="s">
        <v>18</v>
      </c>
      <c r="J2" s="782" t="s">
        <v>315</v>
      </c>
    </row>
    <row r="3" spans="1:15" ht="30" customHeight="1">
      <c r="A3" s="622" t="s">
        <v>270</v>
      </c>
      <c r="B3" s="32"/>
      <c r="C3" s="218" t="s">
        <v>20</v>
      </c>
      <c r="D3" s="32"/>
      <c r="E3" s="568"/>
      <c r="F3" s="32"/>
      <c r="G3" s="623"/>
      <c r="I3" s="219" t="s">
        <v>0</v>
      </c>
      <c r="J3" s="782"/>
      <c r="K3" s="246"/>
    </row>
    <row r="4" spans="1:15" ht="41.4" customHeight="1">
      <c r="A4" s="624" t="s">
        <v>271</v>
      </c>
      <c r="B4" s="33" t="s">
        <v>22</v>
      </c>
      <c r="C4" s="34" t="s">
        <v>316</v>
      </c>
      <c r="D4" s="33" t="s">
        <v>24</v>
      </c>
      <c r="E4" s="234">
        <v>2970</v>
      </c>
      <c r="F4" s="35"/>
      <c r="G4" s="625"/>
      <c r="I4" s="44">
        <f>Drains80!G112+Drains80!G144+Drains80!G180</f>
        <v>987.28250000000003</v>
      </c>
      <c r="J4" s="44">
        <f>'QTY80'!J10</f>
        <v>1981.96</v>
      </c>
      <c r="K4" s="247"/>
      <c r="L4" s="44">
        <f>SUM(I4:K4)</f>
        <v>2969.2425000000003</v>
      </c>
    </row>
    <row r="5" spans="1:15" s="27" customFormat="1" ht="25.8" customHeight="1">
      <c r="A5" s="624" t="s">
        <v>272</v>
      </c>
      <c r="B5" s="36" t="s">
        <v>26</v>
      </c>
      <c r="C5" s="37" t="s">
        <v>27</v>
      </c>
      <c r="D5" s="36" t="s">
        <v>28</v>
      </c>
      <c r="E5" s="232">
        <v>50</v>
      </c>
      <c r="F5" s="38"/>
      <c r="G5" s="39"/>
      <c r="H5" s="40"/>
    </row>
    <row r="6" spans="1:15" s="27" customFormat="1" ht="30" customHeight="1">
      <c r="A6" s="624" t="s">
        <v>273</v>
      </c>
      <c r="B6" s="36" t="s">
        <v>30</v>
      </c>
      <c r="C6" s="37" t="s">
        <v>31</v>
      </c>
      <c r="D6" s="36" t="s">
        <v>28</v>
      </c>
      <c r="E6" s="232">
        <v>50</v>
      </c>
      <c r="F6" s="38"/>
      <c r="G6" s="39"/>
      <c r="H6" s="40"/>
    </row>
    <row r="7" spans="1:15" s="27" customFormat="1" ht="30" customHeight="1">
      <c r="A7" s="624" t="s">
        <v>274</v>
      </c>
      <c r="B7" s="56" t="s">
        <v>237</v>
      </c>
      <c r="C7" s="222" t="s">
        <v>238</v>
      </c>
      <c r="D7" s="36" t="s">
        <v>28</v>
      </c>
      <c r="E7" s="232">
        <v>15</v>
      </c>
      <c r="F7" s="57"/>
      <c r="G7" s="39"/>
      <c r="H7" s="40"/>
      <c r="I7" s="40"/>
      <c r="J7" s="249"/>
    </row>
    <row r="8" spans="1:15" s="27" customFormat="1" ht="30" customHeight="1">
      <c r="A8" s="624" t="s">
        <v>275</v>
      </c>
      <c r="B8" s="56" t="s">
        <v>240</v>
      </c>
      <c r="C8" s="222" t="s">
        <v>241</v>
      </c>
      <c r="D8" s="36" t="s">
        <v>28</v>
      </c>
      <c r="E8" s="232">
        <v>10</v>
      </c>
      <c r="F8" s="57"/>
      <c r="G8" s="39"/>
      <c r="H8" s="40"/>
      <c r="I8" s="40"/>
      <c r="J8" s="249"/>
    </row>
    <row r="9" spans="1:15" s="27" customFormat="1" ht="30" customHeight="1">
      <c r="A9" s="624" t="s">
        <v>276</v>
      </c>
      <c r="B9" s="56" t="s">
        <v>33</v>
      </c>
      <c r="C9" s="222" t="s">
        <v>243</v>
      </c>
      <c r="D9" s="36" t="s">
        <v>28</v>
      </c>
      <c r="E9" s="232">
        <v>15</v>
      </c>
      <c r="F9" s="57"/>
      <c r="G9" s="39"/>
      <c r="H9" s="40"/>
      <c r="I9" s="40"/>
      <c r="J9" s="249"/>
    </row>
    <row r="10" spans="1:15" s="27" customFormat="1" ht="30" customHeight="1">
      <c r="A10" s="624" t="s">
        <v>277</v>
      </c>
      <c r="B10" s="56" t="s">
        <v>245</v>
      </c>
      <c r="C10" s="222" t="s">
        <v>246</v>
      </c>
      <c r="D10" s="36" t="s">
        <v>28</v>
      </c>
      <c r="E10" s="232">
        <v>10</v>
      </c>
      <c r="F10" s="57"/>
      <c r="G10" s="39"/>
      <c r="H10" s="40"/>
      <c r="I10" s="40"/>
      <c r="J10" s="249"/>
      <c r="O10" s="27">
        <v>0</v>
      </c>
    </row>
    <row r="11" spans="1:15" customFormat="1" ht="38.4" customHeight="1">
      <c r="A11" s="626" t="s">
        <v>924</v>
      </c>
      <c r="B11" s="250"/>
      <c r="C11" s="251" t="s">
        <v>318</v>
      </c>
      <c r="D11" s="250"/>
      <c r="E11" s="569"/>
      <c r="F11" s="57"/>
      <c r="G11" s="627"/>
    </row>
    <row r="12" spans="1:15" customFormat="1" ht="38.4" customHeight="1">
      <c r="A12" s="221" t="s">
        <v>925</v>
      </c>
      <c r="B12" s="250" t="s">
        <v>320</v>
      </c>
      <c r="C12" s="253" t="s">
        <v>321</v>
      </c>
      <c r="D12" s="250" t="s">
        <v>37</v>
      </c>
      <c r="E12" s="569">
        <v>10</v>
      </c>
      <c r="F12" s="57"/>
      <c r="G12" s="627"/>
    </row>
    <row r="13" spans="1:15" customFormat="1" ht="38.4" customHeight="1">
      <c r="A13" s="221" t="s">
        <v>926</v>
      </c>
      <c r="B13" s="254" t="s">
        <v>323</v>
      </c>
      <c r="C13" s="255" t="s">
        <v>324</v>
      </c>
      <c r="D13" s="254" t="s">
        <v>37</v>
      </c>
      <c r="E13" s="570">
        <v>10</v>
      </c>
      <c r="F13" s="257"/>
      <c r="G13" s="627"/>
    </row>
    <row r="14" spans="1:15" ht="38.4" customHeight="1" thickBot="1">
      <c r="A14" s="631"/>
      <c r="B14" s="783" t="s">
        <v>278</v>
      </c>
      <c r="C14" s="784"/>
      <c r="D14" s="784"/>
      <c r="E14" s="784"/>
      <c r="F14" s="785"/>
      <c r="G14" s="632"/>
    </row>
    <row r="15" spans="1:15" ht="38.4" customHeight="1"/>
    <row r="16" spans="1:15" ht="38.4" customHeight="1"/>
    <row r="17" ht="38.4" customHeight="1"/>
    <row r="18" ht="38.4" customHeight="1"/>
    <row r="19" ht="38.4" customHeight="1"/>
    <row r="20" ht="38.4" customHeight="1"/>
    <row r="21" ht="34.799999999999997" customHeight="1"/>
    <row r="22" ht="34.799999999999997" customHeight="1"/>
    <row r="23" ht="34.799999999999997" customHeight="1"/>
    <row r="24" ht="34.799999999999997" customHeight="1"/>
    <row r="25" ht="34.799999999999997" customHeight="1"/>
    <row r="26" ht="34.799999999999997" customHeight="1"/>
  </sheetData>
  <mergeCells count="4">
    <mergeCell ref="A1:C1"/>
    <mergeCell ref="D1:G1"/>
    <mergeCell ref="J2:J3"/>
    <mergeCell ref="B14:F14"/>
  </mergeCells>
  <phoneticPr fontId="32" type="noConversion"/>
  <printOptions horizontalCentered="1"/>
  <pageMargins left="0.75" right="0.4" top="0.75" bottom="0.5" header="0" footer="0"/>
  <pageSetup paperSize="9" scale="8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23DE5-55FD-46B2-9899-528495F4B34D}">
  <sheetPr>
    <tabColor rgb="FFFF9933"/>
    <pageSetUpPr fitToPage="1"/>
  </sheetPr>
  <dimension ref="A1:L26"/>
  <sheetViews>
    <sheetView view="pageBreakPreview" topLeftCell="A16" zoomScaleNormal="100" zoomScaleSheetLayoutView="100" workbookViewId="0">
      <selection activeCell="H1" sqref="H1:L1048576"/>
    </sheetView>
  </sheetViews>
  <sheetFormatPr defaultColWidth="9.109375" defaultRowHeight="13.2"/>
  <cols>
    <col min="1" max="1" width="7.6640625" style="31" customWidth="1"/>
    <col min="2" max="2" width="9.6640625" style="31" customWidth="1"/>
    <col min="3" max="3" width="54" style="31" customWidth="1"/>
    <col min="4" max="4" width="7.6640625" style="31" customWidth="1"/>
    <col min="5" max="5" width="8.6640625" style="567" customWidth="1"/>
    <col min="6" max="6" width="10.6640625" style="31" customWidth="1"/>
    <col min="7" max="7" width="17.6640625" style="31" customWidth="1"/>
    <col min="8" max="8" width="9.44140625" style="31" hidden="1" customWidth="1"/>
    <col min="9" max="12" width="0" style="31" hidden="1" customWidth="1"/>
    <col min="13" max="16384" width="9.109375" style="31"/>
  </cols>
  <sheetData>
    <row r="1" spans="1:12" s="27" customFormat="1" ht="72.599999999999994" customHeight="1" thickBot="1">
      <c r="A1" s="778" t="s">
        <v>279</v>
      </c>
      <c r="B1" s="779"/>
      <c r="C1" s="779"/>
      <c r="D1" s="780" t="str">
        <f>+'Bill 2.1'!D1:G1</f>
        <v xml:space="preserve">BILL NO. 02 -
 REDUCTION OF LANDSLIDE VULNERABILITY  BY MITIGATION MEASURES
BETWEEN 18/3 ~ 18/4 CULVERT ON PELAWATTA NELUWA ROAD (B363)(SITE NO. 80)
</v>
      </c>
      <c r="E1" s="780"/>
      <c r="F1" s="780"/>
      <c r="G1" s="781"/>
    </row>
    <row r="2" spans="1:12" ht="26.4">
      <c r="A2" s="620" t="s">
        <v>13</v>
      </c>
      <c r="B2" s="28" t="s">
        <v>14</v>
      </c>
      <c r="C2" s="29" t="s">
        <v>8</v>
      </c>
      <c r="D2" s="28" t="s">
        <v>15</v>
      </c>
      <c r="E2" s="565" t="s">
        <v>16</v>
      </c>
      <c r="F2" s="30" t="s">
        <v>17</v>
      </c>
      <c r="G2" s="621" t="s">
        <v>18</v>
      </c>
    </row>
    <row r="3" spans="1:12" ht="24.75" customHeight="1">
      <c r="A3" s="628" t="s">
        <v>280</v>
      </c>
      <c r="B3" s="41"/>
      <c r="C3" s="42" t="s">
        <v>268</v>
      </c>
      <c r="D3" s="41"/>
      <c r="E3" s="566"/>
      <c r="F3" s="41"/>
      <c r="G3" s="630"/>
    </row>
    <row r="4" spans="1:12" ht="36" customHeight="1">
      <c r="A4" s="624" t="s">
        <v>281</v>
      </c>
      <c r="B4" s="33" t="s">
        <v>257</v>
      </c>
      <c r="C4" s="244" t="s">
        <v>258</v>
      </c>
      <c r="D4" s="33" t="s">
        <v>36</v>
      </c>
      <c r="E4" s="234">
        <v>365</v>
      </c>
      <c r="F4" s="35"/>
      <c r="G4" s="629"/>
      <c r="H4" s="44">
        <f>'QTY80'!J20</f>
        <v>363.33</v>
      </c>
    </row>
    <row r="5" spans="1:12" ht="32.25" customHeight="1">
      <c r="A5" s="624" t="s">
        <v>282</v>
      </c>
      <c r="B5" s="33" t="s">
        <v>260</v>
      </c>
      <c r="C5" s="244" t="s">
        <v>261</v>
      </c>
      <c r="D5" s="33" t="s">
        <v>36</v>
      </c>
      <c r="E5" s="233">
        <v>60</v>
      </c>
      <c r="F5" s="35"/>
      <c r="G5" s="629"/>
      <c r="H5" s="44"/>
    </row>
    <row r="6" spans="1:12" ht="32.25" customHeight="1">
      <c r="A6" s="624" t="s">
        <v>283</v>
      </c>
      <c r="B6" s="46" t="s">
        <v>263</v>
      </c>
      <c r="C6" s="244" t="s">
        <v>264</v>
      </c>
      <c r="D6" s="46" t="s">
        <v>37</v>
      </c>
      <c r="E6" s="231">
        <v>100</v>
      </c>
      <c r="F6" s="35"/>
      <c r="G6" s="629"/>
      <c r="H6" s="44"/>
    </row>
    <row r="7" spans="1:12" ht="26.4" customHeight="1">
      <c r="A7" s="624" t="s">
        <v>284</v>
      </c>
      <c r="B7" s="48" t="s">
        <v>266</v>
      </c>
      <c r="C7" s="49" t="s">
        <v>50</v>
      </c>
      <c r="D7" s="50" t="s">
        <v>36</v>
      </c>
      <c r="E7" s="231">
        <v>365</v>
      </c>
      <c r="F7" s="35"/>
      <c r="G7" s="629"/>
      <c r="H7" s="44">
        <f>E4</f>
        <v>365</v>
      </c>
    </row>
    <row r="8" spans="1:12" ht="26.25" customHeight="1">
      <c r="A8" s="628" t="s">
        <v>285</v>
      </c>
      <c r="B8" s="41"/>
      <c r="C8" s="42" t="s">
        <v>39</v>
      </c>
      <c r="D8" s="51"/>
      <c r="E8" s="566"/>
      <c r="F8" s="41"/>
      <c r="G8" s="630"/>
    </row>
    <row r="9" spans="1:12" ht="48" customHeight="1">
      <c r="A9" s="624" t="s">
        <v>286</v>
      </c>
      <c r="B9" s="52" t="s">
        <v>41</v>
      </c>
      <c r="C9" s="53" t="s">
        <v>42</v>
      </c>
      <c r="D9" s="52" t="s">
        <v>37</v>
      </c>
      <c r="E9" s="234">
        <v>165</v>
      </c>
      <c r="F9" s="35"/>
      <c r="G9" s="629"/>
      <c r="H9" s="44">
        <f>Drains80!H109+Drains80!H112+Drains80!H144+Drains80!H180</f>
        <v>163.66387500000002</v>
      </c>
    </row>
    <row r="10" spans="1:12" ht="51" customHeight="1">
      <c r="A10" s="624" t="s">
        <v>287</v>
      </c>
      <c r="B10" s="52" t="s">
        <v>41</v>
      </c>
      <c r="C10" s="53" t="s">
        <v>325</v>
      </c>
      <c r="D10" s="52" t="s">
        <v>37</v>
      </c>
      <c r="E10" s="234">
        <v>435</v>
      </c>
      <c r="F10" s="35"/>
      <c r="G10" s="629"/>
      <c r="H10" s="44">
        <f>'QTY80'!J31</f>
        <v>434.09850000000006</v>
      </c>
      <c r="L10" s="54"/>
    </row>
    <row r="11" spans="1:12" ht="38.4" customHeight="1">
      <c r="A11" s="624" t="s">
        <v>288</v>
      </c>
      <c r="B11" s="52" t="s">
        <v>326</v>
      </c>
      <c r="C11" s="53" t="s">
        <v>327</v>
      </c>
      <c r="D11" s="52" t="s">
        <v>37</v>
      </c>
      <c r="E11" s="234">
        <v>480</v>
      </c>
      <c r="F11" s="35"/>
      <c r="G11" s="629"/>
      <c r="H11" s="44">
        <f>'QTY80'!J39</f>
        <v>478.05449999999996</v>
      </c>
      <c r="L11" s="54"/>
    </row>
    <row r="12" spans="1:12" ht="38.4" customHeight="1">
      <c r="A12" s="624" t="s">
        <v>289</v>
      </c>
      <c r="B12" s="46" t="s">
        <v>46</v>
      </c>
      <c r="C12" s="244" t="s">
        <v>261</v>
      </c>
      <c r="D12" s="46" t="s">
        <v>37</v>
      </c>
      <c r="E12" s="231">
        <v>25</v>
      </c>
      <c r="F12" s="35"/>
      <c r="G12" s="629"/>
      <c r="L12" s="54"/>
    </row>
    <row r="13" spans="1:12" ht="38.4" customHeight="1">
      <c r="A13" s="624" t="s">
        <v>290</v>
      </c>
      <c r="B13" s="46" t="s">
        <v>48</v>
      </c>
      <c r="C13" s="244" t="s">
        <v>264</v>
      </c>
      <c r="D13" s="46" t="s">
        <v>37</v>
      </c>
      <c r="E13" s="231">
        <v>20</v>
      </c>
      <c r="F13" s="35"/>
      <c r="G13" s="629"/>
      <c r="L13" s="54"/>
    </row>
    <row r="14" spans="1:12" ht="38.4" customHeight="1">
      <c r="A14" s="624" t="s">
        <v>940</v>
      </c>
      <c r="B14" s="48" t="s">
        <v>49</v>
      </c>
      <c r="C14" s="49" t="s">
        <v>50</v>
      </c>
      <c r="D14" s="50" t="s">
        <v>36</v>
      </c>
      <c r="E14" s="231">
        <v>120</v>
      </c>
      <c r="F14" s="35"/>
      <c r="G14" s="629"/>
      <c r="H14" s="44">
        <f>E9+E10-E11</f>
        <v>120</v>
      </c>
      <c r="L14" s="54"/>
    </row>
    <row r="15" spans="1:12" ht="38.4" customHeight="1" thickBot="1">
      <c r="A15" s="631"/>
      <c r="B15" s="783" t="s">
        <v>291</v>
      </c>
      <c r="C15" s="784"/>
      <c r="D15" s="784"/>
      <c r="E15" s="784"/>
      <c r="F15" s="785"/>
      <c r="G15" s="632"/>
    </row>
    <row r="16" spans="1:12" ht="38.4" customHeight="1"/>
    <row r="17" ht="38.4" customHeight="1"/>
    <row r="18" ht="38.4" customHeight="1"/>
    <row r="19" ht="38.4" customHeight="1"/>
    <row r="20" ht="38.4" customHeight="1"/>
    <row r="21" ht="34.799999999999997" customHeight="1"/>
    <row r="22" ht="34.799999999999997" customHeight="1"/>
    <row r="23" ht="34.799999999999997" customHeight="1"/>
    <row r="24" ht="34.799999999999997" customHeight="1"/>
    <row r="25" ht="34.799999999999997" customHeight="1"/>
    <row r="26" ht="34.799999999999997" customHeight="1"/>
  </sheetData>
  <mergeCells count="3">
    <mergeCell ref="A1:C1"/>
    <mergeCell ref="D1:G1"/>
    <mergeCell ref="B15:F15"/>
  </mergeCells>
  <phoneticPr fontId="32" type="noConversion"/>
  <printOptions horizontalCentered="1"/>
  <pageMargins left="0.75" right="0.4" top="0.75" bottom="0.5" header="0" footer="0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57</vt:i4>
      </vt:variant>
      <vt:variant>
        <vt:lpstr>Named Ranges</vt:lpstr>
      </vt:variant>
      <vt:variant>
        <vt:i4>59</vt:i4>
      </vt:variant>
    </vt:vector>
  </HeadingPairs>
  <TitlesOfParts>
    <vt:vector size="116" baseType="lpstr">
      <vt:lpstr>Grand Summary</vt:lpstr>
      <vt:lpstr>Bill No.Sum </vt:lpstr>
      <vt:lpstr>Bill No 1</vt:lpstr>
      <vt:lpstr>QTY78</vt:lpstr>
      <vt:lpstr>Drains78</vt:lpstr>
      <vt:lpstr>Sheet78</vt:lpstr>
      <vt:lpstr>Bill No. 2</vt:lpstr>
      <vt:lpstr>Bill 2.1</vt:lpstr>
      <vt:lpstr>Bill 2.2</vt:lpstr>
      <vt:lpstr>Bill 2.3</vt:lpstr>
      <vt:lpstr>Bill 2.4</vt:lpstr>
      <vt:lpstr>QTY80</vt:lpstr>
      <vt:lpstr>Drains80</vt:lpstr>
      <vt:lpstr>Sheet80</vt:lpstr>
      <vt:lpstr>Bill No. 3</vt:lpstr>
      <vt:lpstr>Bill 3.1</vt:lpstr>
      <vt:lpstr>Bill 3.2</vt:lpstr>
      <vt:lpstr>Bill 3.3</vt:lpstr>
      <vt:lpstr>Bill 3.4</vt:lpstr>
      <vt:lpstr>Bill 3.5</vt:lpstr>
      <vt:lpstr>QTY84</vt:lpstr>
      <vt:lpstr>Drains84</vt:lpstr>
      <vt:lpstr>Sheet84</vt:lpstr>
      <vt:lpstr>Bill No. 4</vt:lpstr>
      <vt:lpstr>Bill 4.1</vt:lpstr>
      <vt:lpstr>Bill 4.2</vt:lpstr>
      <vt:lpstr>Bill4.3</vt:lpstr>
      <vt:lpstr>Bill 4.4</vt:lpstr>
      <vt:lpstr>Bill 4.5</vt:lpstr>
      <vt:lpstr>QTY87</vt:lpstr>
      <vt:lpstr>Drains87</vt:lpstr>
      <vt:lpstr>Sheet87</vt:lpstr>
      <vt:lpstr>Bill No. 5</vt:lpstr>
      <vt:lpstr>Bill 5.1</vt:lpstr>
      <vt:lpstr>Bill 5.2</vt:lpstr>
      <vt:lpstr>Bill 5.3</vt:lpstr>
      <vt:lpstr>Drain Qty89</vt:lpstr>
      <vt:lpstr>Resting Type wall89</vt:lpstr>
      <vt:lpstr>QTY89</vt:lpstr>
      <vt:lpstr>Bill No. 6</vt:lpstr>
      <vt:lpstr>Bill No. 6.1</vt:lpstr>
      <vt:lpstr>Bill 6.1.1</vt:lpstr>
      <vt:lpstr>Bill 6.1.2</vt:lpstr>
      <vt:lpstr>Bill 6.1.3</vt:lpstr>
      <vt:lpstr>Bill 6.1.4</vt:lpstr>
      <vt:lpstr>Bill 6.1.5</vt:lpstr>
      <vt:lpstr>QTY90</vt:lpstr>
      <vt:lpstr>Drains90</vt:lpstr>
      <vt:lpstr>Sheet90</vt:lpstr>
      <vt:lpstr>Bill No. 6.2</vt:lpstr>
      <vt:lpstr>Bill 6.2.1</vt:lpstr>
      <vt:lpstr>Bill 6.2.2</vt:lpstr>
      <vt:lpstr>Bill 6.2.3</vt:lpstr>
      <vt:lpstr>QTY 90(2)</vt:lpstr>
      <vt:lpstr>Drains 90(2)</vt:lpstr>
      <vt:lpstr>Sheet90(2)</vt:lpstr>
      <vt:lpstr>Bill No.7 Dayworks</vt:lpstr>
      <vt:lpstr>'Bill 2.1'!Print_Area</vt:lpstr>
      <vt:lpstr>'Bill 2.2'!Print_Area</vt:lpstr>
      <vt:lpstr>'Bill 2.3'!Print_Area</vt:lpstr>
      <vt:lpstr>'Bill 2.4'!Print_Area</vt:lpstr>
      <vt:lpstr>'Bill 3.1'!Print_Area</vt:lpstr>
      <vt:lpstr>'Bill 3.2'!Print_Area</vt:lpstr>
      <vt:lpstr>'Bill 3.3'!Print_Area</vt:lpstr>
      <vt:lpstr>'Bill 3.4'!Print_Area</vt:lpstr>
      <vt:lpstr>'Bill 3.5'!Print_Area</vt:lpstr>
      <vt:lpstr>'Bill 4.1'!Print_Area</vt:lpstr>
      <vt:lpstr>'Bill 4.2'!Print_Area</vt:lpstr>
      <vt:lpstr>'Bill 4.4'!Print_Area</vt:lpstr>
      <vt:lpstr>'Bill 4.5'!Print_Area</vt:lpstr>
      <vt:lpstr>'Bill 5.1'!Print_Area</vt:lpstr>
      <vt:lpstr>'Bill 5.2'!Print_Area</vt:lpstr>
      <vt:lpstr>'Bill 5.3'!Print_Area</vt:lpstr>
      <vt:lpstr>'Bill 6.1.1'!Print_Area</vt:lpstr>
      <vt:lpstr>'Bill 6.1.2'!Print_Area</vt:lpstr>
      <vt:lpstr>'Bill 6.1.3'!Print_Area</vt:lpstr>
      <vt:lpstr>'Bill 6.1.4'!Print_Area</vt:lpstr>
      <vt:lpstr>'Bill 6.1.5'!Print_Area</vt:lpstr>
      <vt:lpstr>'Bill 6.2.1'!Print_Area</vt:lpstr>
      <vt:lpstr>'Bill 6.2.2'!Print_Area</vt:lpstr>
      <vt:lpstr>'Bill 6.2.3'!Print_Area</vt:lpstr>
      <vt:lpstr>'Bill No 1'!Print_Area</vt:lpstr>
      <vt:lpstr>'Bill No. 2'!Print_Area</vt:lpstr>
      <vt:lpstr>'Bill No. 3'!Print_Area</vt:lpstr>
      <vt:lpstr>'Bill No. 4'!Print_Area</vt:lpstr>
      <vt:lpstr>'Bill No. 5'!Print_Area</vt:lpstr>
      <vt:lpstr>'Bill No. 6'!Print_Area</vt:lpstr>
      <vt:lpstr>'Bill No. 6.1'!Print_Area</vt:lpstr>
      <vt:lpstr>'Bill No. 6.2'!Print_Area</vt:lpstr>
      <vt:lpstr>'Bill No.7 Dayworks'!Print_Area</vt:lpstr>
      <vt:lpstr>'Bill No.Sum '!Print_Area</vt:lpstr>
      <vt:lpstr>Bill4.3!Print_Area</vt:lpstr>
      <vt:lpstr>'Grand Summary'!Print_Area</vt:lpstr>
      <vt:lpstr>'QTY 90(2)'!Print_Area</vt:lpstr>
      <vt:lpstr>'QTY78'!Print_Area</vt:lpstr>
      <vt:lpstr>'QTY80'!Print_Area</vt:lpstr>
      <vt:lpstr>'QTY84'!Print_Area</vt:lpstr>
      <vt:lpstr>'QTY87'!Print_Area</vt:lpstr>
      <vt:lpstr>'QTY89'!Print_Area</vt:lpstr>
      <vt:lpstr>'QTY90'!Print_Area</vt:lpstr>
      <vt:lpstr>'Bill 2.3'!Print_Titles</vt:lpstr>
      <vt:lpstr>'Bill 3.3'!Print_Titles</vt:lpstr>
      <vt:lpstr>'Bill 5.3'!Print_Titles</vt:lpstr>
      <vt:lpstr>'Bill 6.1.3'!Print_Titles</vt:lpstr>
      <vt:lpstr>'Bill 6.2.3'!Print_Titles</vt:lpstr>
      <vt:lpstr>'Bill No 1'!Print_Titles</vt:lpstr>
      <vt:lpstr>'Bill No. 2'!Print_Titles</vt:lpstr>
      <vt:lpstr>'Bill No. 3'!Print_Titles</vt:lpstr>
      <vt:lpstr>'Bill No. 4'!Print_Titles</vt:lpstr>
      <vt:lpstr>'Bill No. 5'!Print_Titles</vt:lpstr>
      <vt:lpstr>'Bill No. 6'!Print_Titles</vt:lpstr>
      <vt:lpstr>'Bill No. 6.1'!Print_Titles</vt:lpstr>
      <vt:lpstr>'Bill No. 6.2'!Print_Titles</vt:lpstr>
      <vt:lpstr>'Bill No.Sum '!Print_Titles</vt:lpstr>
      <vt:lpstr>Bill4.3!Print_Titles</vt:lpstr>
      <vt:lpstr>'Grand Summary'!Print_Titles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Amila Bandara</dc:creator>
  <cp:lastModifiedBy>Gihan</cp:lastModifiedBy>
  <cp:lastPrinted>2021-12-03T03:51:39Z</cp:lastPrinted>
  <dcterms:created xsi:type="dcterms:W3CDTF">2021-05-12T08:27:21Z</dcterms:created>
  <dcterms:modified xsi:type="dcterms:W3CDTF">2021-12-15T05:50:09Z</dcterms:modified>
</cp:coreProperties>
</file>